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84" windowWidth="14268" windowHeight="12972" tabRatio="821" activeTab="4"/>
  </bookViews>
  <sheets>
    <sheet name="직병렬공진 동작점설계" sheetId="35" r:id="rId1"/>
    <sheet name="DC 인덕터 설계" sheetId="39" r:id="rId2"/>
    <sheet name="직렬 인덕터 설계" sheetId="30" r:id="rId3"/>
    <sheet name="설계 결과표" sheetId="28" r:id="rId4"/>
    <sheet name="SW 요청자료" sheetId="29" r:id="rId5"/>
    <sheet name="시운전데이터 및 매칭확인" sheetId="43" r:id="rId6"/>
    <sheet name="입력정류부" sheetId="40" r:id="rId7"/>
  </sheets>
  <calcPr calcId="145621"/>
</workbook>
</file>

<file path=xl/calcChain.xml><?xml version="1.0" encoding="utf-8"?>
<calcChain xmlns="http://schemas.openxmlformats.org/spreadsheetml/2006/main">
  <c r="C42" i="39" l="1"/>
  <c r="J33" i="39"/>
  <c r="H32" i="39"/>
  <c r="H29" i="39"/>
  <c r="H27" i="39"/>
  <c r="C27" i="39"/>
  <c r="H26" i="39"/>
  <c r="N25" i="39"/>
  <c r="H24" i="39"/>
  <c r="H23" i="39"/>
  <c r="H31" i="39" s="1"/>
  <c r="H22" i="39"/>
  <c r="N21" i="39"/>
  <c r="H21" i="39"/>
  <c r="H30" i="39" s="1"/>
  <c r="H16" i="39"/>
  <c r="C28" i="39" s="1"/>
  <c r="C30" i="39" s="1"/>
  <c r="H14" i="39"/>
  <c r="H25" i="39" s="1"/>
  <c r="C13" i="39"/>
  <c r="C14" i="39" s="1"/>
  <c r="R12" i="39"/>
  <c r="H12" i="39"/>
  <c r="C12" i="39"/>
  <c r="R11" i="39"/>
  <c r="H10" i="39"/>
  <c r="H17" i="39" s="1"/>
  <c r="C8" i="39"/>
  <c r="C10" i="39" s="1"/>
  <c r="C7" i="39"/>
  <c r="C20" i="39" l="1"/>
  <c r="C16" i="39"/>
  <c r="C26" i="39" s="1"/>
  <c r="C32" i="39" s="1"/>
  <c r="N10" i="39"/>
  <c r="H18" i="39"/>
  <c r="J17" i="39"/>
  <c r="J34" i="39" s="1"/>
  <c r="H33" i="39"/>
  <c r="R15" i="39"/>
  <c r="R18" i="39" s="1"/>
  <c r="R20" i="39" s="1"/>
  <c r="R22" i="39" s="1"/>
  <c r="N13" i="39"/>
  <c r="C46" i="39" l="1"/>
  <c r="C47" i="39" s="1"/>
  <c r="C45" i="39"/>
  <c r="C33" i="39"/>
  <c r="C34" i="39" s="1"/>
  <c r="C17" i="39"/>
  <c r="R23" i="39"/>
  <c r="C36" i="39" l="1"/>
  <c r="C37" i="39"/>
  <c r="C38" i="39" s="1"/>
  <c r="C35" i="39"/>
  <c r="C19" i="39"/>
  <c r="D73" i="35" l="1"/>
  <c r="F73" i="35"/>
  <c r="G73" i="35"/>
  <c r="H73" i="35"/>
  <c r="J73" i="35"/>
  <c r="K73" i="35"/>
  <c r="L73" i="35"/>
  <c r="M73" i="35"/>
  <c r="M45" i="35"/>
  <c r="L45" i="35"/>
  <c r="K45" i="35"/>
  <c r="J45" i="35"/>
  <c r="M38" i="35"/>
  <c r="L38" i="35"/>
  <c r="K38" i="35"/>
  <c r="J38" i="35"/>
  <c r="M16" i="35"/>
  <c r="M18" i="35" s="1"/>
  <c r="M22" i="35" s="1"/>
  <c r="M60" i="35" s="1"/>
  <c r="L16" i="35"/>
  <c r="L18" i="35" s="1"/>
  <c r="L22" i="35" s="1"/>
  <c r="K16" i="35"/>
  <c r="K18" i="35" s="1"/>
  <c r="K22" i="35" s="1"/>
  <c r="K60" i="35" s="1"/>
  <c r="J16" i="35"/>
  <c r="J18" i="35" s="1"/>
  <c r="J22" i="35" s="1"/>
  <c r="M10" i="35"/>
  <c r="M11" i="35" s="1"/>
  <c r="L10" i="35"/>
  <c r="L11" i="35" s="1"/>
  <c r="K10" i="35"/>
  <c r="K11" i="35" s="1"/>
  <c r="J10" i="35"/>
  <c r="J11" i="35" s="1"/>
  <c r="M6" i="35"/>
  <c r="M8" i="35" s="1"/>
  <c r="L6" i="35"/>
  <c r="L8" i="35" s="1"/>
  <c r="K6" i="35"/>
  <c r="K8" i="35" s="1"/>
  <c r="J6" i="35"/>
  <c r="J8" i="35" s="1"/>
  <c r="L60" i="35" l="1"/>
  <c r="L66" i="35" s="1"/>
  <c r="J60" i="35"/>
  <c r="J59" i="35" s="1"/>
  <c r="M59" i="35"/>
  <c r="M65" i="35"/>
  <c r="M68" i="35" s="1"/>
  <c r="M66" i="35"/>
  <c r="K65" i="35"/>
  <c r="K68" i="35" s="1"/>
  <c r="K59" i="35"/>
  <c r="K66" i="35"/>
  <c r="K42" i="35"/>
  <c r="K27" i="35" s="1"/>
  <c r="L42" i="35"/>
  <c r="L27" i="35" s="1"/>
  <c r="K24" i="35"/>
  <c r="K25" i="35" s="1"/>
  <c r="K23" i="35"/>
  <c r="L24" i="35"/>
  <c r="L25" i="35" s="1"/>
  <c r="L23" i="35"/>
  <c r="J24" i="35"/>
  <c r="J25" i="35" s="1"/>
  <c r="J23" i="35"/>
  <c r="M24" i="35"/>
  <c r="M25" i="35" s="1"/>
  <c r="M23" i="35"/>
  <c r="M42" i="35"/>
  <c r="M27" i="35" s="1"/>
  <c r="J42" i="35"/>
  <c r="J27" i="35" s="1"/>
  <c r="L59" i="35" l="1"/>
  <c r="L65" i="35"/>
  <c r="L68" i="35" s="1"/>
  <c r="J65" i="35"/>
  <c r="J68" i="35" s="1"/>
  <c r="J66" i="35"/>
  <c r="M29" i="35"/>
  <c r="M26" i="35"/>
  <c r="L29" i="35"/>
  <c r="L26" i="35"/>
  <c r="J29" i="35"/>
  <c r="J26" i="35"/>
  <c r="K29" i="35"/>
  <c r="K26" i="35"/>
  <c r="K49" i="35" l="1"/>
  <c r="K56" i="35" s="1"/>
  <c r="K33" i="35"/>
  <c r="K31" i="35"/>
  <c r="K30" i="35"/>
  <c r="L33" i="35"/>
  <c r="L31" i="35"/>
  <c r="L30" i="35"/>
  <c r="L49" i="35"/>
  <c r="L56" i="35" s="1"/>
  <c r="J49" i="35"/>
  <c r="J56" i="35" s="1"/>
  <c r="J33" i="35"/>
  <c r="J31" i="35"/>
  <c r="J30" i="35"/>
  <c r="M49" i="35"/>
  <c r="M33" i="35"/>
  <c r="M31" i="35"/>
  <c r="M30" i="35"/>
  <c r="L32" i="35" l="1"/>
  <c r="M46" i="35"/>
  <c r="M56" i="35"/>
  <c r="M32" i="35"/>
  <c r="L61" i="35"/>
  <c r="L69" i="35"/>
  <c r="L46" i="35"/>
  <c r="J46" i="35"/>
  <c r="J61" i="35"/>
  <c r="J69" i="35"/>
  <c r="K61" i="35"/>
  <c r="K69" i="35"/>
  <c r="K46" i="35"/>
  <c r="J32" i="35"/>
  <c r="K32" i="35"/>
  <c r="K35" i="35"/>
  <c r="K34" i="35"/>
  <c r="K44" i="35" s="1"/>
  <c r="K47" i="35" s="1"/>
  <c r="K72" i="35" s="1"/>
  <c r="L50" i="35"/>
  <c r="L51" i="35" s="1"/>
  <c r="L52" i="35" s="1"/>
  <c r="L48" i="35"/>
  <c r="K37" i="35"/>
  <c r="M35" i="35"/>
  <c r="M34" i="35"/>
  <c r="M44" i="35" s="1"/>
  <c r="M47" i="35" s="1"/>
  <c r="M72" i="35" s="1"/>
  <c r="J35" i="35"/>
  <c r="J34" i="35"/>
  <c r="J44" i="35" s="1"/>
  <c r="J47" i="35" s="1"/>
  <c r="J72" i="35" s="1"/>
  <c r="L35" i="35"/>
  <c r="L34" i="35"/>
  <c r="L44" i="35" s="1"/>
  <c r="L47" i="35" s="1"/>
  <c r="L72" i="35" s="1"/>
  <c r="M50" i="35"/>
  <c r="M51" i="35" s="1"/>
  <c r="M52" i="35" s="1"/>
  <c r="M48" i="35"/>
  <c r="J37" i="35"/>
  <c r="L37" i="35"/>
  <c r="M37" i="35"/>
  <c r="J50" i="35"/>
  <c r="J51" i="35" s="1"/>
  <c r="J52" i="35" s="1"/>
  <c r="J48" i="35"/>
  <c r="K50" i="35"/>
  <c r="K51" i="35" s="1"/>
  <c r="K52" i="35" s="1"/>
  <c r="K48" i="35"/>
  <c r="M61" i="35" l="1"/>
  <c r="M69" i="35"/>
  <c r="L76" i="35"/>
  <c r="L79" i="35" s="1"/>
  <c r="L81" i="35" s="1"/>
  <c r="L74" i="35"/>
  <c r="L77" i="35" s="1"/>
  <c r="L75" i="35"/>
  <c r="L78" i="35" s="1"/>
  <c r="J75" i="35"/>
  <c r="J78" i="35" s="1"/>
  <c r="J76" i="35"/>
  <c r="J79" i="35" s="1"/>
  <c r="J81" i="35" s="1"/>
  <c r="J74" i="35"/>
  <c r="J77" i="35" s="1"/>
  <c r="K74" i="35"/>
  <c r="K77" i="35" s="1"/>
  <c r="K76" i="35"/>
  <c r="K79" i="35" s="1"/>
  <c r="K81" i="35" s="1"/>
  <c r="K75" i="35"/>
  <c r="K78" i="35" s="1"/>
  <c r="J36" i="35"/>
  <c r="J39" i="35" s="1"/>
  <c r="M36" i="35"/>
  <c r="M39" i="35" s="1"/>
  <c r="L36" i="35"/>
  <c r="L39" i="35" s="1"/>
  <c r="K36" i="35"/>
  <c r="K39" i="35" s="1"/>
  <c r="M74" i="35" l="1"/>
  <c r="M77" i="35" s="1"/>
  <c r="M75" i="35"/>
  <c r="M78" i="35" s="1"/>
  <c r="M76" i="35"/>
  <c r="M79" i="35" s="1"/>
  <c r="M81" i="35" s="1"/>
  <c r="L95" i="35"/>
  <c r="L87" i="35"/>
  <c r="L93" i="35" s="1"/>
  <c r="L89" i="35"/>
  <c r="L88" i="35"/>
  <c r="L86" i="35"/>
  <c r="L92" i="35" s="1"/>
  <c r="L94" i="35"/>
  <c r="L98" i="35"/>
  <c r="L83" i="35"/>
  <c r="J88" i="35"/>
  <c r="J86" i="35"/>
  <c r="J92" i="35" s="1"/>
  <c r="J94" i="35"/>
  <c r="J98" i="35"/>
  <c r="J83" i="35"/>
  <c r="J87" i="35"/>
  <c r="J93" i="35" s="1"/>
  <c r="J89" i="35"/>
  <c r="J95" i="35"/>
  <c r="K95" i="35"/>
  <c r="K87" i="35"/>
  <c r="K93" i="35" s="1"/>
  <c r="K89" i="35"/>
  <c r="K98" i="35"/>
  <c r="K83" i="35"/>
  <c r="K88" i="35"/>
  <c r="K86" i="35"/>
  <c r="K92" i="35" s="1"/>
  <c r="K94" i="35"/>
  <c r="M83" i="35" l="1"/>
  <c r="M98" i="35"/>
  <c r="M89" i="35"/>
  <c r="M95" i="35"/>
  <c r="M87" i="35"/>
  <c r="M93" i="35" s="1"/>
  <c r="M94" i="35"/>
  <c r="M88" i="35"/>
  <c r="M86" i="35"/>
  <c r="M92" i="35" s="1"/>
  <c r="H16" i="35" l="1"/>
  <c r="H18" i="35" s="1"/>
  <c r="H22" i="35" s="1"/>
  <c r="H60" i="35" s="1"/>
  <c r="Y13" i="35"/>
  <c r="F45" i="35"/>
  <c r="F38" i="35"/>
  <c r="F16" i="35"/>
  <c r="F18" i="35" s="1"/>
  <c r="F22" i="35" s="1"/>
  <c r="F60" i="35" s="1"/>
  <c r="F10" i="35"/>
  <c r="F6" i="35"/>
  <c r="F8" i="35" s="1"/>
  <c r="H45" i="35"/>
  <c r="H38" i="35"/>
  <c r="H10" i="35"/>
  <c r="H6" i="35"/>
  <c r="H8" i="35" s="1"/>
  <c r="G45" i="35"/>
  <c r="G38" i="35"/>
  <c r="G16" i="35"/>
  <c r="G18" i="35" s="1"/>
  <c r="G22" i="35" s="1"/>
  <c r="G60" i="35" s="1"/>
  <c r="G10" i="35"/>
  <c r="G6" i="35"/>
  <c r="G8" i="35" s="1"/>
  <c r="G66" i="35" l="1"/>
  <c r="G65" i="35"/>
  <c r="G68" i="35" s="1"/>
  <c r="G59" i="35"/>
  <c r="F59" i="35"/>
  <c r="F66" i="35"/>
  <c r="F65" i="35"/>
  <c r="F68" i="35" s="1"/>
  <c r="H59" i="35"/>
  <c r="H66" i="35"/>
  <c r="H65" i="35"/>
  <c r="H68" i="35" s="1"/>
  <c r="H42" i="35"/>
  <c r="H27" i="35" s="1"/>
  <c r="F42" i="35"/>
  <c r="F27" i="35" s="1"/>
  <c r="G42" i="35"/>
  <c r="G27" i="35" s="1"/>
  <c r="F24" i="35"/>
  <c r="F25" i="35" s="1"/>
  <c r="F23" i="35"/>
  <c r="F11" i="35"/>
  <c r="H24" i="35"/>
  <c r="H25" i="35" s="1"/>
  <c r="H23" i="35"/>
  <c r="H11" i="35"/>
  <c r="G24" i="35"/>
  <c r="G25" i="35" s="1"/>
  <c r="G23" i="35"/>
  <c r="G11" i="35"/>
  <c r="F29" i="35" l="1"/>
  <c r="F26" i="35"/>
  <c r="H29" i="35"/>
  <c r="H26" i="35"/>
  <c r="G29" i="35"/>
  <c r="G26" i="35"/>
  <c r="F33" i="35" l="1"/>
  <c r="F31" i="35"/>
  <c r="F30" i="35"/>
  <c r="F49" i="35"/>
  <c r="F56" i="35" s="1"/>
  <c r="H33" i="35"/>
  <c r="H31" i="35"/>
  <c r="H49" i="35"/>
  <c r="H30" i="35"/>
  <c r="G33" i="35"/>
  <c r="G30" i="35"/>
  <c r="G31" i="35"/>
  <c r="G49" i="35"/>
  <c r="G56" i="35" s="1"/>
  <c r="H48" i="35" l="1"/>
  <c r="H56" i="35"/>
  <c r="G69" i="35"/>
  <c r="G61" i="35"/>
  <c r="F61" i="35"/>
  <c r="F69" i="35"/>
  <c r="F46" i="35"/>
  <c r="F48" i="35"/>
  <c r="G46" i="35"/>
  <c r="G48" i="35"/>
  <c r="F50" i="35"/>
  <c r="F51" i="35" s="1"/>
  <c r="F52" i="35" s="1"/>
  <c r="F34" i="35"/>
  <c r="F44" i="35" s="1"/>
  <c r="F47" i="35" s="1"/>
  <c r="F72" i="35" s="1"/>
  <c r="F35" i="35"/>
  <c r="F32" i="35"/>
  <c r="F37" i="35"/>
  <c r="H50" i="35"/>
  <c r="H51" i="35" s="1"/>
  <c r="H52" i="35" s="1"/>
  <c r="H32" i="35"/>
  <c r="H35" i="35"/>
  <c r="H34" i="35"/>
  <c r="H44" i="35" s="1"/>
  <c r="H47" i="35" s="1"/>
  <c r="H72" i="35" s="1"/>
  <c r="H46" i="35"/>
  <c r="H37" i="35"/>
  <c r="G32" i="35"/>
  <c r="G50" i="35"/>
  <c r="G51" i="35" s="1"/>
  <c r="G52" i="35" s="1"/>
  <c r="G35" i="35"/>
  <c r="G34" i="35"/>
  <c r="G44" i="35" s="1"/>
  <c r="G47" i="35" s="1"/>
  <c r="G72" i="35" s="1"/>
  <c r="G37" i="35"/>
  <c r="F75" i="35" l="1"/>
  <c r="F78" i="35" s="1"/>
  <c r="F76" i="35"/>
  <c r="F79" i="35" s="1"/>
  <c r="F81" i="35" s="1"/>
  <c r="F74" i="35"/>
  <c r="F77" i="35" s="1"/>
  <c r="H61" i="35"/>
  <c r="H69" i="35"/>
  <c r="G75" i="35"/>
  <c r="G78" i="35" s="1"/>
  <c r="G74" i="35"/>
  <c r="G77" i="35" s="1"/>
  <c r="G76" i="35"/>
  <c r="G79" i="35" s="1"/>
  <c r="G81" i="35" s="1"/>
  <c r="F36" i="35"/>
  <c r="F39" i="35" s="1"/>
  <c r="H36" i="35"/>
  <c r="H39" i="35" s="1"/>
  <c r="G36" i="35"/>
  <c r="G39" i="35" s="1"/>
  <c r="G86" i="35" l="1"/>
  <c r="G92" i="35" s="1"/>
  <c r="G94" i="35"/>
  <c r="G88" i="35"/>
  <c r="H74" i="35"/>
  <c r="H77" i="35" s="1"/>
  <c r="H76" i="35"/>
  <c r="H79" i="35" s="1"/>
  <c r="H81" i="35" s="1"/>
  <c r="H75" i="35"/>
  <c r="H78" i="35" s="1"/>
  <c r="F89" i="35"/>
  <c r="F95" i="35"/>
  <c r="F87" i="35"/>
  <c r="F93" i="35" s="1"/>
  <c r="F98" i="35"/>
  <c r="F83" i="35"/>
  <c r="G87" i="35"/>
  <c r="G93" i="35" s="1"/>
  <c r="G95" i="35"/>
  <c r="G89" i="35"/>
  <c r="G98" i="35"/>
  <c r="G83" i="35"/>
  <c r="F94" i="35"/>
  <c r="F86" i="35"/>
  <c r="F92" i="35" s="1"/>
  <c r="F88" i="35"/>
  <c r="H86" i="35" l="1"/>
  <c r="H92" i="35" s="1"/>
  <c r="H94" i="35"/>
  <c r="H88" i="35"/>
  <c r="H89" i="35"/>
  <c r="H95" i="35"/>
  <c r="H87" i="35"/>
  <c r="H93" i="35" s="1"/>
  <c r="H83" i="35"/>
  <c r="H98" i="35"/>
  <c r="G19" i="30" l="1"/>
  <c r="G20" i="30" s="1"/>
  <c r="M19" i="30"/>
  <c r="M20" i="30" s="1"/>
  <c r="M22" i="30" s="1"/>
  <c r="J19" i="30"/>
  <c r="J20" i="30" s="1"/>
  <c r="P9" i="30"/>
  <c r="D45" i="35"/>
  <c r="D38" i="35"/>
  <c r="D16" i="35"/>
  <c r="D18" i="35" s="1"/>
  <c r="D22" i="35" s="1"/>
  <c r="D60" i="35" s="1"/>
  <c r="D10" i="35"/>
  <c r="D6" i="35"/>
  <c r="D8" i="35" s="1"/>
  <c r="D66" i="35" l="1"/>
  <c r="D65" i="35"/>
  <c r="D68" i="35" s="1"/>
  <c r="D59" i="35"/>
  <c r="J22" i="30"/>
  <c r="G22" i="30"/>
  <c r="D42" i="35"/>
  <c r="D27" i="35" s="1"/>
  <c r="D24" i="35"/>
  <c r="D25" i="35" s="1"/>
  <c r="D23" i="35"/>
  <c r="D11" i="35"/>
  <c r="D29" i="35" l="1"/>
  <c r="D26" i="35"/>
  <c r="D33" i="35" l="1"/>
  <c r="D31" i="35"/>
  <c r="D49" i="35"/>
  <c r="D56" i="35" s="1"/>
  <c r="D30" i="35"/>
  <c r="D61" i="35" l="1"/>
  <c r="D69" i="35"/>
  <c r="D46" i="35"/>
  <c r="D48" i="35"/>
  <c r="D32" i="35"/>
  <c r="D35" i="35"/>
  <c r="D34" i="35"/>
  <c r="D44" i="35" s="1"/>
  <c r="D47" i="35" s="1"/>
  <c r="D72" i="35" s="1"/>
  <c r="D50" i="35"/>
  <c r="D51" i="35" s="1"/>
  <c r="D52" i="35" s="1"/>
  <c r="D37" i="35"/>
  <c r="D74" i="35" l="1"/>
  <c r="D77" i="35" s="1"/>
  <c r="D75" i="35"/>
  <c r="D78" i="35" s="1"/>
  <c r="D76" i="35"/>
  <c r="D79" i="35" s="1"/>
  <c r="D81" i="35" s="1"/>
  <c r="D36" i="35"/>
  <c r="D39" i="35" s="1"/>
  <c r="D83" i="35" l="1"/>
  <c r="D98" i="35"/>
  <c r="D95" i="35"/>
  <c r="D87" i="35"/>
  <c r="D93" i="35" s="1"/>
  <c r="D89" i="35"/>
  <c r="D88" i="35"/>
  <c r="D94" i="35"/>
  <c r="D86" i="35"/>
  <c r="D92" i="35" s="1"/>
  <c r="U27" i="35" l="1"/>
  <c r="U26" i="35"/>
  <c r="U25" i="35"/>
  <c r="U28" i="35" l="1"/>
  <c r="C73" i="35" l="1"/>
  <c r="AB29" i="43" l="1"/>
  <c r="X29" i="43"/>
  <c r="J29" i="43"/>
  <c r="Z29" i="43" s="1"/>
  <c r="AB28" i="43"/>
  <c r="X28" i="43"/>
  <c r="K28" i="43"/>
  <c r="R28" i="43" s="1"/>
  <c r="J28" i="43"/>
  <c r="Z28" i="43" s="1"/>
  <c r="AB27" i="43"/>
  <c r="X27" i="43"/>
  <c r="L27" i="43"/>
  <c r="K27" i="43"/>
  <c r="T27" i="43" s="1"/>
  <c r="J27" i="43"/>
  <c r="Z27" i="43" s="1"/>
  <c r="AB26" i="43"/>
  <c r="Z26" i="43"/>
  <c r="X26" i="43"/>
  <c r="Q26" i="43"/>
  <c r="M26" i="43"/>
  <c r="L26" i="43"/>
  <c r="K26" i="43"/>
  <c r="T26" i="43" s="1"/>
  <c r="J26" i="43"/>
  <c r="AB25" i="43"/>
  <c r="X25" i="43"/>
  <c r="R25" i="43"/>
  <c r="O25" i="43"/>
  <c r="AA25" i="43" s="1"/>
  <c r="M25" i="43"/>
  <c r="L25" i="43"/>
  <c r="K25" i="43"/>
  <c r="T25" i="43" s="1"/>
  <c r="J25" i="43"/>
  <c r="Z25" i="43" s="1"/>
  <c r="AB24" i="43"/>
  <c r="X24" i="43"/>
  <c r="J24" i="43"/>
  <c r="K24" i="43" s="1"/>
  <c r="AB23" i="43"/>
  <c r="Z23" i="43"/>
  <c r="X23" i="43"/>
  <c r="Q23" i="43"/>
  <c r="K23" i="43"/>
  <c r="Y23" i="43" s="1"/>
  <c r="J23" i="43"/>
  <c r="AB22" i="43"/>
  <c r="Z22" i="43"/>
  <c r="Y22" i="43"/>
  <c r="X22" i="43"/>
  <c r="R22" i="43"/>
  <c r="Q22" i="43"/>
  <c r="L22" i="43"/>
  <c r="K22" i="43"/>
  <c r="O22" i="43" s="1"/>
  <c r="J22" i="43"/>
  <c r="AB21" i="43"/>
  <c r="X21" i="43"/>
  <c r="J21" i="43"/>
  <c r="Z21" i="43" s="1"/>
  <c r="AB20" i="43"/>
  <c r="X20" i="43"/>
  <c r="K20" i="43"/>
  <c r="R20" i="43" s="1"/>
  <c r="J20" i="43"/>
  <c r="Z20" i="43" s="1"/>
  <c r="AB19" i="43"/>
  <c r="X19" i="43"/>
  <c r="L19" i="43"/>
  <c r="K19" i="43"/>
  <c r="T19" i="43" s="1"/>
  <c r="J19" i="43"/>
  <c r="Z19" i="43" s="1"/>
  <c r="AB18" i="43"/>
  <c r="Z18" i="43"/>
  <c r="X18" i="43"/>
  <c r="Q18" i="43"/>
  <c r="M18" i="43"/>
  <c r="L18" i="43"/>
  <c r="K18" i="43"/>
  <c r="T18" i="43" s="1"/>
  <c r="J18" i="43"/>
  <c r="AB17" i="43"/>
  <c r="X17" i="43"/>
  <c r="R17" i="43"/>
  <c r="O17" i="43"/>
  <c r="AA17" i="43" s="1"/>
  <c r="M17" i="43"/>
  <c r="K17" i="43"/>
  <c r="L17" i="43" s="1"/>
  <c r="J17" i="43"/>
  <c r="Z17" i="43" s="1"/>
  <c r="AB16" i="43"/>
  <c r="X16" i="43"/>
  <c r="J16" i="43"/>
  <c r="K16" i="43" s="1"/>
  <c r="AB15" i="43"/>
  <c r="Z15" i="43"/>
  <c r="Y15" i="43"/>
  <c r="X15" i="43"/>
  <c r="Q15" i="43"/>
  <c r="K15" i="43"/>
  <c r="O15" i="43" s="1"/>
  <c r="J15" i="43"/>
  <c r="AB14" i="43"/>
  <c r="Z14" i="43"/>
  <c r="X14" i="43"/>
  <c r="Q14" i="43"/>
  <c r="J14" i="43"/>
  <c r="K14" i="43" s="1"/>
  <c r="AB13" i="43"/>
  <c r="X13" i="43"/>
  <c r="J13" i="43"/>
  <c r="Z13" i="43" s="1"/>
  <c r="AB12" i="43"/>
  <c r="X12" i="43"/>
  <c r="T12" i="43"/>
  <c r="K12" i="43"/>
  <c r="R12" i="43" s="1"/>
  <c r="J12" i="43"/>
  <c r="Z12" i="43" s="1"/>
  <c r="AB11" i="43"/>
  <c r="X11" i="43"/>
  <c r="L11" i="43"/>
  <c r="K11" i="43"/>
  <c r="T11" i="43" s="1"/>
  <c r="J11" i="43"/>
  <c r="Z11" i="43" s="1"/>
  <c r="AB10" i="43"/>
  <c r="Z10" i="43"/>
  <c r="X10" i="43"/>
  <c r="Q10" i="43"/>
  <c r="J10" i="43"/>
  <c r="K10" i="43" s="1"/>
  <c r="AB9" i="43"/>
  <c r="X9" i="43"/>
  <c r="R9" i="43"/>
  <c r="O9" i="43"/>
  <c r="AA9" i="43" s="1"/>
  <c r="M9" i="43"/>
  <c r="K9" i="43"/>
  <c r="L9" i="43" s="1"/>
  <c r="J9" i="43"/>
  <c r="Z9" i="43" s="1"/>
  <c r="AB8" i="43"/>
  <c r="X8" i="43"/>
  <c r="J8" i="43"/>
  <c r="K8" i="43" s="1"/>
  <c r="AB7" i="43"/>
  <c r="Z7" i="43"/>
  <c r="Y7" i="43"/>
  <c r="X7" i="43"/>
  <c r="Q7" i="43"/>
  <c r="K7" i="43"/>
  <c r="O7" i="43" s="1"/>
  <c r="J7" i="43"/>
  <c r="AB6" i="43"/>
  <c r="Z6" i="43"/>
  <c r="X6" i="43"/>
  <c r="Q6" i="43"/>
  <c r="J6" i="43"/>
  <c r="K6" i="43" s="1"/>
  <c r="AB5" i="43"/>
  <c r="X5" i="43"/>
  <c r="J5" i="43"/>
  <c r="Z5" i="43" s="1"/>
  <c r="AB4" i="43"/>
  <c r="X4" i="43"/>
  <c r="J4" i="43"/>
  <c r="Z4" i="43" s="1"/>
  <c r="AB3" i="43"/>
  <c r="X3" i="43"/>
  <c r="K3" i="43"/>
  <c r="R3" i="43" s="1"/>
  <c r="J3" i="43"/>
  <c r="Z3" i="43" s="1"/>
  <c r="Y14" i="43" l="1"/>
  <c r="O14" i="43"/>
  <c r="M14" i="43"/>
  <c r="L14" i="43"/>
  <c r="R14" i="43"/>
  <c r="T14" i="43"/>
  <c r="P22" i="43"/>
  <c r="AA22" i="43"/>
  <c r="M8" i="43"/>
  <c r="Y8" i="43"/>
  <c r="L8" i="43"/>
  <c r="T8" i="43"/>
  <c r="R8" i="43"/>
  <c r="O8" i="43"/>
  <c r="S11" i="43"/>
  <c r="U11" i="43"/>
  <c r="O16" i="43"/>
  <c r="M16" i="43"/>
  <c r="L16" i="43"/>
  <c r="T16" i="43"/>
  <c r="Y16" i="43"/>
  <c r="R16" i="43"/>
  <c r="Y6" i="43"/>
  <c r="O6" i="43"/>
  <c r="L6" i="43"/>
  <c r="R6" i="43"/>
  <c r="M6" i="43"/>
  <c r="T6" i="43"/>
  <c r="U25" i="43"/>
  <c r="S25" i="43"/>
  <c r="U26" i="43"/>
  <c r="S26" i="43"/>
  <c r="S27" i="43"/>
  <c r="U27" i="43"/>
  <c r="O24" i="43"/>
  <c r="M24" i="43"/>
  <c r="L24" i="43"/>
  <c r="T24" i="43"/>
  <c r="R24" i="43"/>
  <c r="Y24" i="43"/>
  <c r="P7" i="43"/>
  <c r="AA7" i="43"/>
  <c r="L10" i="43"/>
  <c r="T10" i="43"/>
  <c r="R10" i="43"/>
  <c r="M10" i="43"/>
  <c r="Y10" i="43"/>
  <c r="O10" i="43"/>
  <c r="P15" i="43"/>
  <c r="AA15" i="43"/>
  <c r="U18" i="43"/>
  <c r="S18" i="43"/>
  <c r="S19" i="43"/>
  <c r="U19" i="43"/>
  <c r="L3" i="43"/>
  <c r="M3" i="43"/>
  <c r="K5" i="43"/>
  <c r="R7" i="43"/>
  <c r="Q8" i="43"/>
  <c r="Z8" i="43"/>
  <c r="P9" i="43"/>
  <c r="Y9" i="43"/>
  <c r="M11" i="43"/>
  <c r="L12" i="43"/>
  <c r="S12" i="43" s="1"/>
  <c r="U12" i="43"/>
  <c r="K13" i="43"/>
  <c r="R15" i="43"/>
  <c r="Q16" i="43"/>
  <c r="Z16" i="43"/>
  <c r="P17" i="43"/>
  <c r="Y17" i="43"/>
  <c r="O18" i="43"/>
  <c r="M19" i="43"/>
  <c r="L20" i="43"/>
  <c r="K21" i="43"/>
  <c r="R23" i="43"/>
  <c r="Q24" i="43"/>
  <c r="Z24" i="43"/>
  <c r="P25" i="43"/>
  <c r="Y25" i="43"/>
  <c r="O26" i="43"/>
  <c r="M27" i="43"/>
  <c r="L28" i="43"/>
  <c r="K29" i="43"/>
  <c r="T28" i="43"/>
  <c r="O3" i="43"/>
  <c r="Q9" i="43"/>
  <c r="O11" i="43"/>
  <c r="M12" i="43"/>
  <c r="Q17" i="43"/>
  <c r="Y18" i="43"/>
  <c r="O19" i="43"/>
  <c r="M20" i="43"/>
  <c r="T22" i="43"/>
  <c r="Q25" i="43"/>
  <c r="Y26" i="43"/>
  <c r="O27" i="43"/>
  <c r="M28" i="43"/>
  <c r="T3" i="43"/>
  <c r="Y3" i="43"/>
  <c r="T7" i="43"/>
  <c r="Y11" i="43"/>
  <c r="O12" i="43"/>
  <c r="T15" i="43"/>
  <c r="Y19" i="43"/>
  <c r="O20" i="43"/>
  <c r="T23" i="43"/>
  <c r="Y27" i="43"/>
  <c r="O28" i="43"/>
  <c r="K4" i="43"/>
  <c r="Q3" i="43"/>
  <c r="L7" i="43"/>
  <c r="Q11" i="43"/>
  <c r="Y12" i="43"/>
  <c r="L15" i="43"/>
  <c r="R18" i="43"/>
  <c r="Q19" i="43"/>
  <c r="Y20" i="43"/>
  <c r="M22" i="43"/>
  <c r="L23" i="43"/>
  <c r="R26" i="43"/>
  <c r="Q27" i="43"/>
  <c r="Y28" i="43"/>
  <c r="Q4" i="43"/>
  <c r="M7" i="43"/>
  <c r="T9" i="43"/>
  <c r="R11" i="43"/>
  <c r="Q12" i="43"/>
  <c r="M15" i="43"/>
  <c r="T17" i="43"/>
  <c r="R19" i="43"/>
  <c r="Q20" i="43"/>
  <c r="M23" i="43"/>
  <c r="R27" i="43"/>
  <c r="Q28" i="43"/>
  <c r="Q29" i="43"/>
  <c r="T20" i="43"/>
  <c r="Q5" i="43"/>
  <c r="Q13" i="43"/>
  <c r="Q21" i="43"/>
  <c r="O23" i="43"/>
  <c r="P8" i="43" l="1"/>
  <c r="AA8" i="43"/>
  <c r="U7" i="43"/>
  <c r="V7" i="43" s="1"/>
  <c r="S7" i="43"/>
  <c r="AA19" i="43"/>
  <c r="P19" i="43"/>
  <c r="V19" i="43" s="1"/>
  <c r="R29" i="43"/>
  <c r="Y29" i="43"/>
  <c r="O29" i="43"/>
  <c r="AA29" i="43" s="1"/>
  <c r="M29" i="43"/>
  <c r="L29" i="43"/>
  <c r="T29" i="43"/>
  <c r="U10" i="43"/>
  <c r="S10" i="43"/>
  <c r="U6" i="43"/>
  <c r="S6" i="43"/>
  <c r="U16" i="43"/>
  <c r="S16" i="43"/>
  <c r="U8" i="43"/>
  <c r="V8" i="43" s="1"/>
  <c r="S8" i="43"/>
  <c r="U22" i="43"/>
  <c r="V22" i="43" s="1"/>
  <c r="S22" i="43"/>
  <c r="U24" i="43"/>
  <c r="V24" i="43" s="1"/>
  <c r="S24" i="43"/>
  <c r="P23" i="43"/>
  <c r="AA23" i="43"/>
  <c r="V25" i="43"/>
  <c r="S3" i="43"/>
  <c r="U3" i="43"/>
  <c r="V3" i="43" s="1"/>
  <c r="R21" i="43"/>
  <c r="Y21" i="43"/>
  <c r="O21" i="43"/>
  <c r="M21" i="43"/>
  <c r="L21" i="43"/>
  <c r="T21" i="43"/>
  <c r="AA24" i="43"/>
  <c r="P24" i="43"/>
  <c r="AA28" i="43"/>
  <c r="P28" i="43"/>
  <c r="U17" i="43"/>
  <c r="V17" i="43" s="1"/>
  <c r="S17" i="43"/>
  <c r="AA20" i="43"/>
  <c r="P20" i="43"/>
  <c r="R13" i="43"/>
  <c r="Y13" i="43"/>
  <c r="O13" i="43"/>
  <c r="M13" i="43"/>
  <c r="L13" i="43"/>
  <c r="T13" i="43"/>
  <c r="V27" i="43"/>
  <c r="P14" i="43"/>
  <c r="AA14" i="43"/>
  <c r="AA12" i="43"/>
  <c r="P12" i="43"/>
  <c r="U9" i="43"/>
  <c r="V9" i="43" s="1"/>
  <c r="S9" i="43"/>
  <c r="R4" i="43"/>
  <c r="O4" i="43"/>
  <c r="T4" i="43"/>
  <c r="Y4" i="43"/>
  <c r="M4" i="43"/>
  <c r="L4" i="43"/>
  <c r="P3" i="43"/>
  <c r="AA3" i="43"/>
  <c r="U14" i="43"/>
  <c r="V14" i="43" s="1"/>
  <c r="S14" i="43"/>
  <c r="S28" i="43"/>
  <c r="U28" i="43"/>
  <c r="V28" i="43" s="1"/>
  <c r="U23" i="43"/>
  <c r="V23" i="43" s="1"/>
  <c r="S23" i="43"/>
  <c r="S20" i="43"/>
  <c r="U20" i="43"/>
  <c r="AA27" i="43"/>
  <c r="P27" i="43"/>
  <c r="AA26" i="43"/>
  <c r="P26" i="43"/>
  <c r="V26" i="43" s="1"/>
  <c r="V12" i="43"/>
  <c r="Y5" i="43"/>
  <c r="R5" i="43"/>
  <c r="O5" i="43"/>
  <c r="M5" i="43"/>
  <c r="L5" i="43"/>
  <c r="T5" i="43"/>
  <c r="AA16" i="43"/>
  <c r="P16" i="43"/>
  <c r="U15" i="43"/>
  <c r="V15" i="43" s="1"/>
  <c r="S15" i="43"/>
  <c r="AA11" i="43"/>
  <c r="P11" i="43"/>
  <c r="V11" i="43" s="1"/>
  <c r="AA18" i="43"/>
  <c r="P18" i="43"/>
  <c r="V18" i="43" s="1"/>
  <c r="AA10" i="43"/>
  <c r="P10" i="43"/>
  <c r="P6" i="43"/>
  <c r="AA6" i="43"/>
  <c r="S5" i="43" l="1"/>
  <c r="U5" i="43"/>
  <c r="S4" i="43"/>
  <c r="U4" i="43"/>
  <c r="V10" i="43"/>
  <c r="S29" i="43"/>
  <c r="U29" i="43"/>
  <c r="V29" i="43" s="1"/>
  <c r="V20" i="43"/>
  <c r="S13" i="43"/>
  <c r="U13" i="43"/>
  <c r="AA13" i="43"/>
  <c r="P13" i="43"/>
  <c r="V6" i="43"/>
  <c r="AA4" i="43"/>
  <c r="P4" i="43"/>
  <c r="S21" i="43"/>
  <c r="U21" i="43"/>
  <c r="P5" i="43"/>
  <c r="AA5" i="43"/>
  <c r="AA21" i="43"/>
  <c r="P21" i="43"/>
  <c r="V16" i="43"/>
  <c r="V4" i="43" l="1"/>
  <c r="V13" i="43"/>
  <c r="V5" i="43"/>
  <c r="V21" i="43"/>
  <c r="J47" i="40" l="1"/>
  <c r="D47" i="40"/>
  <c r="E47" i="40" s="1"/>
  <c r="C47" i="40"/>
  <c r="O47" i="40" s="1"/>
  <c r="O46" i="40"/>
  <c r="J46" i="40"/>
  <c r="E46" i="40"/>
  <c r="D46" i="40"/>
  <c r="C46" i="40"/>
  <c r="G46" i="40" s="1"/>
  <c r="O45" i="40"/>
  <c r="J45" i="40"/>
  <c r="D45" i="40"/>
  <c r="E45" i="40" s="1"/>
  <c r="C45" i="40"/>
  <c r="G45" i="40" s="1"/>
  <c r="O44" i="40"/>
  <c r="J44" i="40"/>
  <c r="G44" i="40"/>
  <c r="F44" i="40"/>
  <c r="D44" i="40"/>
  <c r="E44" i="40" s="1"/>
  <c r="C44" i="40"/>
  <c r="O43" i="40"/>
  <c r="J43" i="40"/>
  <c r="G43" i="40"/>
  <c r="F43" i="40"/>
  <c r="E43" i="40"/>
  <c r="D43" i="40"/>
  <c r="C43" i="40"/>
  <c r="O42" i="40"/>
  <c r="J42" i="40"/>
  <c r="G42" i="40"/>
  <c r="F42" i="40"/>
  <c r="D42" i="40"/>
  <c r="E42" i="40" s="1"/>
  <c r="C42" i="40"/>
  <c r="J41" i="40"/>
  <c r="D41" i="40"/>
  <c r="E41" i="40" s="1"/>
  <c r="C41" i="40"/>
  <c r="O41" i="40" s="1"/>
  <c r="J40" i="40"/>
  <c r="D40" i="40"/>
  <c r="E40" i="40" s="1"/>
  <c r="C40" i="40"/>
  <c r="O40" i="40" s="1"/>
  <c r="O39" i="40"/>
  <c r="J39" i="40"/>
  <c r="D39" i="40"/>
  <c r="E39" i="40" s="1"/>
  <c r="C39" i="40"/>
  <c r="G39" i="40" s="1"/>
  <c r="O38" i="40"/>
  <c r="J38" i="40"/>
  <c r="D38" i="40"/>
  <c r="E38" i="40" s="1"/>
  <c r="C38" i="40"/>
  <c r="G38" i="40" s="1"/>
  <c r="O37" i="40"/>
  <c r="J37" i="40"/>
  <c r="G37" i="40"/>
  <c r="D37" i="40"/>
  <c r="E37" i="40" s="1"/>
  <c r="C37" i="40"/>
  <c r="F37" i="40" s="1"/>
  <c r="O36" i="40"/>
  <c r="J36" i="40"/>
  <c r="G36" i="40"/>
  <c r="F36" i="40"/>
  <c r="E36" i="40"/>
  <c r="D36" i="40"/>
  <c r="C36" i="40"/>
  <c r="O35" i="40"/>
  <c r="J35" i="40"/>
  <c r="G35" i="40"/>
  <c r="F35" i="40"/>
  <c r="E35" i="40"/>
  <c r="D35" i="40"/>
  <c r="C35" i="40"/>
  <c r="J34" i="40"/>
  <c r="G34" i="40"/>
  <c r="F34" i="40"/>
  <c r="D34" i="40"/>
  <c r="E34" i="40" s="1"/>
  <c r="C34" i="40"/>
  <c r="O34" i="40" s="1"/>
  <c r="J33" i="40"/>
  <c r="D33" i="40"/>
  <c r="E33" i="40" s="1"/>
  <c r="C33" i="40"/>
  <c r="O33" i="40" s="1"/>
  <c r="J32" i="40"/>
  <c r="D32" i="40"/>
  <c r="E32" i="40" s="1"/>
  <c r="C32" i="40"/>
  <c r="O32" i="40" s="1"/>
  <c r="O31" i="40"/>
  <c r="J31" i="40"/>
  <c r="D31" i="40"/>
  <c r="E31" i="40" s="1"/>
  <c r="C31" i="40"/>
  <c r="G31" i="40" s="1"/>
  <c r="O30" i="40"/>
  <c r="J30" i="40"/>
  <c r="D30" i="40"/>
  <c r="E30" i="40" s="1"/>
  <c r="C30" i="40"/>
  <c r="G30" i="40" s="1"/>
  <c r="O29" i="40"/>
  <c r="J29" i="40"/>
  <c r="G29" i="40"/>
  <c r="F29" i="40"/>
  <c r="E29" i="40"/>
  <c r="D29" i="40"/>
  <c r="C29" i="40"/>
  <c r="O28" i="40"/>
  <c r="J28" i="40"/>
  <c r="G28" i="40"/>
  <c r="F28" i="40"/>
  <c r="E28" i="40"/>
  <c r="D28" i="40"/>
  <c r="C28" i="40"/>
  <c r="J27" i="40"/>
  <c r="G27" i="40"/>
  <c r="F27" i="40"/>
  <c r="D27" i="40"/>
  <c r="E27" i="40" s="1"/>
  <c r="C27" i="40"/>
  <c r="O27" i="40" s="1"/>
  <c r="J26" i="40"/>
  <c r="D26" i="40"/>
  <c r="E26" i="40" s="1"/>
  <c r="C26" i="40"/>
  <c r="O26" i="40" s="1"/>
  <c r="J25" i="40"/>
  <c r="D25" i="40"/>
  <c r="E25" i="40" s="1"/>
  <c r="C25" i="40"/>
  <c r="O25" i="40" s="1"/>
  <c r="O24" i="40"/>
  <c r="J24" i="40"/>
  <c r="D24" i="40"/>
  <c r="E24" i="40" s="1"/>
  <c r="C24" i="40"/>
  <c r="G24" i="40" s="1"/>
  <c r="O23" i="40"/>
  <c r="J23" i="40"/>
  <c r="D23" i="40"/>
  <c r="E23" i="40" s="1"/>
  <c r="C23" i="40"/>
  <c r="G23" i="40" s="1"/>
  <c r="O22" i="40"/>
  <c r="J22" i="40"/>
  <c r="G22" i="40"/>
  <c r="D22" i="40"/>
  <c r="E22" i="40" s="1"/>
  <c r="C22" i="40"/>
  <c r="F22" i="40" s="1"/>
  <c r="O21" i="40"/>
  <c r="J21" i="40"/>
  <c r="G21" i="40"/>
  <c r="F21" i="40"/>
  <c r="E21" i="40"/>
  <c r="D21" i="40"/>
  <c r="C21" i="40"/>
  <c r="O20" i="40"/>
  <c r="J20" i="40"/>
  <c r="G20" i="40"/>
  <c r="F20" i="40"/>
  <c r="E20" i="40"/>
  <c r="D20" i="40"/>
  <c r="C20" i="40"/>
  <c r="J19" i="40"/>
  <c r="G19" i="40"/>
  <c r="F19" i="40"/>
  <c r="D19" i="40"/>
  <c r="E19" i="40" s="1"/>
  <c r="C19" i="40"/>
  <c r="O19" i="40" s="1"/>
  <c r="J18" i="40"/>
  <c r="D18" i="40"/>
  <c r="E18" i="40" s="1"/>
  <c r="C18" i="40"/>
  <c r="O18" i="40" s="1"/>
  <c r="J17" i="40"/>
  <c r="D17" i="40"/>
  <c r="E17" i="40" s="1"/>
  <c r="C17" i="40"/>
  <c r="O17" i="40" s="1"/>
  <c r="O16" i="40"/>
  <c r="J16" i="40"/>
  <c r="D16" i="40"/>
  <c r="E16" i="40" s="1"/>
  <c r="C16" i="40"/>
  <c r="G16" i="40" s="1"/>
  <c r="O15" i="40"/>
  <c r="J15" i="40"/>
  <c r="D15" i="40"/>
  <c r="E15" i="40" s="1"/>
  <c r="C15" i="40"/>
  <c r="G15" i="40" s="1"/>
  <c r="O14" i="40"/>
  <c r="J14" i="40"/>
  <c r="G14" i="40"/>
  <c r="F14" i="40"/>
  <c r="E14" i="40"/>
  <c r="D14" i="40"/>
  <c r="C14" i="40"/>
  <c r="O13" i="40"/>
  <c r="J13" i="40"/>
  <c r="G13" i="40"/>
  <c r="F13" i="40"/>
  <c r="E13" i="40"/>
  <c r="D13" i="40"/>
  <c r="C13" i="40"/>
  <c r="O12" i="40"/>
  <c r="J12" i="40"/>
  <c r="G12" i="40"/>
  <c r="F12" i="40"/>
  <c r="E12" i="40"/>
  <c r="D12" i="40"/>
  <c r="C12" i="40"/>
  <c r="J11" i="40"/>
  <c r="G11" i="40"/>
  <c r="F11" i="40"/>
  <c r="D11" i="40"/>
  <c r="E11" i="40" s="1"/>
  <c r="C11" i="40"/>
  <c r="O11" i="40" s="1"/>
  <c r="J10" i="40"/>
  <c r="D10" i="40"/>
  <c r="E10" i="40" s="1"/>
  <c r="C10" i="40"/>
  <c r="O10" i="40" s="1"/>
  <c r="J9" i="40"/>
  <c r="D9" i="40"/>
  <c r="E9" i="40" s="1"/>
  <c r="C9" i="40"/>
  <c r="O9" i="40" s="1"/>
  <c r="O8" i="40"/>
  <c r="J8" i="40"/>
  <c r="D8" i="40"/>
  <c r="E8" i="40" s="1"/>
  <c r="C8" i="40"/>
  <c r="G8" i="40" s="1"/>
  <c r="O7" i="40"/>
  <c r="J7" i="40"/>
  <c r="D7" i="40"/>
  <c r="E7" i="40" s="1"/>
  <c r="C7" i="40"/>
  <c r="G7" i="40" s="1"/>
  <c r="O6" i="40"/>
  <c r="J6" i="40"/>
  <c r="G6" i="40"/>
  <c r="F6" i="40"/>
  <c r="E6" i="40"/>
  <c r="D6" i="40"/>
  <c r="C6" i="40"/>
  <c r="O5" i="40"/>
  <c r="J5" i="40"/>
  <c r="G5" i="40"/>
  <c r="F5" i="40"/>
  <c r="E5" i="40"/>
  <c r="D5" i="40"/>
  <c r="C5" i="40"/>
  <c r="O4" i="40"/>
  <c r="J4" i="40"/>
  <c r="G4" i="40"/>
  <c r="F4" i="40"/>
  <c r="E4" i="40"/>
  <c r="D4" i="40"/>
  <c r="C4" i="40"/>
  <c r="F33" i="40" l="1"/>
  <c r="F41" i="40"/>
  <c r="F10" i="40"/>
  <c r="G10" i="40"/>
  <c r="G18" i="40"/>
  <c r="F25" i="40"/>
  <c r="F32" i="40"/>
  <c r="G33" i="40"/>
  <c r="F40" i="40"/>
  <c r="G41" i="40"/>
  <c r="F47" i="40"/>
  <c r="F17" i="40"/>
  <c r="F8" i="40"/>
  <c r="G9" i="40"/>
  <c r="F16" i="40"/>
  <c r="G17" i="40"/>
  <c r="F24" i="40"/>
  <c r="G25" i="40"/>
  <c r="F31" i="40"/>
  <c r="G32" i="40"/>
  <c r="F39" i="40"/>
  <c r="G40" i="40"/>
  <c r="F46" i="40"/>
  <c r="G47" i="40"/>
  <c r="F18" i="40"/>
  <c r="F26" i="40"/>
  <c r="F9" i="40"/>
  <c r="G26" i="40"/>
  <c r="F7" i="40"/>
  <c r="F15" i="40"/>
  <c r="F23" i="40"/>
  <c r="F38" i="40"/>
  <c r="AC73" i="35" l="1"/>
  <c r="AC75" i="35" s="1"/>
  <c r="AC67" i="35"/>
  <c r="T60" i="35"/>
  <c r="AG56" i="35"/>
  <c r="Y54" i="35"/>
  <c r="Y57" i="35" s="1"/>
  <c r="Y59" i="35" s="1"/>
  <c r="T54" i="35"/>
  <c r="AG49" i="35"/>
  <c r="Y49" i="35"/>
  <c r="AC47" i="35"/>
  <c r="AC48" i="35" s="1"/>
  <c r="T47" i="35"/>
  <c r="T48" i="35" s="1"/>
  <c r="T46" i="35"/>
  <c r="AG42" i="35"/>
  <c r="AG37" i="35"/>
  <c r="T37" i="35"/>
  <c r="AG36" i="35"/>
  <c r="T36" i="35"/>
  <c r="Y35" i="35"/>
  <c r="AG31" i="35"/>
  <c r="Y31" i="35"/>
  <c r="AC28" i="35"/>
  <c r="AC32" i="35" s="1"/>
  <c r="AC35" i="35" s="1"/>
  <c r="AC37" i="35" s="1"/>
  <c r="AC39" i="35" s="1"/>
  <c r="AG27" i="35"/>
  <c r="Y27" i="35"/>
  <c r="Y39" i="35" s="1"/>
  <c r="Y40" i="35" s="1"/>
  <c r="Y41" i="35" s="1"/>
  <c r="T27" i="35"/>
  <c r="T26" i="35"/>
  <c r="T25" i="35"/>
  <c r="AG23" i="35"/>
  <c r="Y19" i="35"/>
  <c r="AG15" i="35"/>
  <c r="AG16" i="35" s="1"/>
  <c r="AG17" i="35" s="1"/>
  <c r="AG8" i="35"/>
  <c r="AC8" i="35"/>
  <c r="AC12" i="35" s="1"/>
  <c r="AC15" i="35" s="1"/>
  <c r="AC17" i="35" s="1"/>
  <c r="Y8" i="35"/>
  <c r="T7" i="35"/>
  <c r="T9" i="35" s="1"/>
  <c r="T14" i="35" s="1"/>
  <c r="AC76" i="35" l="1"/>
  <c r="Y42" i="35"/>
  <c r="Y43" i="35" s="1"/>
  <c r="AC9" i="35"/>
  <c r="T28" i="35"/>
  <c r="AC51" i="35"/>
  <c r="AC54" i="35" s="1"/>
  <c r="AC57" i="35" s="1"/>
  <c r="AC60" i="35" s="1"/>
  <c r="Y36" i="35"/>
  <c r="T38" i="35"/>
  <c r="T39" i="35" s="1"/>
  <c r="AC21" i="35"/>
  <c r="AC19" i="35"/>
  <c r="AC40" i="35"/>
  <c r="AC29" i="35"/>
  <c r="AC68" i="35"/>
  <c r="AC59" i="35" l="1"/>
  <c r="C45" i="35"/>
  <c r="C38" i="35"/>
  <c r="C16" i="35"/>
  <c r="C18" i="35" s="1"/>
  <c r="C22" i="35" s="1"/>
  <c r="C10" i="35"/>
  <c r="C6" i="35"/>
  <c r="C8" i="35" s="1"/>
  <c r="L13" i="35" l="1"/>
  <c r="J13" i="35"/>
  <c r="C60" i="35"/>
  <c r="C42" i="35"/>
  <c r="C27" i="35" s="1"/>
  <c r="C11" i="35"/>
  <c r="C59" i="35" l="1"/>
  <c r="C66" i="35"/>
  <c r="C65" i="35"/>
  <c r="C68" i="35" s="1"/>
  <c r="C24" i="35"/>
  <c r="C25" i="35" s="1"/>
  <c r="C23" i="35"/>
  <c r="C26" i="35" l="1"/>
  <c r="C29" i="35"/>
  <c r="C31" i="35" l="1"/>
  <c r="C30" i="35"/>
  <c r="C49" i="35"/>
  <c r="C48" i="35" s="1"/>
  <c r="C33" i="35"/>
  <c r="C50" i="35" l="1"/>
  <c r="C51" i="35" s="1"/>
  <c r="C52" i="35" s="1"/>
  <c r="C56" i="35"/>
  <c r="C46" i="35"/>
  <c r="C35" i="35"/>
  <c r="C34" i="35"/>
  <c r="C44" i="35" s="1"/>
  <c r="C47" i="35" s="1"/>
  <c r="C72" i="35" s="1"/>
  <c r="C37" i="35"/>
  <c r="C32" i="35"/>
  <c r="C69" i="35" l="1"/>
  <c r="C74" i="35" s="1"/>
  <c r="C77" i="35" s="1"/>
  <c r="C61" i="35"/>
  <c r="C36" i="35"/>
  <c r="C39" i="35" s="1"/>
  <c r="C76" i="35" l="1"/>
  <c r="C79" i="35" s="1"/>
  <c r="C81" i="35" s="1"/>
  <c r="C98" i="35" s="1"/>
  <c r="C75" i="35"/>
  <c r="C78" i="35" s="1"/>
  <c r="C87" i="35" s="1"/>
  <c r="C93" i="35" s="1"/>
  <c r="C86" i="35"/>
  <c r="C92" i="35" s="1"/>
  <c r="C88" i="35"/>
  <c r="C94" i="35"/>
  <c r="C89" i="35" l="1"/>
  <c r="C95" i="35"/>
  <c r="C83" i="35"/>
  <c r="M7" i="30"/>
  <c r="M8" i="30" s="1"/>
  <c r="J7" i="30"/>
  <c r="J8" i="30" s="1"/>
  <c r="G7" i="30"/>
  <c r="G8" i="30" s="1"/>
  <c r="E45" i="29"/>
  <c r="E26" i="29"/>
  <c r="E27" i="29" s="1"/>
  <c r="E10" i="29"/>
  <c r="F12" i="29"/>
  <c r="F13" i="29"/>
  <c r="E12" i="29"/>
  <c r="E13" i="29" s="1"/>
  <c r="J10" i="30" l="1"/>
  <c r="M10" i="30"/>
  <c r="G10" i="30"/>
</calcChain>
</file>

<file path=xl/sharedStrings.xml><?xml version="1.0" encoding="utf-8"?>
<sst xmlns="http://schemas.openxmlformats.org/spreadsheetml/2006/main" count="1641" uniqueCount="968">
  <si>
    <t>V</t>
    <phoneticPr fontId="8" type="noConversion"/>
  </si>
  <si>
    <t>A</t>
    <phoneticPr fontId="8" type="noConversion"/>
  </si>
  <si>
    <t>%</t>
    <phoneticPr fontId="8" type="noConversion"/>
  </si>
  <si>
    <t>코일턴수</t>
    <phoneticPr fontId="8" type="noConversion"/>
  </si>
  <si>
    <t>Turns</t>
    <phoneticPr fontId="8" type="noConversion"/>
  </si>
  <si>
    <t>내부직경</t>
    <phoneticPr fontId="8" type="noConversion"/>
  </si>
  <si>
    <t>mm</t>
    <phoneticPr fontId="8" type="noConversion"/>
  </si>
  <si>
    <t>높이</t>
    <phoneticPr fontId="8" type="noConversion"/>
  </si>
  <si>
    <t>인덕턴스</t>
    <phoneticPr fontId="8" type="noConversion"/>
  </si>
  <si>
    <t>uH</t>
    <phoneticPr fontId="8" type="noConversion"/>
  </si>
  <si>
    <t>uH</t>
  </si>
  <si>
    <t>uF</t>
  </si>
  <si>
    <t>kW</t>
    <phoneticPr fontId="8" type="noConversion"/>
  </si>
  <si>
    <t>uF</t>
    <phoneticPr fontId="8" type="noConversion"/>
  </si>
  <si>
    <t>kHz</t>
    <phoneticPr fontId="8" type="noConversion"/>
  </si>
  <si>
    <t>직렬 인덕턴스 계산 공식</t>
    <phoneticPr fontId="8" type="noConversion"/>
  </si>
  <si>
    <t>총등가L</t>
    <phoneticPr fontId="8" type="noConversion"/>
  </si>
  <si>
    <t>고객사</t>
    <phoneticPr fontId="9" type="noConversion"/>
  </si>
  <si>
    <t>비고</t>
    <phoneticPr fontId="9" type="noConversion"/>
  </si>
  <si>
    <t>공정</t>
    <phoneticPr fontId="9" type="noConversion"/>
  </si>
  <si>
    <t>전력</t>
    <phoneticPr fontId="9" type="noConversion"/>
  </si>
  <si>
    <t>예상 동작 주파수</t>
    <phoneticPr fontId="9" type="noConversion"/>
  </si>
  <si>
    <t>FUSE</t>
    <phoneticPr fontId="9" type="noConversion"/>
  </si>
  <si>
    <t xml:space="preserve">DIODE </t>
    <phoneticPr fontId="9" type="noConversion"/>
  </si>
  <si>
    <t>인러쉬 충전 및 과전압보호</t>
    <phoneticPr fontId="9" type="noConversion"/>
  </si>
  <si>
    <t>DC 인덕터</t>
    <phoneticPr fontId="9" type="noConversion"/>
  </si>
  <si>
    <t>전류센싱 션트저항</t>
    <phoneticPr fontId="9" type="noConversion"/>
  </si>
  <si>
    <t>전류센싱 C/T</t>
    <phoneticPr fontId="9" type="noConversion"/>
  </si>
  <si>
    <t>DC BLOCKING CAP</t>
    <phoneticPr fontId="9" type="noConversion"/>
  </si>
  <si>
    <t>사용안함</t>
    <phoneticPr fontId="9" type="noConversion"/>
  </si>
  <si>
    <t xml:space="preserve">코일 </t>
    <phoneticPr fontId="9" type="noConversion"/>
  </si>
  <si>
    <t>코일 연결 구조</t>
    <phoneticPr fontId="9" type="noConversion"/>
  </si>
  <si>
    <t>예상 Q값</t>
    <phoneticPr fontId="9" type="noConversion"/>
  </si>
  <si>
    <t>입력 선전류( 마진포함)</t>
    <phoneticPr fontId="9" type="noConversion"/>
  </si>
  <si>
    <t>입력 DC전류</t>
    <phoneticPr fontId="9" type="noConversion"/>
  </si>
  <si>
    <t>코일전류</t>
    <phoneticPr fontId="8" type="noConversion"/>
  </si>
  <si>
    <t>제어방식</t>
    <phoneticPr fontId="9" type="noConversion"/>
  </si>
  <si>
    <t>메인 컨트롤 보드</t>
    <phoneticPr fontId="8" type="noConversion"/>
  </si>
  <si>
    <t>확장(익스펜션) 보드</t>
    <phoneticPr fontId="8" type="noConversion"/>
  </si>
  <si>
    <t>모듈 컨트롤 보드</t>
    <phoneticPr fontId="8" type="noConversion"/>
  </si>
  <si>
    <t>게이트 드라이버 보드</t>
    <phoneticPr fontId="8" type="noConversion"/>
  </si>
  <si>
    <t>ACB</t>
    <phoneticPr fontId="9" type="noConversion"/>
  </si>
  <si>
    <t>사용 재료</t>
    <phoneticPr fontId="9" type="noConversion"/>
  </si>
  <si>
    <t>타프피치 동</t>
    <phoneticPr fontId="9" type="noConversion"/>
  </si>
  <si>
    <t>Tesla</t>
    <phoneticPr fontId="8" type="noConversion"/>
  </si>
  <si>
    <t>A</t>
    <phoneticPr fontId="8" type="noConversion"/>
  </si>
  <si>
    <t>중족단면적</t>
    <phoneticPr fontId="8" type="noConversion"/>
  </si>
  <si>
    <t>도체의 온도저항계수</t>
    <phoneticPr fontId="8" type="noConversion"/>
  </si>
  <si>
    <t>at 20℃</t>
    <phoneticPr fontId="8" type="noConversion"/>
  </si>
  <si>
    <t>도체의 온도</t>
    <phoneticPr fontId="8" type="noConversion"/>
  </si>
  <si>
    <t>℃</t>
  </si>
  <si>
    <t>VDC (동작: RUN 중)</t>
    <phoneticPr fontId="8" type="noConversion"/>
  </si>
  <si>
    <t xml:space="preserve">도체의 산출저항 </t>
    <phoneticPr fontId="8" type="noConversion"/>
  </si>
  <si>
    <t>주파수</t>
    <phoneticPr fontId="8" type="noConversion"/>
  </si>
  <si>
    <t>공진주파수</t>
    <phoneticPr fontId="8" type="noConversion"/>
  </si>
  <si>
    <t>배선길이</t>
    <phoneticPr fontId="8" type="noConversion"/>
  </si>
  <si>
    <t xml:space="preserve">두께 : 부스바 </t>
    <phoneticPr fontId="8" type="noConversion"/>
  </si>
  <si>
    <t>Min(스킨뎁스,두께)</t>
    <phoneticPr fontId="8" type="noConversion"/>
  </si>
  <si>
    <t>콘덴서</t>
    <phoneticPr fontId="8" type="noConversion"/>
  </si>
  <si>
    <t>DC LINK CAP RIPPLE Voltage</t>
    <phoneticPr fontId="8" type="noConversion"/>
  </si>
  <si>
    <t>kHz</t>
    <phoneticPr fontId="8" type="noConversion"/>
  </si>
  <si>
    <t>단면적</t>
    <phoneticPr fontId="8" type="noConversion"/>
  </si>
  <si>
    <t>mmSQ당 전류</t>
    <phoneticPr fontId="8" type="noConversion"/>
  </si>
  <si>
    <t>nF</t>
    <phoneticPr fontId="9" type="noConversion"/>
  </si>
  <si>
    <t>C스너버 보드당 C갯수</t>
    <phoneticPr fontId="9" type="noConversion"/>
  </si>
  <si>
    <t>개</t>
    <phoneticPr fontId="9" type="noConversion"/>
  </si>
  <si>
    <t>인버터 출력전류</t>
    <phoneticPr fontId="9" type="noConversion"/>
  </si>
  <si>
    <t>Arms</t>
    <phoneticPr fontId="9" type="noConversion"/>
  </si>
  <si>
    <t>가로(외곽)</t>
    <phoneticPr fontId="8" type="noConversion"/>
  </si>
  <si>
    <t>작성일시</t>
    <phoneticPr fontId="10" type="noConversion"/>
  </si>
  <si>
    <t>요청 일시</t>
  </si>
  <si>
    <t>시운전일시</t>
    <phoneticPr fontId="10" type="noConversion"/>
  </si>
  <si>
    <t>납품 일시</t>
  </si>
  <si>
    <t>PROGRAM SPECIFICATION</t>
    <phoneticPr fontId="10" type="noConversion"/>
  </si>
  <si>
    <t>CLOCK</t>
    <phoneticPr fontId="10" type="noConversion"/>
  </si>
  <si>
    <t>CLOCK</t>
    <phoneticPr fontId="10" type="noConversion"/>
  </si>
  <si>
    <t>M</t>
    <phoneticPr fontId="10" type="noConversion"/>
  </si>
  <si>
    <t>SCALE</t>
    <phoneticPr fontId="10" type="noConversion"/>
  </si>
  <si>
    <t>분주</t>
    <phoneticPr fontId="10" type="noConversion"/>
  </si>
  <si>
    <t>ECAP_CLOCK_10HZ</t>
    <phoneticPr fontId="10" type="noConversion"/>
  </si>
  <si>
    <t>FREQUENCY</t>
    <phoneticPr fontId="10" type="noConversion"/>
  </si>
  <si>
    <t>PERIOD</t>
    <phoneticPr fontId="10" type="noConversion"/>
  </si>
  <si>
    <t>HALF PERIOD</t>
    <phoneticPr fontId="10" type="noConversion"/>
  </si>
  <si>
    <t>POWER</t>
    <phoneticPr fontId="10" type="noConversion"/>
  </si>
  <si>
    <t>MAXIMUM</t>
    <phoneticPr fontId="10" type="noConversion"/>
  </si>
  <si>
    <t>kW</t>
    <phoneticPr fontId="10" type="noConversion"/>
  </si>
  <si>
    <t>MINIMUM</t>
    <phoneticPr fontId="10" type="noConversion"/>
  </si>
  <si>
    <t>INPUT VOLTAGE</t>
    <phoneticPr fontId="10" type="noConversion"/>
  </si>
  <si>
    <t>VAC</t>
    <phoneticPr fontId="10" type="noConversion"/>
  </si>
  <si>
    <t>Vo MAX</t>
    <phoneticPr fontId="10" type="noConversion"/>
  </si>
  <si>
    <t>V</t>
    <phoneticPr fontId="10" type="noConversion"/>
  </si>
  <si>
    <t>INRUSH Voltage</t>
    <phoneticPr fontId="10" type="noConversion"/>
  </si>
  <si>
    <t>UVP</t>
    <phoneticPr fontId="10" type="noConversion"/>
  </si>
  <si>
    <t>V</t>
    <phoneticPr fontId="10" type="noConversion"/>
  </si>
  <si>
    <t>전류 센싱</t>
    <phoneticPr fontId="10" type="noConversion"/>
  </si>
  <si>
    <t>SHUNT</t>
    <phoneticPr fontId="10" type="noConversion"/>
  </si>
  <si>
    <t>A/50mV</t>
    <phoneticPr fontId="10" type="noConversion"/>
  </si>
  <si>
    <t>Io OCP</t>
    <phoneticPr fontId="10" type="noConversion"/>
  </si>
  <si>
    <t>A</t>
    <phoneticPr fontId="10" type="noConversion"/>
  </si>
  <si>
    <t>공진 전류 센싱
(한 모듈 기준)</t>
    <phoneticPr fontId="10" type="noConversion"/>
  </si>
  <si>
    <t>RESISTOR</t>
    <phoneticPr fontId="10" type="noConversion"/>
  </si>
  <si>
    <t>Ω</t>
    <phoneticPr fontId="10" type="noConversion"/>
  </si>
  <si>
    <t>PARALLEL</t>
    <phoneticPr fontId="10" type="noConversion"/>
  </si>
  <si>
    <t>개수</t>
    <phoneticPr fontId="10" type="noConversion"/>
  </si>
  <si>
    <t>CT</t>
    <phoneticPr fontId="10" type="noConversion"/>
  </si>
  <si>
    <t>:1</t>
    <phoneticPr fontId="10" type="noConversion"/>
  </si>
  <si>
    <t>실제 CURRENT</t>
    <phoneticPr fontId="10" type="noConversion"/>
  </si>
  <si>
    <t>IR RMS</t>
    <phoneticPr fontId="10" type="noConversion"/>
  </si>
  <si>
    <t>IR AVG(LCD)</t>
    <phoneticPr fontId="10" type="noConversion"/>
  </si>
  <si>
    <t>IR OCP</t>
    <phoneticPr fontId="10" type="noConversion"/>
  </si>
  <si>
    <t>AD REF
(4 ~ 20mA)</t>
    <phoneticPr fontId="10" type="noConversion"/>
  </si>
  <si>
    <t xml:space="preserve">kW </t>
    <phoneticPr fontId="10" type="noConversion"/>
  </si>
  <si>
    <t>MINIMUM</t>
    <phoneticPr fontId="10" type="noConversion"/>
  </si>
  <si>
    <t>DA POWER</t>
    <phoneticPr fontId="10" type="noConversion"/>
  </si>
  <si>
    <t>DA FREQUENCY</t>
    <phoneticPr fontId="10" type="noConversion"/>
  </si>
  <si>
    <t>Hz</t>
    <phoneticPr fontId="10" type="noConversion"/>
  </si>
  <si>
    <t>공진 CAP</t>
    <phoneticPr fontId="10" type="noConversion"/>
  </si>
  <si>
    <t>RESONANT_CAP</t>
    <phoneticPr fontId="10" type="noConversion"/>
  </si>
  <si>
    <t xml:space="preserve">uF </t>
    <phoneticPr fontId="10" type="noConversion"/>
  </si>
  <si>
    <t>VOLTAGE</t>
    <phoneticPr fontId="10" type="noConversion"/>
  </si>
  <si>
    <t>SET_Vr</t>
    <phoneticPr fontId="10" type="noConversion"/>
  </si>
  <si>
    <t>M/T</t>
    <phoneticPr fontId="10" type="noConversion"/>
  </si>
  <si>
    <t>SET_TURN_RATIO</t>
  </si>
  <si>
    <t>동작 주파수</t>
    <phoneticPr fontId="10" type="noConversion"/>
  </si>
  <si>
    <t>START FREQUENCY</t>
    <phoneticPr fontId="10" type="noConversion"/>
  </si>
  <si>
    <t>PWM FREQUENCY</t>
    <phoneticPr fontId="10" type="noConversion"/>
  </si>
  <si>
    <t>MODULE 수량</t>
    <phoneticPr fontId="10" type="noConversion"/>
  </si>
  <si>
    <t>EA</t>
    <phoneticPr fontId="10" type="noConversion"/>
  </si>
  <si>
    <t>DEAD TIME</t>
    <phoneticPr fontId="10" type="noConversion"/>
  </si>
  <si>
    <t xml:space="preserve">uS </t>
    <phoneticPr fontId="10" type="noConversion"/>
  </si>
  <si>
    <t>분주 주파수</t>
    <phoneticPr fontId="10" type="noConversion"/>
  </si>
  <si>
    <t>SET DEAD TIME</t>
    <phoneticPr fontId="10" type="noConversion"/>
  </si>
  <si>
    <t>COUNT</t>
    <phoneticPr fontId="10" type="noConversion"/>
  </si>
  <si>
    <t>EXT FAULT</t>
    <phoneticPr fontId="10" type="noConversion"/>
  </si>
  <si>
    <t>FLT1</t>
    <phoneticPr fontId="10" type="noConversion"/>
  </si>
  <si>
    <t>DOOR</t>
    <phoneticPr fontId="10" type="noConversion"/>
  </si>
  <si>
    <t>○</t>
    <phoneticPr fontId="10" type="noConversion"/>
  </si>
  <si>
    <t>FLT2</t>
  </si>
  <si>
    <t>OPP</t>
    <phoneticPr fontId="10" type="noConversion"/>
  </si>
  <si>
    <t>FLT3</t>
  </si>
  <si>
    <t>OTP</t>
    <phoneticPr fontId="10" type="noConversion"/>
  </si>
  <si>
    <t>FLT4</t>
  </si>
  <si>
    <t>FLOW</t>
    <phoneticPr fontId="10" type="noConversion"/>
  </si>
  <si>
    <t>FLT5</t>
  </si>
  <si>
    <t>MA/CB AUX</t>
    <phoneticPr fontId="10" type="noConversion"/>
  </si>
  <si>
    <t>FLT6</t>
  </si>
  <si>
    <t>OVGR</t>
    <phoneticPr fontId="10" type="noConversion"/>
  </si>
  <si>
    <t>FLT7</t>
  </si>
  <si>
    <t>WATER LEAK</t>
    <phoneticPr fontId="10" type="noConversion"/>
  </si>
  <si>
    <t>FLT10</t>
    <phoneticPr fontId="10" type="noConversion"/>
  </si>
  <si>
    <t>COIL TOUCH</t>
    <phoneticPr fontId="10" type="noConversion"/>
  </si>
  <si>
    <t>IIN OCP</t>
    <phoneticPr fontId="10" type="noConversion"/>
  </si>
  <si>
    <t>MD FAULT</t>
    <phoneticPr fontId="10" type="noConversion"/>
  </si>
  <si>
    <t>CONTROL MODE</t>
    <phoneticPr fontId="10" type="noConversion"/>
  </si>
  <si>
    <t>PSPWM</t>
    <phoneticPr fontId="10" type="noConversion"/>
  </si>
  <si>
    <t>공진회로</t>
    <phoneticPr fontId="10" type="noConversion"/>
  </si>
  <si>
    <t>직병렬 공진회로</t>
    <phoneticPr fontId="10" type="noConversion"/>
  </si>
  <si>
    <t>특이 사항</t>
    <phoneticPr fontId="10" type="noConversion"/>
  </si>
  <si>
    <t>양쪽 출력이 서로 반대 방향의 회전이 되어야 함.(시계 방향, 반 시계 방향)</t>
  </si>
  <si>
    <t>비고</t>
    <phoneticPr fontId="8" type="noConversion"/>
  </si>
  <si>
    <t>내용</t>
    <phoneticPr fontId="8" type="noConversion"/>
  </si>
  <si>
    <t>직렬 인덕터 설계 결과</t>
    <phoneticPr fontId="8" type="noConversion"/>
  </si>
  <si>
    <t>인버터 모듈(1모듈기준)</t>
    <phoneticPr fontId="9" type="noConversion"/>
  </si>
  <si>
    <t>DC LINK CAPACITOR(1모듈기준)</t>
    <phoneticPr fontId="9" type="noConversion"/>
  </si>
  <si>
    <t>공진 CAP 전류</t>
    <phoneticPr fontId="9" type="noConversion"/>
  </si>
  <si>
    <t>PSPWM</t>
    <phoneticPr fontId="9" type="noConversion"/>
  </si>
  <si>
    <t>IH_EXPANSION_BOARD_V1.5</t>
    <phoneticPr fontId="8" type="noConversion"/>
  </si>
  <si>
    <t>IH MODULE CONTROL BOARD V1.3</t>
    <phoneticPr fontId="8" type="noConversion"/>
  </si>
  <si>
    <t>직렬 인덕터</t>
    <phoneticPr fontId="9" type="noConversion"/>
  </si>
  <si>
    <t>,300:1 , 2병렬</t>
    <phoneticPr fontId="9" type="noConversion"/>
  </si>
  <si>
    <t>공진 CAP 모듈 연결 방식 및 수량</t>
    <phoneticPr fontId="8" type="noConversion"/>
  </si>
  <si>
    <t>공진 CAP</t>
    <phoneticPr fontId="9" type="noConversion"/>
  </si>
  <si>
    <t>공진 CAP 구조(1모듈 기준)</t>
    <phoneticPr fontId="9" type="noConversion"/>
  </si>
  <si>
    <t>cm^2</t>
    <phoneticPr fontId="8" type="noConversion"/>
  </si>
  <si>
    <t>DC 인덕터 설계 시트 참조</t>
    <phoneticPr fontId="9" type="noConversion"/>
  </si>
  <si>
    <t>직렬 인덕터 설계 시트 참조</t>
    <phoneticPr fontId="8" type="noConversion"/>
  </si>
  <si>
    <t>IH PROGRAM SETTING VALUE_Digital</t>
    <phoneticPr fontId="9" type="noConversion"/>
  </si>
  <si>
    <t xml:space="preserve">PROJECT </t>
    <phoneticPr fontId="9" type="noConversion"/>
  </si>
  <si>
    <t>최소 L값</t>
    <phoneticPr fontId="8" type="noConversion"/>
  </si>
  <si>
    <t>최대 L값</t>
    <phoneticPr fontId="8" type="noConversion"/>
  </si>
  <si>
    <t>기준 L값</t>
    <phoneticPr fontId="8" type="noConversion"/>
  </si>
  <si>
    <t xml:space="preserve">전장품 PL 참조 </t>
    <phoneticPr fontId="8" type="noConversion"/>
  </si>
  <si>
    <t>상호인덕턴스 영향</t>
    <phoneticPr fontId="8" type="noConversion"/>
  </si>
  <si>
    <t>총 등가 인덕턴스(상호L포함)</t>
    <phoneticPr fontId="8" type="noConversion"/>
  </si>
  <si>
    <t>,300:1 C/T를 2병렬하여 적용 (Dot 방향 동일하게 적용필요, TVS 제거 필요)</t>
    <phoneticPr fontId="8" type="noConversion"/>
  </si>
  <si>
    <t>mm^2</t>
    <phoneticPr fontId="8" type="noConversion"/>
  </si>
  <si>
    <t>[Ωm×10E-8]</t>
    <phoneticPr fontId="8" type="noConversion"/>
  </si>
  <si>
    <t>Skin Depth</t>
    <phoneticPr fontId="8" type="noConversion"/>
  </si>
  <si>
    <t>[mm]</t>
    <phoneticPr fontId="9" type="noConversion"/>
  </si>
  <si>
    <t>[mmSQ]</t>
    <phoneticPr fontId="9" type="noConversion"/>
  </si>
  <si>
    <t>총 등가L (직렬 및 병렬 수량 포함)</t>
    <phoneticPr fontId="8" type="noConversion"/>
  </si>
  <si>
    <t xml:space="preserve">저항 및 크로우바 회로 적용 </t>
    <phoneticPr fontId="9" type="noConversion"/>
  </si>
  <si>
    <t>2000A</t>
    <phoneticPr fontId="9" type="noConversion"/>
  </si>
  <si>
    <t>Po</t>
    <phoneticPr fontId="8" type="noConversion"/>
  </si>
  <si>
    <t>Vin(입력선전압)</t>
    <phoneticPr fontId="8" type="noConversion"/>
  </si>
  <si>
    <t>역율</t>
    <phoneticPr fontId="8" type="noConversion"/>
  </si>
  <si>
    <t>입력선전류</t>
    <phoneticPr fontId="8" type="noConversion"/>
  </si>
  <si>
    <t>Current Density</t>
    <phoneticPr fontId="8" type="noConversion"/>
  </si>
  <si>
    <t>입력선 단면적</t>
    <phoneticPr fontId="8" type="noConversion"/>
  </si>
  <si>
    <t>Vdc</t>
    <phoneticPr fontId="8" type="noConversion"/>
  </si>
  <si>
    <t>Idc</t>
    <phoneticPr fontId="8" type="noConversion"/>
  </si>
  <si>
    <t>인버터 관련</t>
    <phoneticPr fontId="8" type="noConversion"/>
  </si>
  <si>
    <t>C</t>
    <phoneticPr fontId="8" type="noConversion"/>
  </si>
  <si>
    <t>Fr</t>
    <phoneticPr fontId="8" type="noConversion"/>
  </si>
  <si>
    <t>Q</t>
    <phoneticPr fontId="8" type="noConversion"/>
  </si>
  <si>
    <t>Fs</t>
    <phoneticPr fontId="8" type="noConversion"/>
  </si>
  <si>
    <t>Zl</t>
    <phoneticPr fontId="8" type="noConversion"/>
  </si>
  <si>
    <t>R</t>
    <phoneticPr fontId="8" type="noConversion"/>
  </si>
  <si>
    <t>Irmax at R</t>
    <phoneticPr fontId="8" type="noConversion"/>
  </si>
  <si>
    <t>COS(Phase MIN)</t>
    <phoneticPr fontId="8" type="noConversion"/>
  </si>
  <si>
    <t>Qsw-cap</t>
    <phoneticPr fontId="8" type="noConversion"/>
  </si>
  <si>
    <t>HB/FB</t>
    <phoneticPr fontId="8" type="noConversion"/>
  </si>
  <si>
    <t xml:space="preserve">Vac max </t>
    <phoneticPr fontId="8" type="noConversion"/>
  </si>
  <si>
    <t>Turn Ratio</t>
    <phoneticPr fontId="8" type="noConversion"/>
  </si>
  <si>
    <t>Duty</t>
    <phoneticPr fontId="8" type="noConversion"/>
  </si>
  <si>
    <t>Ir primary</t>
    <phoneticPr fontId="8" type="noConversion"/>
  </si>
  <si>
    <t>Ir avg</t>
    <phoneticPr fontId="8" type="noConversion"/>
  </si>
  <si>
    <t>Ir avg DC</t>
    <phoneticPr fontId="8" type="noConversion"/>
  </si>
  <si>
    <t>Ir avg DC/Idc</t>
    <phoneticPr fontId="8" type="noConversion"/>
  </si>
  <si>
    <t>A/㎟</t>
    <phoneticPr fontId="8" type="noConversion"/>
  </si>
  <si>
    <t>㎟</t>
  </si>
  <si>
    <t>°</t>
    <phoneticPr fontId="8" type="noConversion"/>
  </si>
  <si>
    <t>mΩ</t>
    <phoneticPr fontId="8" type="noConversion"/>
  </si>
  <si>
    <t>:1</t>
    <phoneticPr fontId="8" type="noConversion"/>
  </si>
  <si>
    <t>L(등가 L값)</t>
    <phoneticPr fontId="8" type="noConversion"/>
  </si>
  <si>
    <t>코일(CT1차)</t>
    <phoneticPr fontId="8" type="noConversion"/>
  </si>
  <si>
    <t>직렬인덕터 L</t>
    <phoneticPr fontId="8" type="noConversion"/>
  </si>
  <si>
    <t>Ws</t>
    <phoneticPr fontId="8" type="noConversion"/>
  </si>
  <si>
    <t>직렬인덕터L/코일L</t>
    <phoneticPr fontId="8" type="noConversion"/>
  </si>
  <si>
    <t>V</t>
    <phoneticPr fontId="8" type="noConversion"/>
  </si>
  <si>
    <t>V coil L</t>
    <phoneticPr fontId="8" type="noConversion"/>
  </si>
  <si>
    <t>V coil R</t>
    <phoneticPr fontId="8" type="noConversion"/>
  </si>
  <si>
    <t>I cap</t>
    <phoneticPr fontId="8" type="noConversion"/>
  </si>
  <si>
    <t>I coil/ Ir primary</t>
    <phoneticPr fontId="8" type="noConversion"/>
  </si>
  <si>
    <t>V coil Voltage</t>
    <phoneticPr fontId="8" type="noConversion"/>
  </si>
  <si>
    <t>Vcap Voltage</t>
    <phoneticPr fontId="8" type="noConversion"/>
  </si>
  <si>
    <t>Req(등가)</t>
    <phoneticPr fontId="8" type="noConversion"/>
  </si>
  <si>
    <t>직렬인덕터 Voltage</t>
    <phoneticPr fontId="8" type="noConversion"/>
  </si>
  <si>
    <t>Phase MIN_Vout/Ir</t>
    <phoneticPr fontId="8" type="noConversion"/>
  </si>
  <si>
    <t>V</t>
    <phoneticPr fontId="8" type="noConversion"/>
  </si>
  <si>
    <t>V</t>
    <phoneticPr fontId="8" type="noConversion"/>
  </si>
  <si>
    <t>최대 Req(인버터출력 기준)</t>
    <phoneticPr fontId="8" type="noConversion"/>
  </si>
  <si>
    <t>IGBT 발열량 계산(기초)</t>
    <phoneticPr fontId="8" type="noConversion"/>
  </si>
  <si>
    <t>IGBT 병렬 수량</t>
    <phoneticPr fontId="8" type="noConversion"/>
  </si>
  <si>
    <t>IGBT IC RMS전류</t>
    <phoneticPr fontId="8" type="noConversion"/>
  </si>
  <si>
    <t>Total Gate Charge</t>
    <phoneticPr fontId="8" type="noConversion"/>
  </si>
  <si>
    <t>게이트 전압</t>
    <phoneticPr fontId="8" type="noConversion"/>
  </si>
  <si>
    <t>게이트 구동손실</t>
    <phoneticPr fontId="8" type="noConversion"/>
  </si>
  <si>
    <t>Switching Frequency</t>
    <phoneticPr fontId="8" type="noConversion"/>
  </si>
  <si>
    <t>Switching Current(peak)</t>
    <phoneticPr fontId="8" type="noConversion"/>
  </si>
  <si>
    <t>Off Switching Energy</t>
    <phoneticPr fontId="8" type="noConversion"/>
  </si>
  <si>
    <t>On Switching Energy(ZVS)</t>
    <phoneticPr fontId="8" type="noConversion"/>
  </si>
  <si>
    <t>Diode 역방향 회복 Energy(ZVS)</t>
    <phoneticPr fontId="8" type="noConversion"/>
  </si>
  <si>
    <t>IGBT Switching Loss/Device</t>
    <phoneticPr fontId="8" type="noConversion"/>
  </si>
  <si>
    <t>Diode 역방향 회복 손실(ZVS)</t>
    <phoneticPr fontId="8" type="noConversion"/>
  </si>
  <si>
    <t>스너버 손실 비율</t>
  </si>
  <si>
    <t>IGBT Switching Loss/Device_스너버손실비율 포함</t>
    <phoneticPr fontId="8" type="noConversion"/>
  </si>
  <si>
    <t>IC 평균전류</t>
    <phoneticPr fontId="8" type="noConversion"/>
  </si>
  <si>
    <t>IGBT VCE Saturation</t>
    <phoneticPr fontId="8" type="noConversion"/>
  </si>
  <si>
    <t>Diode Vf</t>
    <phoneticPr fontId="8" type="noConversion"/>
  </si>
  <si>
    <t>위상지연각</t>
    <phoneticPr fontId="8" type="noConversion"/>
  </si>
  <si>
    <t>IGBT Conduction Loss</t>
    <phoneticPr fontId="8" type="noConversion"/>
  </si>
  <si>
    <t>Diode Conduction Loss</t>
    <phoneticPr fontId="8" type="noConversion"/>
  </si>
  <si>
    <t>Conduction Loss/Device</t>
    <phoneticPr fontId="8" type="noConversion"/>
  </si>
  <si>
    <t>IGBT Loss (Total)</t>
    <phoneticPr fontId="8" type="noConversion"/>
  </si>
  <si>
    <t>Diode Loss (Total)</t>
    <phoneticPr fontId="8" type="noConversion"/>
  </si>
  <si>
    <t>Total Loss/Module</t>
    <phoneticPr fontId="8" type="noConversion"/>
  </si>
  <si>
    <t>모듈 Package 당 IGBT(switching device)수량</t>
    <phoneticPr fontId="8" type="noConversion"/>
  </si>
  <si>
    <t>Total Solid Device Loss</t>
    <phoneticPr fontId="8" type="noConversion"/>
  </si>
  <si>
    <t>Ptot / IGBT CASE</t>
    <phoneticPr fontId="8" type="noConversion"/>
  </si>
  <si>
    <t>Loss %</t>
    <phoneticPr fontId="8" type="noConversion"/>
  </si>
  <si>
    <t>열저항(Junction-Case)-IGBT</t>
    <phoneticPr fontId="8" type="noConversion"/>
  </si>
  <si>
    <t>열저항(Junction-Case)-Diode</t>
    <phoneticPr fontId="8" type="noConversion"/>
  </si>
  <si>
    <t>Case온도(IGBT,Tj=125℃기준)</t>
    <phoneticPr fontId="8" type="noConversion"/>
  </si>
  <si>
    <t>Case온도(Diode,Tj=125℃기준)</t>
    <phoneticPr fontId="8" type="noConversion"/>
  </si>
  <si>
    <t>Case온도- IGBT  온도차</t>
    <phoneticPr fontId="8" type="noConversion"/>
  </si>
  <si>
    <t>Case온도- Diode 온도차</t>
    <phoneticPr fontId="8" type="noConversion"/>
  </si>
  <si>
    <t>열저항(Case-Heatsink)-IGBT(lPaste = 1 W/(m·K)기준)</t>
    <phoneticPr fontId="8" type="noConversion"/>
  </si>
  <si>
    <t>열저항(Case-Heatsink)-Diode(lPaste = 1 W/(m·K)기준)</t>
    <phoneticPr fontId="8" type="noConversion"/>
  </si>
  <si>
    <t>Heatsink온도-IGBT바닥면 중심</t>
    <phoneticPr fontId="8" type="noConversion"/>
  </si>
  <si>
    <t>Heatsink온도-Diode바닥면 중심</t>
    <phoneticPr fontId="8" type="noConversion"/>
  </si>
  <si>
    <t>Heatsink온도-케이스간 온도차-IGBT</t>
    <phoneticPr fontId="8" type="noConversion"/>
  </si>
  <si>
    <t>Heatsink온도-케이스간 온도차-Diode</t>
    <phoneticPr fontId="8" type="noConversion"/>
  </si>
  <si>
    <t>냉각수 출수 온도</t>
    <phoneticPr fontId="8" type="noConversion"/>
  </si>
  <si>
    <t>냉각수 유량</t>
    <phoneticPr fontId="8" type="noConversion"/>
  </si>
  <si>
    <t>냉각수 입수 온도 최대</t>
    <phoneticPr fontId="8" type="noConversion"/>
  </si>
  <si>
    <r>
      <t>직병렬(</t>
    </r>
    <r>
      <rPr>
        <sz val="11"/>
        <color theme="1"/>
        <rFont val="맑은 고딕"/>
        <family val="2"/>
        <charset val="129"/>
        <scheme val="minor"/>
      </rPr>
      <t>LCL)</t>
    </r>
    <r>
      <rPr>
        <sz val="11"/>
        <color theme="1"/>
        <rFont val="맑은 고딕"/>
        <family val="2"/>
        <charset val="129"/>
        <scheme val="minor"/>
      </rPr>
      <t>공진회로 설계 시트</t>
    </r>
    <phoneticPr fontId="8" type="noConversion"/>
  </si>
  <si>
    <t>EA</t>
    <phoneticPr fontId="8" type="noConversion"/>
  </si>
  <si>
    <t>uC</t>
    <phoneticPr fontId="8" type="noConversion"/>
  </si>
  <si>
    <t>W</t>
    <phoneticPr fontId="8" type="noConversion"/>
  </si>
  <si>
    <t>mJ</t>
    <phoneticPr fontId="8" type="noConversion"/>
  </si>
  <si>
    <t>VDC</t>
    <phoneticPr fontId="8" type="noConversion"/>
  </si>
  <si>
    <t>W MAX</t>
    <phoneticPr fontId="8" type="noConversion"/>
  </si>
  <si>
    <t>%</t>
    <phoneticPr fontId="8" type="noConversion"/>
  </si>
  <si>
    <t>K/W</t>
    <phoneticPr fontId="8" type="noConversion"/>
  </si>
  <si>
    <t>K/W</t>
    <phoneticPr fontId="8" type="noConversion"/>
  </si>
  <si>
    <t>℃</t>
    <phoneticPr fontId="8" type="noConversion"/>
  </si>
  <si>
    <t>lpm</t>
    <phoneticPr fontId="8" type="noConversion"/>
  </si>
  <si>
    <t>IGBT 병렬 연결 수량</t>
    <phoneticPr fontId="8" type="noConversion"/>
  </si>
  <si>
    <t>IGBT 1EA 당 흐르는 IC RMS 전류</t>
    <phoneticPr fontId="8" type="noConversion"/>
  </si>
  <si>
    <t>DATA SHEET 확인</t>
    <phoneticPr fontId="8" type="noConversion"/>
  </si>
  <si>
    <t>게이트드라이버 전위차(예를 들어 +15V,-10V 일때는 25V)</t>
    <phoneticPr fontId="8" type="noConversion"/>
  </si>
  <si>
    <t>파형 및 LCD 확인</t>
    <phoneticPr fontId="8" type="noConversion"/>
  </si>
  <si>
    <t>DATA SHEET 확인(Switching Current 에 해당하는 Off Switching Energy)</t>
    <phoneticPr fontId="8" type="noConversion"/>
  </si>
  <si>
    <t>스너버 없으면 100%, 스너버 최소 손실비율(55% 감소)</t>
    <phoneticPr fontId="8" type="noConversion"/>
  </si>
  <si>
    <t>DATA SHEET 확인(IC 평균전류에 해당하는 Vce saturation 확인)</t>
    <phoneticPr fontId="8" type="noConversion"/>
  </si>
  <si>
    <t>SINGLE 모듈: 1, DUAL 모듈: 2(62mm package)</t>
    <phoneticPr fontId="8" type="noConversion"/>
  </si>
  <si>
    <t>약 30% 이하가 되어야 함</t>
    <phoneticPr fontId="8" type="noConversion"/>
  </si>
  <si>
    <t>표기된 온도 이상은 사용 불가</t>
    <phoneticPr fontId="8" type="noConversion"/>
  </si>
  <si>
    <t>수냉방열판과의 열저항의 기준이 없어 60℃를 기준으로함</t>
    <phoneticPr fontId="8" type="noConversion"/>
  </si>
  <si>
    <t>유량</t>
    <phoneticPr fontId="8" type="noConversion"/>
  </si>
  <si>
    <t>DATA SHEET 확인</t>
    <phoneticPr fontId="8" type="noConversion"/>
  </si>
  <si>
    <t>정현파 기준 PEAK치로 계산 (IC RMS *1.414)</t>
    <phoneticPr fontId="8" type="noConversion"/>
  </si>
  <si>
    <t>DATA SHEET 확인(IC 평균전류에 해당하는 Diode Vf 확인)</t>
    <phoneticPr fontId="8" type="noConversion"/>
  </si>
  <si>
    <t>전력</t>
    <phoneticPr fontId="8" type="noConversion"/>
  </si>
  <si>
    <t>입력 선전압</t>
    <phoneticPr fontId="8" type="noConversion"/>
  </si>
  <si>
    <t>3상 : 0.93, 6상: 0.96 (설계시에는 마진 고려 0.9로 함)</t>
    <phoneticPr fontId="8" type="noConversion"/>
  </si>
  <si>
    <t>상당 입력 선전류 (차단기 및 FUSE 선정 기준)</t>
    <phoneticPr fontId="8" type="noConversion"/>
  </si>
  <si>
    <t>Vdc 전압</t>
    <phoneticPr fontId="8" type="noConversion"/>
  </si>
  <si>
    <t>Idc 전류 (정류다이오드 선정 기준)</t>
    <phoneticPr fontId="8" type="noConversion"/>
  </si>
  <si>
    <t>코일 혹은 C/T 1차측 L값 (측정값 혹은 설계 값)</t>
    <phoneticPr fontId="8" type="noConversion"/>
  </si>
  <si>
    <t>공진 콘덴서 총 C값 (Fs 및 Fr을 원하는 주파수에 맞게 C값을 조정)</t>
    <phoneticPr fontId="8" type="noConversion"/>
  </si>
  <si>
    <t>공진 주파수</t>
    <phoneticPr fontId="8" type="noConversion"/>
  </si>
  <si>
    <t>인버터의 위상각(기준 30° ,상황에 따라 20° 까지 적용)</t>
    <phoneticPr fontId="8" type="noConversion"/>
  </si>
  <si>
    <t>코일의 Q값 (예상값 범위를 입력)</t>
    <phoneticPr fontId="8" type="noConversion"/>
  </si>
  <si>
    <t>공진 전류(코일전류, C/T 1차전류)</t>
    <phoneticPr fontId="8" type="noConversion"/>
  </si>
  <si>
    <t>공진콘덴서 전압</t>
    <phoneticPr fontId="8" type="noConversion"/>
  </si>
  <si>
    <t>공진콘덴서 기준의 Q값(예상데이터, 측정 및 계산 데이터)</t>
    <phoneticPr fontId="8" type="noConversion"/>
  </si>
  <si>
    <t>M/T 2차 구형파 전압으로 얻을 수 있는 AC 전압의 최대값</t>
    <phoneticPr fontId="8" type="noConversion"/>
  </si>
  <si>
    <t>100%이하(98%정도이하),Turn Ratio값을 조정하여 변경</t>
    <phoneticPr fontId="8" type="noConversion"/>
  </si>
  <si>
    <t>M/T 1차 전류(인버터 출력 전류)</t>
    <phoneticPr fontId="8" type="noConversion"/>
  </si>
  <si>
    <t>M/T 1차 구형파 전압으로 얻을 수 있는 AC 전압의 최대값 x COS(Phase)</t>
    <phoneticPr fontId="8" type="noConversion"/>
  </si>
  <si>
    <t>Half Bridge = 2, Full Bridge = 1</t>
    <phoneticPr fontId="8" type="noConversion"/>
  </si>
  <si>
    <t>공진콘덴서 전압</t>
    <phoneticPr fontId="8" type="noConversion"/>
  </si>
  <si>
    <t>공진콘덴서 전류</t>
    <phoneticPr fontId="8" type="noConversion"/>
  </si>
  <si>
    <t>인버터 출력 전류</t>
    <phoneticPr fontId="8" type="noConversion"/>
  </si>
  <si>
    <t>동작 주파수 (공진주파와 동일하게 계산)</t>
    <phoneticPr fontId="8" type="noConversion"/>
  </si>
  <si>
    <t>직렬 인덕터 L값 (Fr 및 Duty 조정 : Duty가 100%넘지 않도록 조정)</t>
    <phoneticPr fontId="8" type="noConversion"/>
  </si>
  <si>
    <t>Matching Transformer 의 사용할 경우에만 설정</t>
    <phoneticPr fontId="8" type="noConversion"/>
  </si>
  <si>
    <t>기입순서</t>
    <phoneticPr fontId="8" type="noConversion"/>
  </si>
  <si>
    <t>&lt;코일 인덕턴스 계산 공식, C/T 및 출력케이블포함&gt;</t>
    <phoneticPr fontId="8" type="noConversion"/>
  </si>
  <si>
    <t>&lt;트랜스포머 최소 턴수 계산 공식&gt;</t>
    <phoneticPr fontId="8" type="noConversion"/>
  </si>
  <si>
    <t>&lt;동 부스바(AC) 발열량 계산 공식&gt;</t>
    <phoneticPr fontId="8" type="noConversion"/>
  </si>
  <si>
    <t>&lt;Fault 발생시 L에 의한 VDC 상승전압 계산공식&gt;</t>
    <phoneticPr fontId="8" type="noConversion"/>
  </si>
  <si>
    <t>코일턴수</t>
    <phoneticPr fontId="8" type="noConversion"/>
  </si>
  <si>
    <t>Turns</t>
    <phoneticPr fontId="8" type="noConversion"/>
  </si>
  <si>
    <t>일차 최대전압</t>
    <phoneticPr fontId="8" type="noConversion"/>
  </si>
  <si>
    <t>타프피치 동</t>
    <phoneticPr fontId="9" type="noConversion"/>
  </si>
  <si>
    <t>코일 L값</t>
    <phoneticPr fontId="8" type="noConversion"/>
  </si>
  <si>
    <t>uH</t>
    <phoneticPr fontId="8" type="noConversion"/>
  </si>
  <si>
    <t>mm</t>
    <phoneticPr fontId="8" type="noConversion"/>
  </si>
  <si>
    <t>최대자속밀도</t>
    <phoneticPr fontId="8" type="noConversion"/>
  </si>
  <si>
    <t>Tesla</t>
    <phoneticPr fontId="8" type="noConversion"/>
  </si>
  <si>
    <t>도체 고유전기저항</t>
    <phoneticPr fontId="8" type="noConversion"/>
  </si>
  <si>
    <t>인버터 출력전류</t>
    <phoneticPr fontId="8" type="noConversion"/>
  </si>
  <si>
    <t>A</t>
    <phoneticPr fontId="8" type="noConversion"/>
  </si>
  <si>
    <t>높이</t>
    <phoneticPr fontId="8" type="noConversion"/>
  </si>
  <si>
    <t>중족단면적</t>
    <phoneticPr fontId="8" type="noConversion"/>
  </si>
  <si>
    <t>cmSq</t>
    <phoneticPr fontId="8" type="noConversion"/>
  </si>
  <si>
    <t>DC LINK C값</t>
    <phoneticPr fontId="8" type="noConversion"/>
  </si>
  <si>
    <t>uF</t>
    <phoneticPr fontId="8" type="noConversion"/>
  </si>
  <si>
    <t>무부하 인덕턴스</t>
    <phoneticPr fontId="8" type="noConversion"/>
  </si>
  <si>
    <t>스위칭주파수</t>
    <phoneticPr fontId="8" type="noConversion"/>
  </si>
  <si>
    <t>Hz</t>
    <phoneticPr fontId="8" type="noConversion"/>
  </si>
  <si>
    <t>V</t>
    <phoneticPr fontId="8" type="noConversion"/>
  </si>
  <si>
    <t>L값 감소율</t>
    <phoneticPr fontId="8" type="noConversion"/>
  </si>
  <si>
    <t>최소 일차턴수</t>
    <phoneticPr fontId="8" type="noConversion"/>
  </si>
  <si>
    <t>turn</t>
    <phoneticPr fontId="8" type="noConversion"/>
  </si>
  <si>
    <t xml:space="preserve">도체의 산출저항 </t>
    <phoneticPr fontId="8" type="noConversion"/>
  </si>
  <si>
    <t>[Ωm×10E-8]</t>
    <phoneticPr fontId="8" type="noConversion"/>
  </si>
  <si>
    <t>VDC (Fault 발생시 상승전압)</t>
    <phoneticPr fontId="8" type="noConversion"/>
  </si>
  <si>
    <t>부하 인덕턴스</t>
    <phoneticPr fontId="8" type="noConversion"/>
  </si>
  <si>
    <t>도체의 산출 전도도</t>
    <phoneticPr fontId="9" type="noConversion"/>
  </si>
  <si>
    <t>[SIMENS/m]</t>
    <phoneticPr fontId="9" type="noConversion"/>
  </si>
  <si>
    <t>출력케이블L값</t>
    <phoneticPr fontId="8" type="noConversion"/>
  </si>
  <si>
    <t>&lt;직렬공진주파수 계산 공식&gt;</t>
    <phoneticPr fontId="8" type="noConversion"/>
  </si>
  <si>
    <t>비투자율</t>
    <phoneticPr fontId="8" type="noConversion"/>
  </si>
  <si>
    <t>ui</t>
    <phoneticPr fontId="9" type="noConversion"/>
  </si>
  <si>
    <t>&lt;DC LINK CAPACITOR 리플 전압,전류 계산 공식&gt;</t>
    <phoneticPr fontId="8" type="noConversion"/>
  </si>
  <si>
    <t>C/T권선비</t>
    <phoneticPr fontId="8" type="noConversion"/>
  </si>
  <si>
    <t>:1</t>
    <phoneticPr fontId="8" type="noConversion"/>
  </si>
  <si>
    <t>공진콘덴서</t>
    <phoneticPr fontId="8" type="noConversion"/>
  </si>
  <si>
    <t>[Hz]</t>
    <phoneticPr fontId="8" type="noConversion"/>
  </si>
  <si>
    <t>코일 병렬 수</t>
    <phoneticPr fontId="8" type="noConversion"/>
  </si>
  <si>
    <t>병렬</t>
    <phoneticPr fontId="8" type="noConversion"/>
  </si>
  <si>
    <t>병렬</t>
    <phoneticPr fontId="8" type="noConversion"/>
  </si>
  <si>
    <t>공진인덕터</t>
    <phoneticPr fontId="8" type="noConversion"/>
  </si>
  <si>
    <t>공진인덕터</t>
    <phoneticPr fontId="8" type="noConversion"/>
  </si>
  <si>
    <t>Skin Depth</t>
    <phoneticPr fontId="8" type="noConversion"/>
  </si>
  <si>
    <t>VDC 평균값</t>
    <phoneticPr fontId="8" type="noConversion"/>
  </si>
  <si>
    <t>코일 직렬 수</t>
    <phoneticPr fontId="8" type="noConversion"/>
  </si>
  <si>
    <t>직렬</t>
    <phoneticPr fontId="8" type="noConversion"/>
  </si>
  <si>
    <t>Hz (결과)</t>
    <phoneticPr fontId="8" type="noConversion"/>
  </si>
  <si>
    <t>[mm]</t>
    <phoneticPr fontId="9" type="noConversion"/>
  </si>
  <si>
    <t>C/T1차 인덕턴스</t>
    <phoneticPr fontId="8" type="noConversion"/>
  </si>
  <si>
    <t>동작주파수</t>
    <phoneticPr fontId="8" type="noConversion"/>
  </si>
  <si>
    <t>&lt;콘덴서 내전압 계산 공식&gt;</t>
    <phoneticPr fontId="8" type="noConversion"/>
  </si>
  <si>
    <t>Min(스킨뎁스,두께)</t>
    <phoneticPr fontId="8" type="noConversion"/>
  </si>
  <si>
    <t>DC LINK CAP 리플 함유율(peak to peak)</t>
    <phoneticPr fontId="8" type="noConversion"/>
  </si>
  <si>
    <t>%</t>
    <phoneticPr fontId="8" type="noConversion"/>
  </si>
  <si>
    <t>&lt;공진 C 계산 공식&gt;</t>
    <phoneticPr fontId="8" type="noConversion"/>
  </si>
  <si>
    <t>콘덴서</t>
    <phoneticPr fontId="8" type="noConversion"/>
  </si>
  <si>
    <t xml:space="preserve">부스바 폭(너비) </t>
    <phoneticPr fontId="8" type="noConversion"/>
  </si>
  <si>
    <t>단위 C 용량</t>
    <phoneticPr fontId="8" type="noConversion"/>
  </si>
  <si>
    <t>인가주파수</t>
    <phoneticPr fontId="8" type="noConversion"/>
  </si>
  <si>
    <t>kHz</t>
    <phoneticPr fontId="8" type="noConversion"/>
  </si>
  <si>
    <t>단면적</t>
    <phoneticPr fontId="8" type="noConversion"/>
  </si>
  <si>
    <t>[mmSQ]</t>
    <phoneticPr fontId="9" type="noConversion"/>
  </si>
  <si>
    <t>DC LINK CAP RIPPLE Current</t>
    <phoneticPr fontId="8" type="noConversion"/>
  </si>
  <si>
    <t>전체 탭</t>
    <phoneticPr fontId="8" type="noConversion"/>
  </si>
  <si>
    <t>탭</t>
    <phoneticPr fontId="8" type="noConversion"/>
  </si>
  <si>
    <t>통전전류</t>
    <phoneticPr fontId="8" type="noConversion"/>
  </si>
  <si>
    <t>인가전류</t>
    <phoneticPr fontId="8" type="noConversion"/>
  </si>
  <si>
    <t>인가전류</t>
    <phoneticPr fontId="8" type="noConversion"/>
  </si>
  <si>
    <t>[A]</t>
    <phoneticPr fontId="8" type="noConversion"/>
  </si>
  <si>
    <t>정격 전압</t>
    <phoneticPr fontId="8" type="noConversion"/>
  </si>
  <si>
    <t>콘덴서전압</t>
    <phoneticPr fontId="8" type="noConversion"/>
  </si>
  <si>
    <t>&lt;수냉케이블 L값 계산 공식: 10kHz 기준, 트위스트 하지 않음&gt;</t>
    <phoneticPr fontId="8" type="noConversion"/>
  </si>
  <si>
    <t>정격 전류</t>
    <phoneticPr fontId="8" type="noConversion"/>
  </si>
  <si>
    <t>발열량</t>
    <phoneticPr fontId="8" type="noConversion"/>
  </si>
  <si>
    <t>[W]</t>
    <phoneticPr fontId="8" type="noConversion"/>
  </si>
  <si>
    <t xml:space="preserve">단위길이당 L값 (2EA) </t>
    <phoneticPr fontId="8" type="noConversion"/>
  </si>
  <si>
    <t>사용 탭</t>
    <phoneticPr fontId="8" type="noConversion"/>
  </si>
  <si>
    <t>&lt;스너버C 용량 적정성 검토 계산 공식&gt;</t>
    <phoneticPr fontId="8" type="noConversion"/>
  </si>
  <si>
    <t>수냉케이블 길이 (2EA)</t>
    <phoneticPr fontId="8" type="noConversion"/>
  </si>
  <si>
    <t>m</t>
    <phoneticPr fontId="8" type="noConversion"/>
  </si>
  <si>
    <t>직렬 연결 수량</t>
    <phoneticPr fontId="8" type="noConversion"/>
  </si>
  <si>
    <t>Vdc 전압</t>
    <phoneticPr fontId="9" type="noConversion"/>
  </si>
  <si>
    <t>Vdc</t>
    <phoneticPr fontId="9" type="noConversion"/>
  </si>
  <si>
    <t>&lt;동 파이프(AC) 발열량 계산 공식&gt;</t>
    <phoneticPr fontId="8" type="noConversion"/>
  </si>
  <si>
    <t>수냉케이블 L값 (2EA)</t>
    <phoneticPr fontId="8" type="noConversion"/>
  </si>
  <si>
    <t>병렬 연결 수량</t>
    <phoneticPr fontId="8" type="noConversion"/>
  </si>
  <si>
    <t>C스너버 개당 C값</t>
    <phoneticPr fontId="9" type="noConversion"/>
  </si>
  <si>
    <t>nF</t>
    <phoneticPr fontId="9" type="noConversion"/>
  </si>
  <si>
    <t>사용 재료</t>
    <phoneticPr fontId="9" type="noConversion"/>
  </si>
  <si>
    <t>전체 C 용량</t>
    <phoneticPr fontId="8" type="noConversion"/>
  </si>
  <si>
    <t xml:space="preserve">단위길이당 L값 (4EA) </t>
    <phoneticPr fontId="8" type="noConversion"/>
  </si>
  <si>
    <t>사용가능 전압</t>
    <phoneticPr fontId="8" type="noConversion"/>
  </si>
  <si>
    <t>보드를 겹침 수량</t>
    <phoneticPr fontId="9" type="noConversion"/>
  </si>
  <si>
    <t>도체의 온도저항계수</t>
    <phoneticPr fontId="8" type="noConversion"/>
  </si>
  <si>
    <t>수냉케이블 길이 (4EA)</t>
    <phoneticPr fontId="8" type="noConversion"/>
  </si>
  <si>
    <t>사용가능 전류</t>
    <phoneticPr fontId="8" type="noConversion"/>
  </si>
  <si>
    <t>상하 고려</t>
    <phoneticPr fontId="9" type="noConversion"/>
  </si>
  <si>
    <t>도체의 온도</t>
    <phoneticPr fontId="8" type="noConversion"/>
  </si>
  <si>
    <t>수냉케이블 L값 (4EA)</t>
    <phoneticPr fontId="8" type="noConversion"/>
  </si>
  <si>
    <t>KVA</t>
    <phoneticPr fontId="8" type="noConversion"/>
  </si>
  <si>
    <t>상하 데드타임</t>
    <phoneticPr fontId="9" type="noConversion"/>
  </si>
  <si>
    <t>us</t>
    <phoneticPr fontId="9" type="noConversion"/>
  </si>
  <si>
    <t>모듈 출력전류</t>
    <phoneticPr fontId="9" type="noConversion"/>
  </si>
  <si>
    <t>Arms</t>
    <phoneticPr fontId="9" type="noConversion"/>
  </si>
  <si>
    <t>&lt;Q값 계산 공식 :공진 C 기준&gt;</t>
    <phoneticPr fontId="8" type="noConversion"/>
  </si>
  <si>
    <t>운전 모듈 수량</t>
    <phoneticPr fontId="9" type="noConversion"/>
  </si>
  <si>
    <t>대</t>
    <phoneticPr fontId="9" type="noConversion"/>
  </si>
  <si>
    <t>수냉케이블 길이 (4EA)</t>
    <phoneticPr fontId="8" type="noConversion"/>
  </si>
  <si>
    <t>m</t>
    <phoneticPr fontId="8" type="noConversion"/>
  </si>
  <si>
    <t>인버터 출력전류</t>
    <phoneticPr fontId="9" type="noConversion"/>
  </si>
  <si>
    <t>수냉케이블 L값 (4EA)</t>
    <phoneticPr fontId="8" type="noConversion"/>
  </si>
  <si>
    <t>콘덴서값</t>
    <phoneticPr fontId="8" type="noConversion"/>
  </si>
  <si>
    <t>1차 공진전류</t>
    <phoneticPr fontId="8" type="noConversion"/>
  </si>
  <si>
    <t>정격전류시 상승시간</t>
    <phoneticPr fontId="9" type="noConversion"/>
  </si>
  <si>
    <t>ON-POLE</t>
    <phoneticPr fontId="9" type="noConversion"/>
  </si>
  <si>
    <t>&lt;FUSE 용량 계산 공식&gt;</t>
    <phoneticPr fontId="8" type="noConversion"/>
  </si>
  <si>
    <t>입력전력</t>
    <phoneticPr fontId="8" type="noConversion"/>
  </si>
  <si>
    <t>kW</t>
    <phoneticPr fontId="8" type="noConversion"/>
  </si>
  <si>
    <t>스위칭각</t>
    <phoneticPr fontId="9" type="noConversion"/>
  </si>
  <si>
    <t>deg</t>
    <phoneticPr fontId="9" type="noConversion"/>
  </si>
  <si>
    <t>두께 : 파이프</t>
    <phoneticPr fontId="8" type="noConversion"/>
  </si>
  <si>
    <t>입력선전압</t>
    <phoneticPr fontId="8" type="noConversion"/>
  </si>
  <si>
    <t>트랜스포머 권선비</t>
    <phoneticPr fontId="8" type="noConversion"/>
  </si>
  <si>
    <t>스위칭 전류</t>
    <phoneticPr fontId="9" type="noConversion"/>
  </si>
  <si>
    <t>A</t>
    <phoneticPr fontId="9" type="noConversion"/>
  </si>
  <si>
    <t>입력선전류</t>
    <phoneticPr fontId="8" type="noConversion"/>
  </si>
  <si>
    <t>공진전압</t>
    <phoneticPr fontId="8" type="noConversion"/>
  </si>
  <si>
    <t>VAC</t>
    <phoneticPr fontId="8" type="noConversion"/>
  </si>
  <si>
    <t>전압 상승 소요시간</t>
    <phoneticPr fontId="9" type="noConversion"/>
  </si>
  <si>
    <t>nsec</t>
    <phoneticPr fontId="9" type="noConversion"/>
  </si>
  <si>
    <t>파이프 외경</t>
    <phoneticPr fontId="8" type="noConversion"/>
  </si>
  <si>
    <t>FUSE 정격전압</t>
    <phoneticPr fontId="8" type="noConversion"/>
  </si>
  <si>
    <t>V 이상</t>
    <phoneticPr fontId="8" type="noConversion"/>
  </si>
  <si>
    <t>2차공진전류</t>
    <phoneticPr fontId="8" type="noConversion"/>
  </si>
  <si>
    <t xml:space="preserve">단면적 </t>
    <phoneticPr fontId="8" type="noConversion"/>
  </si>
  <si>
    <t>FUSE 정격전류</t>
    <phoneticPr fontId="8" type="noConversion"/>
  </si>
  <si>
    <t>A 이상</t>
    <phoneticPr fontId="8" type="noConversion"/>
  </si>
  <si>
    <t>kVar</t>
    <phoneticPr fontId="8" type="noConversion"/>
  </si>
  <si>
    <t>kVar</t>
    <phoneticPr fontId="8" type="noConversion"/>
  </si>
  <si>
    <t>데드타임 에 맞추기 위한</t>
    <phoneticPr fontId="9" type="noConversion"/>
  </si>
  <si>
    <t>Q</t>
    <phoneticPr fontId="8" type="noConversion"/>
  </si>
  <si>
    <t>ZVS 모듈 스위칭 전류</t>
    <phoneticPr fontId="9" type="noConversion"/>
  </si>
  <si>
    <t>mmSQ당 전류</t>
    <phoneticPr fontId="8" type="noConversion"/>
  </si>
  <si>
    <t>&lt;컷오프주파수 계산 공식&gt;</t>
    <phoneticPr fontId="8" type="noConversion"/>
  </si>
  <si>
    <t>ZVS 모듈 전류</t>
    <phoneticPr fontId="9" type="noConversion"/>
  </si>
  <si>
    <t>&lt;위상각 계산 공식&gt;</t>
    <phoneticPr fontId="8" type="noConversion"/>
  </si>
  <si>
    <t>Po</t>
    <phoneticPr fontId="8" type="noConversion"/>
  </si>
  <si>
    <t>kw</t>
    <phoneticPr fontId="8" type="noConversion"/>
  </si>
  <si>
    <t>정격전류 대비 율</t>
    <phoneticPr fontId="9" type="noConversion"/>
  </si>
  <si>
    <t>%</t>
    <phoneticPr fontId="9" type="noConversion"/>
  </si>
  <si>
    <t>&lt;사각 파이프(AC) 발열량 계산 공식&gt;</t>
    <phoneticPr fontId="8" type="noConversion"/>
  </si>
  <si>
    <t>공진주파수</t>
    <phoneticPr fontId="8" type="noConversion"/>
  </si>
  <si>
    <t>IR</t>
    <phoneticPr fontId="8" type="noConversion"/>
  </si>
  <si>
    <t>정격전력 대비 율</t>
    <phoneticPr fontId="9" type="noConversion"/>
  </si>
  <si>
    <t>%</t>
    <phoneticPr fontId="9" type="noConversion"/>
  </si>
  <si>
    <t>VDC</t>
    <phoneticPr fontId="8" type="noConversion"/>
  </si>
  <si>
    <t>&lt;트랜스포머(C/T) 최소 턴수 계산 공식&gt;</t>
    <phoneticPr fontId="8" type="noConversion"/>
  </si>
  <si>
    <t>HALF(2)/FULL(1)</t>
    <phoneticPr fontId="8" type="noConversion"/>
  </si>
  <si>
    <t>&lt;Dead Time 계산 공식&gt;</t>
    <phoneticPr fontId="8" type="noConversion"/>
  </si>
  <si>
    <t>스너버 C값(POLE 기준)</t>
    <phoneticPr fontId="9" type="noConversion"/>
  </si>
  <si>
    <t>COSθ</t>
    <phoneticPr fontId="8" type="noConversion"/>
  </si>
  <si>
    <t>VDC 전압</t>
    <phoneticPr fontId="9" type="noConversion"/>
  </si>
  <si>
    <t>V</t>
    <phoneticPr fontId="9" type="noConversion"/>
  </si>
  <si>
    <t>θ (위상각, Phase)</t>
    <phoneticPr fontId="8" type="noConversion"/>
  </si>
  <si>
    <t>스위칭전류</t>
    <phoneticPr fontId="9" type="noConversion"/>
  </si>
  <si>
    <t>스위칭시 전압 상승시간</t>
    <phoneticPr fontId="9" type="noConversion"/>
  </si>
  <si>
    <t>ns</t>
    <phoneticPr fontId="9" type="noConversion"/>
  </si>
  <si>
    <t>turn</t>
    <phoneticPr fontId="8" type="noConversion"/>
  </si>
  <si>
    <t>&lt;평판 인덕턴스 계산 공식&gt;</t>
    <phoneticPr fontId="8" type="noConversion"/>
  </si>
  <si>
    <t>주파수</t>
    <phoneticPr fontId="8" type="noConversion"/>
  </si>
  <si>
    <t>판폭</t>
    <phoneticPr fontId="8" type="noConversion"/>
  </si>
  <si>
    <t>&lt;동축케이블 커패시턴스 계산 공식&gt;</t>
    <phoneticPr fontId="8" type="noConversion"/>
  </si>
  <si>
    <t>판사이거리</t>
    <phoneticPr fontId="8" type="noConversion"/>
  </si>
  <si>
    <t>내부도체외경</t>
    <phoneticPr fontId="8" type="noConversion"/>
  </si>
  <si>
    <t>배선길이</t>
    <phoneticPr fontId="8" type="noConversion"/>
  </si>
  <si>
    <t>&lt;콘덴서 전류 계산 공식&gt;</t>
    <phoneticPr fontId="8" type="noConversion"/>
  </si>
  <si>
    <t>판길이</t>
    <phoneticPr fontId="8" type="noConversion"/>
  </si>
  <si>
    <t>절연체두께</t>
    <phoneticPr fontId="8" type="noConversion"/>
  </si>
  <si>
    <t>L</t>
    <phoneticPr fontId="8" type="noConversion"/>
  </si>
  <si>
    <t>nH</t>
    <phoneticPr fontId="8" type="noConversion"/>
  </si>
  <si>
    <t>외부도체내경</t>
    <phoneticPr fontId="8" type="noConversion"/>
  </si>
  <si>
    <t>인가주파수</t>
    <phoneticPr fontId="8" type="noConversion"/>
  </si>
  <si>
    <t>공기유전율 (ε0)</t>
    <phoneticPr fontId="9" type="noConversion"/>
  </si>
  <si>
    <t>&lt;평판 커패시턴스 계산 공식&gt;</t>
    <phoneticPr fontId="8" type="noConversion"/>
  </si>
  <si>
    <t>비유전율 (εr)</t>
    <phoneticPr fontId="8" type="noConversion"/>
  </si>
  <si>
    <t>테프론(2.1)</t>
    <phoneticPr fontId="8" type="noConversion"/>
  </si>
  <si>
    <t>세로(외곽)</t>
    <phoneticPr fontId="8" type="noConversion"/>
  </si>
  <si>
    <t>판 면적</t>
    <phoneticPr fontId="8" type="noConversion"/>
  </si>
  <si>
    <t>C(단위길이당 1m 당)</t>
    <phoneticPr fontId="8" type="noConversion"/>
  </si>
  <si>
    <t>nF</t>
    <phoneticPr fontId="8" type="noConversion"/>
  </si>
  <si>
    <t>nF</t>
    <phoneticPr fontId="8" type="noConversion"/>
  </si>
  <si>
    <t>케이블 길이</t>
    <phoneticPr fontId="8" type="noConversion"/>
  </si>
  <si>
    <t>비유전율</t>
    <phoneticPr fontId="8" type="noConversion"/>
  </si>
  <si>
    <t>테프론(2.1)</t>
    <phoneticPr fontId="8" type="noConversion"/>
  </si>
  <si>
    <t xml:space="preserve">C값 </t>
    <phoneticPr fontId="8" type="noConversion"/>
  </si>
  <si>
    <t>C</t>
    <phoneticPr fontId="8" type="noConversion"/>
  </si>
  <si>
    <t>발열량</t>
    <phoneticPr fontId="8" type="noConversion"/>
  </si>
  <si>
    <t>&lt;코아/주파수별 자속밀도 실험 데이터&gt;</t>
    <phoneticPr fontId="8" type="noConversion"/>
  </si>
  <si>
    <t>&lt;동 부스바(DC) 발열량 계산 공식&gt;</t>
    <phoneticPr fontId="8" type="noConversion"/>
  </si>
  <si>
    <t>규소강판[Tesla]</t>
    <phoneticPr fontId="8" type="noConversion"/>
  </si>
  <si>
    <t>아몰퍼스[Tesla]</t>
    <phoneticPr fontId="8" type="noConversion"/>
  </si>
  <si>
    <t>페라이트[Tesla]</t>
    <phoneticPr fontId="8" type="noConversion"/>
  </si>
  <si>
    <t>주파수[kHz]</t>
    <phoneticPr fontId="8" type="noConversion"/>
  </si>
  <si>
    <t>dT 80℃기준</t>
    <phoneticPr fontId="8" type="noConversion"/>
  </si>
  <si>
    <t>dT 75~80℃기준</t>
    <phoneticPr fontId="8" type="noConversion"/>
  </si>
  <si>
    <t>dT 60℃기준</t>
    <phoneticPr fontId="8" type="noConversion"/>
  </si>
  <si>
    <t>at 20℃</t>
    <phoneticPr fontId="8" type="noConversion"/>
  </si>
  <si>
    <t xml:space="preserve">두께 : 부스바 </t>
    <phoneticPr fontId="8" type="noConversion"/>
  </si>
  <si>
    <t>&lt;코아 중족 단면적 ( 1조 기준, 주사용품)&gt;</t>
    <phoneticPr fontId="8" type="noConversion"/>
  </si>
  <si>
    <t>&lt;DC 인덕터 L값)&gt;</t>
    <phoneticPr fontId="8" type="noConversion"/>
  </si>
  <si>
    <t>코아 종류</t>
    <phoneticPr fontId="8" type="noConversion"/>
  </si>
  <si>
    <t>중족단면적(Ae)</t>
    <phoneticPr fontId="8" type="noConversion"/>
  </si>
  <si>
    <t>규격</t>
    <phoneticPr fontId="8" type="noConversion"/>
  </si>
  <si>
    <t>자재코드</t>
    <phoneticPr fontId="8" type="noConversion"/>
  </si>
  <si>
    <t>L값(360Hz)</t>
    <phoneticPr fontId="8" type="noConversion"/>
  </si>
  <si>
    <t>규소강판(0.2t, Si 3%)</t>
    <phoneticPr fontId="8" type="noConversion"/>
  </si>
  <si>
    <t>cm^2</t>
    <phoneticPr fontId="8" type="noConversion"/>
  </si>
  <si>
    <t xml:space="preserve">[PSIH-50XF-L1F-V1] </t>
    <phoneticPr fontId="8" type="noConversion"/>
  </si>
  <si>
    <t>LLL00001</t>
    <phoneticPr fontId="9" type="noConversion"/>
  </si>
  <si>
    <t>60uH</t>
    <phoneticPr fontId="9" type="noConversion"/>
  </si>
  <si>
    <t>아몰퍼스(50x175xSF)</t>
    <phoneticPr fontId="8" type="noConversion"/>
  </si>
  <si>
    <t xml:space="preserve">[PSIH-050HF-LO-01] </t>
    <phoneticPr fontId="8" type="noConversion"/>
  </si>
  <si>
    <t>LLL00005</t>
    <phoneticPr fontId="9" type="noConversion"/>
  </si>
  <si>
    <t>390uH</t>
    <phoneticPr fontId="9" type="noConversion"/>
  </si>
  <si>
    <t>UU100</t>
    <phoneticPr fontId="8" type="noConversion"/>
  </si>
  <si>
    <t>[PSIH-100XF-LI-V1]</t>
    <phoneticPr fontId="8" type="noConversion"/>
  </si>
  <si>
    <t>LLL00060</t>
    <phoneticPr fontId="9" type="noConversion"/>
  </si>
  <si>
    <t>900uH</t>
    <phoneticPr fontId="9" type="noConversion"/>
  </si>
  <si>
    <t>UU120</t>
    <phoneticPr fontId="8" type="noConversion"/>
  </si>
  <si>
    <t xml:space="preserve">[PSIH-200XF-LI-V1] </t>
    <phoneticPr fontId="8" type="noConversion"/>
  </si>
  <si>
    <t>LLL00012</t>
    <phoneticPr fontId="9" type="noConversion"/>
  </si>
  <si>
    <t>630uH</t>
    <phoneticPr fontId="9" type="noConversion"/>
  </si>
  <si>
    <t>UU120C</t>
    <phoneticPr fontId="8" type="noConversion"/>
  </si>
  <si>
    <t xml:space="preserve">[PSIH-400XF-LI-V1]  </t>
    <phoneticPr fontId="8" type="noConversion"/>
  </si>
  <si>
    <t>LLL00013</t>
    <phoneticPr fontId="9" type="noConversion"/>
  </si>
  <si>
    <t>375uH</t>
    <phoneticPr fontId="9" type="noConversion"/>
  </si>
  <si>
    <t>I118+I140 조합</t>
    <phoneticPr fontId="8" type="noConversion"/>
  </si>
  <si>
    <t xml:space="preserve">[PSIH-500XF-LI-V2] </t>
    <phoneticPr fontId="8" type="noConversion"/>
  </si>
  <si>
    <t>LLL00051</t>
    <phoneticPr fontId="9" type="noConversion"/>
  </si>
  <si>
    <t>515uH</t>
    <phoneticPr fontId="9" type="noConversion"/>
  </si>
  <si>
    <t>정격전력</t>
    <phoneticPr fontId="9" type="noConversion"/>
  </si>
  <si>
    <t>입력전압</t>
    <phoneticPr fontId="9" type="noConversion"/>
  </si>
  <si>
    <t>입력선전류</t>
    <phoneticPr fontId="9" type="noConversion"/>
  </si>
  <si>
    <t>DC전압</t>
    <phoneticPr fontId="9" type="noConversion"/>
  </si>
  <si>
    <t>DC전류</t>
    <phoneticPr fontId="9" type="noConversion"/>
  </si>
  <si>
    <t>필요SQ</t>
    <phoneticPr fontId="9" type="noConversion"/>
  </si>
  <si>
    <t>SQ당 전류</t>
    <phoneticPr fontId="9" type="noConversion"/>
  </si>
  <si>
    <t>인입선SQ</t>
    <phoneticPr fontId="9" type="noConversion"/>
  </si>
  <si>
    <t>가닥수</t>
    <phoneticPr fontId="9" type="noConversion"/>
  </si>
  <si>
    <t>접지선필요SQ</t>
    <phoneticPr fontId="9" type="noConversion"/>
  </si>
  <si>
    <t>접지선SQ</t>
    <phoneticPr fontId="9" type="noConversion"/>
  </si>
  <si>
    <t>차단기 용량</t>
    <phoneticPr fontId="9" type="noConversion"/>
  </si>
  <si>
    <t xml:space="preserve">Main차단기 </t>
    <phoneticPr fontId="9" type="noConversion"/>
  </si>
  <si>
    <t>3상입력선SQ</t>
    <phoneticPr fontId="9" type="noConversion"/>
  </si>
  <si>
    <t>퓨즈용량</t>
    <phoneticPr fontId="9" type="noConversion"/>
  </si>
  <si>
    <t>퓨즈</t>
    <phoneticPr fontId="9" type="noConversion"/>
  </si>
  <si>
    <t>정류소자</t>
    <phoneticPr fontId="9" type="noConversion"/>
  </si>
  <si>
    <t>DC REACTOR</t>
    <phoneticPr fontId="9" type="noConversion"/>
  </si>
  <si>
    <t>션트저항</t>
    <phoneticPr fontId="9" type="noConversion"/>
  </si>
  <si>
    <t>초기충전</t>
    <phoneticPr fontId="9" type="noConversion"/>
  </si>
  <si>
    <t>DC과전압보호</t>
    <phoneticPr fontId="9" type="noConversion"/>
  </si>
  <si>
    <t>다이오드</t>
    <phoneticPr fontId="9" type="noConversion"/>
  </si>
  <si>
    <t>SCR</t>
    <phoneticPr fontId="9" type="noConversion"/>
  </si>
  <si>
    <t>GMC-75</t>
    <phoneticPr fontId="9" type="noConversion"/>
  </si>
  <si>
    <t>25 (연선)</t>
    <phoneticPr fontId="9" type="noConversion"/>
  </si>
  <si>
    <t>100A</t>
    <phoneticPr fontId="9" type="noConversion"/>
  </si>
  <si>
    <t>DDB6U215N16L</t>
    <phoneticPr fontId="9" type="noConversion"/>
  </si>
  <si>
    <t>50XF</t>
  </si>
  <si>
    <t>INRUSH_V6</t>
    <phoneticPr fontId="9" type="noConversion"/>
  </si>
  <si>
    <t>-</t>
    <phoneticPr fontId="9" type="noConversion"/>
  </si>
  <si>
    <t>GMC-50</t>
    <phoneticPr fontId="9" type="noConversion"/>
  </si>
  <si>
    <t>16 (연선)</t>
    <phoneticPr fontId="9" type="noConversion"/>
  </si>
  <si>
    <t>50A</t>
    <phoneticPr fontId="9" type="noConversion"/>
  </si>
  <si>
    <t>GMC-125</t>
    <phoneticPr fontId="9" type="noConversion"/>
  </si>
  <si>
    <t>35 (연선)</t>
    <phoneticPr fontId="9" type="noConversion"/>
  </si>
  <si>
    <t>120A</t>
    <phoneticPr fontId="9" type="noConversion"/>
  </si>
  <si>
    <t>150A</t>
    <phoneticPr fontId="9" type="noConversion"/>
  </si>
  <si>
    <t>ABS203c 200A</t>
    <phoneticPr fontId="9" type="noConversion"/>
  </si>
  <si>
    <t>50 (연선)</t>
    <phoneticPr fontId="9" type="noConversion"/>
  </si>
  <si>
    <t>200A</t>
    <phoneticPr fontId="9" type="noConversion"/>
  </si>
  <si>
    <t>DD171N16K/MDD17216N1</t>
    <phoneticPr fontId="9" type="noConversion"/>
  </si>
  <si>
    <t>100XF</t>
    <phoneticPr fontId="9" type="noConversion"/>
  </si>
  <si>
    <t>300A</t>
    <phoneticPr fontId="9" type="noConversion"/>
  </si>
  <si>
    <t>INRUSH_MC_DC SUNBBER</t>
    <phoneticPr fontId="9" type="noConversion"/>
  </si>
  <si>
    <t>ABS103c 125A</t>
    <phoneticPr fontId="9" type="noConversion"/>
  </si>
  <si>
    <t>ABS403c 300A</t>
    <phoneticPr fontId="9" type="noConversion"/>
  </si>
  <si>
    <t>95 (연선)*2</t>
    <phoneticPr fontId="9" type="noConversion"/>
  </si>
  <si>
    <t>95 (연선)</t>
    <phoneticPr fontId="9" type="noConversion"/>
  </si>
  <si>
    <t>250A</t>
    <phoneticPr fontId="9" type="noConversion"/>
  </si>
  <si>
    <t>200XF</t>
    <phoneticPr fontId="9" type="noConversion"/>
  </si>
  <si>
    <t>ABS203c 225A</t>
    <phoneticPr fontId="9" type="noConversion"/>
  </si>
  <si>
    <t>400A</t>
    <phoneticPr fontId="9" type="noConversion"/>
  </si>
  <si>
    <t>ABS403c 400A</t>
    <phoneticPr fontId="9" type="noConversion"/>
  </si>
  <si>
    <t>500A</t>
    <phoneticPr fontId="9" type="noConversion"/>
  </si>
  <si>
    <t>DD350N16K1/MDD31216N1</t>
    <phoneticPr fontId="9" type="noConversion"/>
  </si>
  <si>
    <t>ABS603c 500A</t>
    <phoneticPr fontId="9" type="noConversion"/>
  </si>
  <si>
    <t>40*8T (부스바)</t>
    <phoneticPr fontId="9" type="noConversion"/>
  </si>
  <si>
    <t>600A</t>
    <phoneticPr fontId="9" type="noConversion"/>
  </si>
  <si>
    <t>400XF</t>
    <phoneticPr fontId="9" type="noConversion"/>
  </si>
  <si>
    <t>40*6T (부스바)</t>
    <phoneticPr fontId="9" type="noConversion"/>
  </si>
  <si>
    <t>ABS603c 630A</t>
    <phoneticPr fontId="9" type="noConversion"/>
  </si>
  <si>
    <t>800A</t>
    <phoneticPr fontId="9" type="noConversion"/>
  </si>
  <si>
    <t>ABS803c 800A</t>
    <phoneticPr fontId="9" type="noConversion"/>
  </si>
  <si>
    <t>50*10T (부스바)</t>
    <phoneticPr fontId="9" type="noConversion"/>
  </si>
  <si>
    <t>DD600N16K</t>
    <phoneticPr fontId="9" type="noConversion"/>
  </si>
  <si>
    <t>1000A</t>
    <phoneticPr fontId="9" type="noConversion"/>
  </si>
  <si>
    <t>50*11T (부스바)</t>
  </si>
  <si>
    <t>900A</t>
    <phoneticPr fontId="9" type="noConversion"/>
  </si>
  <si>
    <t>ABS1003c 1000A</t>
    <phoneticPr fontId="9" type="noConversion"/>
  </si>
  <si>
    <t>50*12T (부스바)</t>
    <phoneticPr fontId="9" type="noConversion"/>
  </si>
  <si>
    <t>500XF_규소강판_명신산업적용</t>
    <phoneticPr fontId="9" type="noConversion"/>
  </si>
  <si>
    <t>1500A</t>
    <phoneticPr fontId="9" type="noConversion"/>
  </si>
  <si>
    <t>ABS1003c 1200A</t>
    <phoneticPr fontId="9" type="noConversion"/>
  </si>
  <si>
    <t>1200A</t>
    <phoneticPr fontId="9" type="noConversion"/>
  </si>
  <si>
    <t>600XF_규소강판_명신산업적용</t>
    <phoneticPr fontId="9" type="noConversion"/>
  </si>
  <si>
    <t>저항 사용</t>
    <phoneticPr fontId="9" type="noConversion"/>
  </si>
  <si>
    <t>CROWBAR 회로_MCO500</t>
    <phoneticPr fontId="9" type="noConversion"/>
  </si>
  <si>
    <t>ACB_1250A</t>
    <phoneticPr fontId="9" type="noConversion"/>
  </si>
  <si>
    <t>DH-804_480 (편조선)</t>
    <phoneticPr fontId="9" type="noConversion"/>
  </si>
  <si>
    <t>규소강판_신규설계</t>
    <phoneticPr fontId="9" type="noConversion"/>
  </si>
  <si>
    <t>ACB_1600A</t>
    <phoneticPr fontId="9" type="noConversion"/>
  </si>
  <si>
    <t>DH-805_640 (편조선)</t>
    <phoneticPr fontId="9" type="noConversion"/>
  </si>
  <si>
    <t>ACB_2000A</t>
    <phoneticPr fontId="9" type="noConversion"/>
  </si>
  <si>
    <t>DH-1006_800 (편조선)</t>
    <phoneticPr fontId="9" type="noConversion"/>
  </si>
  <si>
    <t>MDD810-16N2</t>
  </si>
  <si>
    <t>N1806QK160</t>
    <phoneticPr fontId="9" type="noConversion"/>
  </si>
  <si>
    <t>2500A</t>
    <phoneticPr fontId="9" type="noConversion"/>
  </si>
  <si>
    <t>ACB_2500A</t>
    <phoneticPr fontId="9" type="noConversion"/>
  </si>
  <si>
    <t>DH-1007_1000 (편조선)</t>
    <phoneticPr fontId="9" type="noConversion"/>
  </si>
  <si>
    <t>CROWBAR 회로_N1806QK160</t>
    <phoneticPr fontId="9" type="noConversion"/>
  </si>
  <si>
    <t>W3270N#160</t>
    <phoneticPr fontId="9" type="noConversion"/>
  </si>
  <si>
    <t>3000A</t>
    <phoneticPr fontId="9" type="noConversion"/>
  </si>
  <si>
    <t>CROWBAR 회로_N1806QK160,N1114</t>
    <phoneticPr fontId="9" type="noConversion"/>
  </si>
  <si>
    <t>ACB_3200A</t>
    <phoneticPr fontId="9" type="noConversion"/>
  </si>
  <si>
    <t>DH-1006_800*2 (편조선)</t>
    <phoneticPr fontId="9" type="noConversion"/>
  </si>
  <si>
    <t>W3270N#160</t>
  </si>
  <si>
    <t>N2593MK160</t>
    <phoneticPr fontId="9" type="noConversion"/>
  </si>
  <si>
    <t>4000A</t>
    <phoneticPr fontId="9" type="noConversion"/>
  </si>
  <si>
    <t>CROWBAR 회로_N2593MK160</t>
    <phoneticPr fontId="9" type="noConversion"/>
  </si>
  <si>
    <t>ACB_4000A</t>
    <phoneticPr fontId="9" type="noConversion"/>
  </si>
  <si>
    <t>5000A</t>
    <phoneticPr fontId="9" type="noConversion"/>
  </si>
  <si>
    <t>6000A</t>
    <phoneticPr fontId="9" type="noConversion"/>
  </si>
  <si>
    <t>저항 사용</t>
    <phoneticPr fontId="9" type="noConversion"/>
  </si>
  <si>
    <t>CROWBAR 회로_N2593MK160</t>
    <phoneticPr fontId="9" type="noConversion"/>
  </si>
  <si>
    <t>규소강판_신규설계</t>
    <phoneticPr fontId="9" type="noConversion"/>
  </si>
  <si>
    <t>4000A</t>
    <phoneticPr fontId="9" type="noConversion"/>
  </si>
  <si>
    <t>저항 사용</t>
    <phoneticPr fontId="9" type="noConversion"/>
  </si>
  <si>
    <t>CROWBAR 회로_N2593MK160</t>
    <phoneticPr fontId="9" type="noConversion"/>
  </si>
  <si>
    <t>주파수
Fr</t>
    <phoneticPr fontId="8" type="noConversion"/>
  </si>
  <si>
    <t>위상</t>
    <phoneticPr fontId="27" type="noConversion"/>
  </si>
  <si>
    <t>콘덴서전류
Icr</t>
    <phoneticPr fontId="8" type="noConversion"/>
  </si>
  <si>
    <t>Coil 전류
(C/T 2차)</t>
    <phoneticPr fontId="27" type="noConversion"/>
  </si>
  <si>
    <t>Q값 
C/T1차
(코일기준)</t>
    <phoneticPr fontId="27" type="noConversion"/>
  </si>
  <si>
    <t>Q값 
코일기준</t>
    <phoneticPr fontId="27" type="noConversion"/>
  </si>
  <si>
    <t>예상 전력</t>
    <phoneticPr fontId="27" type="noConversion"/>
  </si>
  <si>
    <t>예상 C/T1차 전류</t>
    <phoneticPr fontId="27" type="noConversion"/>
  </si>
  <si>
    <t>예상공진전압 Vcr</t>
    <phoneticPr fontId="27" type="noConversion"/>
  </si>
  <si>
    <t>A</t>
    <phoneticPr fontId="27" type="noConversion"/>
  </si>
  <si>
    <t>uH</t>
    <phoneticPr fontId="27" type="noConversion"/>
  </si>
  <si>
    <t>Ir (직렬인덕터)</t>
    <phoneticPr fontId="8" type="noConversion"/>
  </si>
  <si>
    <t>Vac out(직렬인덕터 전단)</t>
    <phoneticPr fontId="8" type="noConversion"/>
  </si>
  <si>
    <t>Vac out 1차(M/T 포함,인버터출력)</t>
    <phoneticPr fontId="8" type="noConversion"/>
  </si>
  <si>
    <t>입력전력
Po</t>
    <phoneticPr fontId="8" type="noConversion"/>
  </si>
  <si>
    <t>인버터
출력전류
Ir</t>
    <phoneticPr fontId="8" type="noConversion"/>
  </si>
  <si>
    <t>직류전류
Io</t>
    <phoneticPr fontId="8" type="noConversion"/>
  </si>
  <si>
    <t>직류전압
Vo</t>
    <phoneticPr fontId="8" type="noConversion"/>
  </si>
  <si>
    <t>Cr 용량</t>
    <phoneticPr fontId="8" type="noConversion"/>
  </si>
  <si>
    <t>공진전압
Vcr</t>
    <phoneticPr fontId="8" type="noConversion"/>
  </si>
  <si>
    <t>C/T1차전류</t>
    <phoneticPr fontId="27" type="noConversion"/>
  </si>
  <si>
    <t>Ls/L coil(c/t1차)</t>
    <phoneticPr fontId="27" type="noConversion"/>
  </si>
  <si>
    <t>전류비율
Ir/Icoil(C/T1차)</t>
    <phoneticPr fontId="27" type="noConversion"/>
  </si>
  <si>
    <t>C/T탭비</t>
    <phoneticPr fontId="27" type="noConversion"/>
  </si>
  <si>
    <t>코일 저항 Rcoil</t>
    <phoneticPr fontId="27" type="noConversion"/>
  </si>
  <si>
    <t>Q값 
콘덴서기준</t>
    <phoneticPr fontId="27" type="noConversion"/>
  </si>
  <si>
    <t>Ls 예상 L값</t>
    <phoneticPr fontId="27" type="noConversion"/>
  </si>
  <si>
    <t>C/T 1차 L값</t>
    <phoneticPr fontId="27" type="noConversion"/>
  </si>
  <si>
    <t>코일 L값
(C/T 누설포함)</t>
    <phoneticPr fontId="27" type="noConversion"/>
  </si>
  <si>
    <t>예상 Ir</t>
    <phoneticPr fontId="27" type="noConversion"/>
  </si>
  <si>
    <t>예상 공진 CAP 전류</t>
    <phoneticPr fontId="27" type="noConversion"/>
  </si>
  <si>
    <t>예상 Coil 전류</t>
    <phoneticPr fontId="27" type="noConversion"/>
  </si>
  <si>
    <t>A</t>
    <phoneticPr fontId="8" type="noConversion"/>
  </si>
  <si>
    <t>V</t>
    <phoneticPr fontId="8" type="noConversion"/>
  </si>
  <si>
    <t>kHz</t>
    <phoneticPr fontId="8" type="noConversion"/>
  </si>
  <si>
    <r>
      <t>(</t>
    </r>
    <r>
      <rPr>
        <b/>
        <sz val="8"/>
        <rFont val="맑은 고딕"/>
        <family val="3"/>
        <charset val="129"/>
      </rPr>
      <t>°</t>
    </r>
    <r>
      <rPr>
        <b/>
        <sz val="8"/>
        <rFont val="돋움"/>
        <family val="3"/>
        <charset val="129"/>
      </rPr>
      <t>)</t>
    </r>
    <phoneticPr fontId="27" type="noConversion"/>
  </si>
  <si>
    <t>A</t>
    <phoneticPr fontId="27" type="noConversion"/>
  </si>
  <si>
    <t>N:1</t>
    <phoneticPr fontId="27" type="noConversion"/>
  </si>
  <si>
    <t>mΩ</t>
    <phoneticPr fontId="27" type="noConversion"/>
  </si>
  <si>
    <t>uH</t>
    <phoneticPr fontId="27" type="noConversion"/>
  </si>
  <si>
    <t>KW</t>
    <phoneticPr fontId="27" type="noConversion"/>
  </si>
  <si>
    <t>A</t>
    <phoneticPr fontId="8" type="noConversion"/>
  </si>
  <si>
    <t>A</t>
    <phoneticPr fontId="8" type="noConversion"/>
  </si>
  <si>
    <t>V</t>
    <phoneticPr fontId="27" type="noConversion"/>
  </si>
  <si>
    <t xml:space="preserve">
무부하
(5:1)</t>
    <phoneticPr fontId="8" type="noConversion"/>
  </si>
  <si>
    <t xml:space="preserve">
무부하
(3:1)</t>
    <phoneticPr fontId="8" type="noConversion"/>
  </si>
  <si>
    <t>부하
(3:1)</t>
    <phoneticPr fontId="27" type="noConversion"/>
  </si>
  <si>
    <t>1011.4mm*0.605t</t>
    <phoneticPr fontId="8" type="noConversion"/>
  </si>
  <si>
    <t>gap</t>
    <phoneticPr fontId="8" type="noConversion"/>
  </si>
  <si>
    <t>turn</t>
    <phoneticPr fontId="8" type="noConversion"/>
  </si>
  <si>
    <t>Φ</t>
    <phoneticPr fontId="8" type="noConversion"/>
  </si>
  <si>
    <t>높이</t>
    <phoneticPr fontId="8" type="noConversion"/>
  </si>
  <si>
    <t>763.8mm*0.796t</t>
    <phoneticPr fontId="8" type="noConversion"/>
  </si>
  <si>
    <t>POSCO 3CGL 적용 소선</t>
    <phoneticPr fontId="8" type="noConversion"/>
  </si>
  <si>
    <t>소선: 15*20 ,2.5t</t>
    <phoneticPr fontId="8" type="noConversion"/>
  </si>
  <si>
    <t>공심 인덕터 설계 결과</t>
    <phoneticPr fontId="8" type="noConversion"/>
  </si>
  <si>
    <t>턴 수 :2병렬8턴</t>
    <phoneticPr fontId="8" type="noConversion"/>
  </si>
  <si>
    <t>내경 : 100 Ø</t>
    <phoneticPr fontId="8" type="noConversion"/>
  </si>
  <si>
    <t xml:space="preserve">턴 수 :8턴 </t>
    <phoneticPr fontId="8" type="noConversion"/>
  </si>
  <si>
    <t>소선: 12.7Ø ,2t(코팅)</t>
    <phoneticPr fontId="8" type="noConversion"/>
  </si>
  <si>
    <t>2모듈 75%운전</t>
    <phoneticPr fontId="8" type="noConversion"/>
  </si>
  <si>
    <t>3모듈 100%운전</t>
    <phoneticPr fontId="8" type="noConversion"/>
  </si>
  <si>
    <t>모듈당 전류</t>
    <phoneticPr fontId="8" type="noConversion"/>
  </si>
  <si>
    <t>내경 : 170 Ø</t>
    <phoneticPr fontId="8" type="noConversion"/>
  </si>
  <si>
    <t>L값: 4.9uH  (높이 295mm 일때, 1EA 기준)</t>
    <phoneticPr fontId="8" type="noConversion"/>
  </si>
  <si>
    <t>동부제철 설계결과</t>
    <phoneticPr fontId="8" type="noConversion"/>
  </si>
  <si>
    <t>동부제철 2CGL</t>
    <phoneticPr fontId="9" type="noConversion"/>
  </si>
  <si>
    <t>2CGL SGL 후처리 인덕션 히터</t>
    <phoneticPr fontId="9" type="noConversion"/>
  </si>
  <si>
    <t>1250kW</t>
    <phoneticPr fontId="9" type="noConversion"/>
  </si>
  <si>
    <t>2500A급 (AS-25 E 3-25 N M2 D2 D2 AX PC1 U2 AL)</t>
    <phoneticPr fontId="9" type="noConversion"/>
  </si>
  <si>
    <t>SCA00019</t>
    <phoneticPr fontId="8" type="noConversion"/>
  </si>
  <si>
    <t>[W3270N#160] 3270A(방열온도55도), 1600V</t>
    <phoneticPr fontId="9" type="noConversion"/>
  </si>
  <si>
    <t>ERG00006</t>
    <phoneticPr fontId="8" type="noConversion"/>
  </si>
  <si>
    <t>성보피앤티 1200kW 사양 동일</t>
    <phoneticPr fontId="8" type="noConversion"/>
  </si>
  <si>
    <t>2500A</t>
    <phoneticPr fontId="9" type="noConversion"/>
  </si>
  <si>
    <t>3모듈 적용</t>
    <phoneticPr fontId="8" type="noConversion"/>
  </si>
  <si>
    <t>2400A FULL BRIDGE: [FZ2400R12HE4_B9] 1200V, 2400A
[IMH3HS12] 인버터모듈관련 기구물, Half bridge, 3홀
(2400A, 3600A IGBT용 :내부 3병렬 구조), Single type, 1200V급 IGBT 적용</t>
    <phoneticPr fontId="9" type="noConversion"/>
  </si>
  <si>
    <t>DC LINK CAP Module, 장착위치: Side, CAP 용량: 50uF 900V,
가로(행)수: 3, 세로(열)수: 7 (full bridge_single모듈 적용)
수량 2EA : 4200uF(50uF *84EA)</t>
    <phoneticPr fontId="9" type="noConversion"/>
  </si>
  <si>
    <t>성보피앤티 사양 동일
총 수량 6EA(TOTAL: 12600uF)</t>
    <phoneticPr fontId="8" type="noConversion"/>
  </si>
  <si>
    <t>인버터 모듈 수량</t>
    <phoneticPr fontId="8" type="noConversion"/>
  </si>
  <si>
    <t>3EA</t>
    <phoneticPr fontId="8" type="noConversion"/>
  </si>
  <si>
    <t>POSCO 3CGL 사양에서 턴수 및 내경 조정</t>
    <phoneticPr fontId="8" type="noConversion"/>
  </si>
  <si>
    <t>POSCO 3CGL 동일</t>
    <phoneticPr fontId="8" type="noConversion"/>
  </si>
  <si>
    <t>약 11전후</t>
    <phoneticPr fontId="9" type="noConversion"/>
  </si>
  <si>
    <t>콘덴서 Q값 (16~20)</t>
    <phoneticPr fontId="8" type="noConversion"/>
  </si>
  <si>
    <t>약 1960A(입력전압 460V)</t>
    <phoneticPr fontId="9" type="noConversion"/>
  </si>
  <si>
    <t>약 2070A</t>
    <phoneticPr fontId="9" type="noConversion"/>
  </si>
  <si>
    <t>전류량 : 3300A, 12kHz 예상</t>
    <phoneticPr fontId="8" type="noConversion"/>
  </si>
  <si>
    <t>IH DIGITAL CONTROL BOARD V3.8</t>
    <phoneticPr fontId="8" type="noConversion"/>
  </si>
  <si>
    <t>IH GATE_DRIVER_50W_V3.2</t>
    <phoneticPr fontId="8" type="noConversion"/>
  </si>
  <si>
    <t>2020.12.02</t>
    <phoneticPr fontId="10" type="noConversion"/>
  </si>
  <si>
    <t>12~15kHz</t>
    <phoneticPr fontId="9" type="noConversion"/>
  </si>
  <si>
    <t>높이: 134mm~162mm까지 가변--&gt; 148mm를 기준 높이로 제작_3tap</t>
    <phoneticPr fontId="8" type="noConversion"/>
  </si>
  <si>
    <t>L값: 2.17uH  (높이 148mm 일때, 1EA 기준)</t>
    <phoneticPr fontId="8" type="noConversion"/>
  </si>
  <si>
    <t>동작 예상 주파수는 12~15kHz</t>
    <phoneticPr fontId="8" type="noConversion"/>
  </si>
  <si>
    <t>x</t>
    <phoneticPr fontId="10" type="noConversion"/>
  </si>
  <si>
    <t>x</t>
    <phoneticPr fontId="10" type="noConversion"/>
  </si>
  <si>
    <t>x</t>
    <phoneticPr fontId="10" type="noConversion"/>
  </si>
  <si>
    <t>DC 초크 인덕터 설계 시트</t>
    <phoneticPr fontId="8" type="noConversion"/>
  </si>
  <si>
    <t>Pin</t>
    <phoneticPr fontId="8" type="noConversion"/>
  </si>
  <si>
    <t>kW</t>
    <phoneticPr fontId="8" type="noConversion"/>
  </si>
  <si>
    <t>Vin[V]</t>
    <phoneticPr fontId="8" type="noConversion"/>
  </si>
  <si>
    <t>V</t>
    <phoneticPr fontId="8" type="noConversion"/>
  </si>
  <si>
    <t>규소 강판</t>
    <phoneticPr fontId="8" type="noConversion"/>
  </si>
  <si>
    <t>Vripple factor</t>
    <phoneticPr fontId="8" type="noConversion"/>
  </si>
  <si>
    <t>a</t>
    <phoneticPr fontId="8" type="noConversion"/>
  </si>
  <si>
    <t>mm</t>
    <phoneticPr fontId="8" type="noConversion"/>
  </si>
  <si>
    <t xml:space="preserve">권선 파이프 </t>
    <phoneticPr fontId="8" type="noConversion"/>
  </si>
  <si>
    <t>25파이2.5T</t>
    <phoneticPr fontId="8" type="noConversion"/>
  </si>
  <si>
    <t>&lt;동 파이프 발열량 계산 공식&gt;</t>
    <phoneticPr fontId="8" type="noConversion"/>
  </si>
  <si>
    <t>Vaverage</t>
    <phoneticPr fontId="8" type="noConversion"/>
  </si>
  <si>
    <t>b</t>
    <phoneticPr fontId="8" type="noConversion"/>
  </si>
  <si>
    <t>mm</t>
    <phoneticPr fontId="8" type="noConversion"/>
  </si>
  <si>
    <t>권선 단면적</t>
    <phoneticPr fontId="8" type="noConversion"/>
  </si>
  <si>
    <t>mm^2</t>
    <phoneticPr fontId="8" type="noConversion"/>
  </si>
  <si>
    <t>사용 재료</t>
    <phoneticPr fontId="9" type="noConversion"/>
  </si>
  <si>
    <t>타프피치 동</t>
    <phoneticPr fontId="9" type="noConversion"/>
  </si>
  <si>
    <t>Duty Ratio</t>
    <phoneticPr fontId="8" type="noConversion"/>
  </si>
  <si>
    <t>%</t>
    <phoneticPr fontId="8" type="noConversion"/>
  </si>
  <si>
    <t>c</t>
    <phoneticPr fontId="8" type="noConversion"/>
  </si>
  <si>
    <t>층당 권선수</t>
    <phoneticPr fontId="8" type="noConversion"/>
  </si>
  <si>
    <t>turn</t>
    <phoneticPr fontId="8" type="noConversion"/>
  </si>
  <si>
    <t>도체 고유전기저항</t>
    <phoneticPr fontId="8" type="noConversion"/>
  </si>
  <si>
    <t>[Ωm×10E-8]</t>
    <phoneticPr fontId="8" type="noConversion"/>
  </si>
  <si>
    <t>Frequency</t>
    <phoneticPr fontId="8" type="noConversion"/>
  </si>
  <si>
    <t>Hz</t>
    <phoneticPr fontId="8" type="noConversion"/>
  </si>
  <si>
    <t>d</t>
    <phoneticPr fontId="8" type="noConversion"/>
  </si>
  <si>
    <t xml:space="preserve">권선층 </t>
    <phoneticPr fontId="8" type="noConversion"/>
  </si>
  <si>
    <t>층</t>
    <phoneticPr fontId="8" type="noConversion"/>
  </si>
  <si>
    <t>도체의 온도저항계수</t>
    <phoneticPr fontId="8" type="noConversion"/>
  </si>
  <si>
    <t>at 20℃</t>
    <phoneticPr fontId="8" type="noConversion"/>
  </si>
  <si>
    <t>Ton</t>
    <phoneticPr fontId="8" type="noConversion"/>
  </si>
  <si>
    <t>ms</t>
    <phoneticPr fontId="8" type="noConversion"/>
  </si>
  <si>
    <t>e</t>
    <phoneticPr fontId="8" type="noConversion"/>
  </si>
  <si>
    <t>전류 밀도</t>
    <phoneticPr fontId="8" type="noConversion"/>
  </si>
  <si>
    <t>A/mm^2</t>
    <phoneticPr fontId="8" type="noConversion"/>
  </si>
  <si>
    <t>도체의 온도</t>
    <phoneticPr fontId="8" type="noConversion"/>
  </si>
  <si>
    <t>Vin,min %</t>
    <phoneticPr fontId="8" type="noConversion"/>
  </si>
  <si>
    <t xml:space="preserve">도체의 산출저항 </t>
    <phoneticPr fontId="8" type="noConversion"/>
  </si>
  <si>
    <t>[Ωm×10E-8]</t>
    <phoneticPr fontId="8" type="noConversion"/>
  </si>
  <si>
    <t>Vin,min</t>
    <phoneticPr fontId="8" type="noConversion"/>
  </si>
  <si>
    <t>V</t>
    <phoneticPr fontId="8" type="noConversion"/>
  </si>
  <si>
    <t xml:space="preserve">c+gap paper </t>
    <phoneticPr fontId="8" type="noConversion"/>
  </si>
  <si>
    <t>측정값 검증</t>
    <phoneticPr fontId="8" type="noConversion"/>
  </si>
  <si>
    <t>도체의 산출 전도도</t>
    <phoneticPr fontId="9" type="noConversion"/>
  </si>
  <si>
    <t>[SIMENS/m]</t>
    <phoneticPr fontId="9" type="noConversion"/>
  </si>
  <si>
    <t>Vdc,min</t>
    <phoneticPr fontId="8" type="noConversion"/>
  </si>
  <si>
    <t>V*Ton</t>
    <phoneticPr fontId="8" type="noConversion"/>
  </si>
  <si>
    <t>V*ms</t>
    <phoneticPr fontId="8" type="noConversion"/>
  </si>
  <si>
    <t>비투자율</t>
    <phoneticPr fontId="8" type="noConversion"/>
  </si>
  <si>
    <t>ui</t>
    <phoneticPr fontId="9" type="noConversion"/>
  </si>
  <si>
    <t>Iin,dc</t>
    <phoneticPr fontId="8" type="noConversion"/>
  </si>
  <si>
    <t>A</t>
    <phoneticPr fontId="8" type="noConversion"/>
  </si>
  <si>
    <t>f</t>
    <phoneticPr fontId="8" type="noConversion"/>
  </si>
  <si>
    <t>주파수</t>
    <phoneticPr fontId="8" type="noConversion"/>
  </si>
  <si>
    <t>[Hz]</t>
    <phoneticPr fontId="8" type="noConversion"/>
  </si>
  <si>
    <t>Ripple</t>
    <phoneticPr fontId="8" type="noConversion"/>
  </si>
  <si>
    <t>평균자로장(MPL)</t>
    <phoneticPr fontId="8" type="noConversion"/>
  </si>
  <si>
    <t>cm</t>
    <phoneticPr fontId="8" type="noConversion"/>
  </si>
  <si>
    <t>Skin Depth</t>
    <phoneticPr fontId="8" type="noConversion"/>
  </si>
  <si>
    <t>[mm]</t>
    <phoneticPr fontId="9" type="noConversion"/>
  </si>
  <si>
    <t>Iripple</t>
    <phoneticPr fontId="8" type="noConversion"/>
  </si>
  <si>
    <t>유효단면적</t>
    <phoneticPr fontId="8" type="noConversion"/>
  </si>
  <si>
    <t>cm^2</t>
    <phoneticPr fontId="8" type="noConversion"/>
  </si>
  <si>
    <t>코아 단가</t>
    <phoneticPr fontId="8" type="noConversion"/>
  </si>
  <si>
    <t>배선길이</t>
    <phoneticPr fontId="8" type="noConversion"/>
  </si>
  <si>
    <t>Inductance</t>
    <phoneticPr fontId="8" type="noConversion"/>
  </si>
  <si>
    <t>mH</t>
    <phoneticPr fontId="8" type="noConversion"/>
  </si>
  <si>
    <t>중량</t>
    <phoneticPr fontId="8" type="noConversion"/>
  </si>
  <si>
    <t>Kg</t>
    <phoneticPr fontId="8" type="noConversion"/>
  </si>
  <si>
    <t>만원</t>
    <phoneticPr fontId="8" type="noConversion"/>
  </si>
  <si>
    <t>두께 : 파이프</t>
    <phoneticPr fontId="8" type="noConversion"/>
  </si>
  <si>
    <t>Frequency Cut Off</t>
    <phoneticPr fontId="8" type="noConversion"/>
  </si>
  <si>
    <t>예상 L값</t>
    <phoneticPr fontId="8" type="noConversion"/>
  </si>
  <si>
    <t>Min(스킨뎁스,두께)</t>
    <phoneticPr fontId="8" type="noConversion"/>
  </si>
  <si>
    <t>[mm]</t>
    <phoneticPr fontId="9" type="noConversion"/>
  </si>
  <si>
    <t>DC Capacitor</t>
    <phoneticPr fontId="8" type="noConversion"/>
  </si>
  <si>
    <t>uF</t>
    <phoneticPr fontId="8" type="noConversion"/>
  </si>
  <si>
    <t>dc콘덴서</t>
    <phoneticPr fontId="8" type="noConversion"/>
  </si>
  <si>
    <t>파이프 외경</t>
    <phoneticPr fontId="8" type="noConversion"/>
  </si>
  <si>
    <t>Saturation Current</t>
    <phoneticPr fontId="8" type="noConversion"/>
  </si>
  <si>
    <t>dc인덕터</t>
    <phoneticPr fontId="8" type="noConversion"/>
  </si>
  <si>
    <t>uH</t>
    <phoneticPr fontId="8" type="noConversion"/>
  </si>
  <si>
    <t xml:space="preserve">단면적 </t>
    <phoneticPr fontId="8" type="noConversion"/>
  </si>
  <si>
    <t>[mmSQ]</t>
    <phoneticPr fontId="9" type="noConversion"/>
  </si>
  <si>
    <t>AP(Area Product)</t>
    <phoneticPr fontId="8" type="noConversion"/>
  </si>
  <si>
    <t>cm^4</t>
    <phoneticPr fontId="8" type="noConversion"/>
  </si>
  <si>
    <t>cut-off주파수</t>
    <phoneticPr fontId="8" type="noConversion"/>
  </si>
  <si>
    <t>Hz (결과)</t>
    <phoneticPr fontId="8" type="noConversion"/>
  </si>
  <si>
    <t>인가전류</t>
    <phoneticPr fontId="8" type="noConversion"/>
  </si>
  <si>
    <t>[A]</t>
    <phoneticPr fontId="8" type="noConversion"/>
  </si>
  <si>
    <t>Bmax</t>
    <phoneticPr fontId="8" type="noConversion"/>
  </si>
  <si>
    <t>Tesla</t>
    <phoneticPr fontId="8" type="noConversion"/>
  </si>
  <si>
    <t>MLT(Mean Length of Turn)</t>
    <phoneticPr fontId="8" type="noConversion"/>
  </si>
  <si>
    <t>cm</t>
    <phoneticPr fontId="8" type="noConversion"/>
  </si>
  <si>
    <t>실측 L값</t>
    <phoneticPr fontId="8" type="noConversion"/>
  </si>
  <si>
    <t>mmSQ당 전류</t>
    <phoneticPr fontId="8" type="noConversion"/>
  </si>
  <si>
    <t>[A]</t>
    <phoneticPr fontId="8" type="noConversion"/>
  </si>
  <si>
    <t>Temperature Rise</t>
    <phoneticPr fontId="8" type="noConversion"/>
  </si>
  <si>
    <t>Ac(Core Area)</t>
    <phoneticPr fontId="8" type="noConversion"/>
  </si>
  <si>
    <t>dc콘덴서</t>
    <phoneticPr fontId="8" type="noConversion"/>
  </si>
  <si>
    <t>발열량</t>
    <phoneticPr fontId="8" type="noConversion"/>
  </si>
  <si>
    <t>[W]</t>
    <phoneticPr fontId="8" type="noConversion"/>
  </si>
  <si>
    <t>Core</t>
    <phoneticPr fontId="8" type="noConversion"/>
  </si>
  <si>
    <t>Silicon</t>
    <phoneticPr fontId="8" type="noConversion"/>
  </si>
  <si>
    <t>Wa(Window Area)</t>
    <phoneticPr fontId="8" type="noConversion"/>
  </si>
  <si>
    <t>cm^2</t>
    <phoneticPr fontId="8" type="noConversion"/>
  </si>
  <si>
    <t>dc인덕터</t>
    <phoneticPr fontId="8" type="noConversion"/>
  </si>
  <si>
    <t>uH</t>
    <phoneticPr fontId="8" type="noConversion"/>
  </si>
  <si>
    <t>Core Configuration</t>
    <phoneticPr fontId="8" type="noConversion"/>
  </si>
  <si>
    <t>C core</t>
    <phoneticPr fontId="8" type="noConversion"/>
  </si>
  <si>
    <t>At(Area of Core surface)</t>
    <phoneticPr fontId="8" type="noConversion"/>
  </si>
  <si>
    <t>Hz (결과)</t>
    <phoneticPr fontId="8" type="noConversion"/>
  </si>
  <si>
    <t>dB</t>
    <phoneticPr fontId="8" type="noConversion"/>
  </si>
  <si>
    <t>Tesla</t>
    <phoneticPr fontId="8" type="noConversion"/>
  </si>
  <si>
    <t>MPL(Magnetic Path Length)</t>
    <phoneticPr fontId="8" type="noConversion"/>
  </si>
  <si>
    <t>코아</t>
    <phoneticPr fontId="8" type="noConversion"/>
  </si>
  <si>
    <t>G</t>
    <phoneticPr fontId="8" type="noConversion"/>
  </si>
  <si>
    <t>25파이 2.5t</t>
    <phoneticPr fontId="8" type="noConversion"/>
  </si>
  <si>
    <t>원/m</t>
    <phoneticPr fontId="8" type="noConversion"/>
  </si>
  <si>
    <t>25파이 3.0t</t>
    <phoneticPr fontId="8" type="noConversion"/>
  </si>
  <si>
    <t>병렬수</t>
    <phoneticPr fontId="8" type="noConversion"/>
  </si>
  <si>
    <t>조</t>
    <phoneticPr fontId="8" type="noConversion"/>
  </si>
  <si>
    <t>nging</t>
    <phoneticPr fontId="8" type="noConversion"/>
  </si>
  <si>
    <t>조</t>
    <phoneticPr fontId="8" type="noConversion"/>
  </si>
  <si>
    <t>22파이 2.5t</t>
    <phoneticPr fontId="8" type="noConversion"/>
  </si>
  <si>
    <t>총단면적</t>
    <phoneticPr fontId="8" type="noConversion"/>
  </si>
  <si>
    <t>AP(Area Product) total</t>
    <phoneticPr fontId="8" type="noConversion"/>
  </si>
  <si>
    <t>22파이 3.0t</t>
    <phoneticPr fontId="8" type="noConversion"/>
  </si>
  <si>
    <t>원/m</t>
    <phoneticPr fontId="8" type="noConversion"/>
  </si>
  <si>
    <t>Ac(Core Area) total</t>
    <phoneticPr fontId="8" type="noConversion"/>
  </si>
  <si>
    <t>권선 단가</t>
    <phoneticPr fontId="8" type="noConversion"/>
  </si>
  <si>
    <t>15.9파이</t>
    <phoneticPr fontId="8" type="noConversion"/>
  </si>
  <si>
    <t>원/m</t>
    <phoneticPr fontId="8" type="noConversion"/>
  </si>
  <si>
    <t>Minimum turn number</t>
    <phoneticPr fontId="8" type="noConversion"/>
  </si>
  <si>
    <t>Turns</t>
    <phoneticPr fontId="8" type="noConversion"/>
  </si>
  <si>
    <t>MLT(Mean Length Turn total)</t>
    <phoneticPr fontId="8" type="noConversion"/>
  </si>
  <si>
    <t>권선길이[m]</t>
    <phoneticPr fontId="8" type="noConversion"/>
  </si>
  <si>
    <t>12.8파이</t>
    <phoneticPr fontId="8" type="noConversion"/>
  </si>
  <si>
    <t>Gap</t>
    <phoneticPr fontId="8" type="noConversion"/>
  </si>
  <si>
    <t>9*4</t>
    <phoneticPr fontId="8" type="noConversion"/>
  </si>
  <si>
    <t>mm</t>
    <phoneticPr fontId="8" type="noConversion"/>
  </si>
  <si>
    <t>Wtfe(Core Weight)</t>
    <phoneticPr fontId="8" type="noConversion"/>
  </si>
  <si>
    <t>Kg</t>
    <phoneticPr fontId="8" type="noConversion"/>
  </si>
  <si>
    <t>만원</t>
    <phoneticPr fontId="8" type="noConversion"/>
  </si>
  <si>
    <t>Gap Paper</t>
    <phoneticPr fontId="8" type="noConversion"/>
  </si>
  <si>
    <t>Gap Paper/코아 길이(소)</t>
    <phoneticPr fontId="8" type="noConversion"/>
  </si>
  <si>
    <t>계산 L값</t>
    <phoneticPr fontId="8" type="noConversion"/>
  </si>
  <si>
    <t>Fringing Factor</t>
    <phoneticPr fontId="8" type="noConversion"/>
  </si>
  <si>
    <t>예상 L</t>
    <phoneticPr fontId="8" type="noConversion"/>
  </si>
  <si>
    <t>권선폭</t>
    <phoneticPr fontId="8" type="noConversion"/>
  </si>
  <si>
    <t>권선두께</t>
    <phoneticPr fontId="8" type="noConversion"/>
  </si>
  <si>
    <t>권선 단면적</t>
    <phoneticPr fontId="8" type="noConversion"/>
  </si>
  <si>
    <t>권선수</t>
    <phoneticPr fontId="8" type="noConversion"/>
  </si>
  <si>
    <t>절연층두께</t>
    <phoneticPr fontId="8" type="noConversion"/>
  </si>
  <si>
    <t>mm</t>
    <phoneticPr fontId="8" type="noConversion"/>
  </si>
  <si>
    <t>권선고</t>
    <phoneticPr fontId="8" type="noConversion"/>
  </si>
  <si>
    <t>권선면적</t>
    <phoneticPr fontId="8" type="noConversion"/>
  </si>
  <si>
    <t>cm^2</t>
    <phoneticPr fontId="8" type="noConversion"/>
  </si>
  <si>
    <t>창이용율</t>
    <phoneticPr fontId="8" type="noConversion"/>
  </si>
  <si>
    <t>전류량 : 1200A, 12kHz 예상</t>
    <phoneticPr fontId="8" type="noConversion"/>
  </si>
  <si>
    <t>,</t>
    <phoneticPr fontId="8" type="noConversion"/>
  </si>
  <si>
    <t xml:space="preserve"> </t>
    <phoneticPr fontId="8" type="noConversion"/>
  </si>
  <si>
    <t>3CGL 운전데이터</t>
    <phoneticPr fontId="8" type="noConversion"/>
  </si>
  <si>
    <t>2020.01.31</t>
    <phoneticPr fontId="8" type="noConversion"/>
  </si>
  <si>
    <t>2020.02.28</t>
    <phoneticPr fontId="8" type="noConversion"/>
  </si>
  <si>
    <t>6직렬 8병렬(콘덴서 48EA)</t>
    <phoneticPr fontId="8" type="noConversion"/>
  </si>
  <si>
    <t>2병렬 (콘덴서 기준으로는 6직렬 16병렬, 총 CAP 수량은 96EA)
: 3000V 16000A
: 합계 C값은 56uF</t>
    <phoneticPr fontId="8" type="noConversion"/>
  </si>
  <si>
    <t xml:space="preserve">최대 7500A </t>
    <phoneticPr fontId="8" type="noConversion"/>
  </si>
  <si>
    <t xml:space="preserve">최대 10500A </t>
    <phoneticPr fontId="9" type="noConversion"/>
  </si>
  <si>
    <t>최대 3100A(모듈당 1030A), 2모듈 75%운전시 모듈당 최대 1200A</t>
    <phoneticPr fontId="9" type="noConversion"/>
  </si>
  <si>
    <t>높이: 275~315mm까지 가변--&gt; 295mm를 기준 높이로 제작_4tap</t>
    <phoneticPr fontId="8" type="noConversion"/>
  </si>
  <si>
    <t xml:space="preserve">21uF, 500V, 1000A : 대동콘덴서 </t>
    <phoneticPr fontId="9" type="noConversion"/>
  </si>
  <si>
    <t>동부제철_2CGL SGL 후처리인덕션 히터_1250kW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</si>
</sst>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1" formatCode="_-* #,##0_-;\-* #,##0_-;_-* &quot;-&quot;_-;_-@_-"/>
    <numFmt numFmtId="176" formatCode="0.00_ "/>
    <numFmt numFmtId="177" formatCode="0.000_ "/>
    <numFmt numFmtId="178" formatCode="0.0_ "/>
    <numFmt numFmtId="179" formatCode="0_ "/>
    <numFmt numFmtId="180" formatCode="0_);[Red]\(0\)"/>
    <numFmt numFmtId="181" formatCode="#,##0_);[Red]\(#,##0\)"/>
    <numFmt numFmtId="182" formatCode="_-* #,##0.0_-;\-* #,##0.0_-;_-* &quot;-&quot;_-;_-@_-"/>
    <numFmt numFmtId="183" formatCode="0.0"/>
    <numFmt numFmtId="184" formatCode="0.000"/>
    <numFmt numFmtId="185" formatCode="0.0000"/>
    <numFmt numFmtId="186" formatCode="0.0000_ "/>
    <numFmt numFmtId="187" formatCode="0.000_);[Red]\(0.000\)"/>
    <numFmt numFmtId="188" formatCode="0.0_);[Red]\(0.0\)"/>
  </numFmts>
  <fonts count="34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</font>
    <font>
      <b/>
      <u/>
      <sz val="11"/>
      <name val="바탕"/>
      <family val="1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2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1"/>
      <color rgb="FFFF0000"/>
      <name val="돋움"/>
      <family val="3"/>
      <charset val="129"/>
    </font>
    <font>
      <b/>
      <sz val="8"/>
      <name val="돋움"/>
      <family val="3"/>
      <charset val="129"/>
    </font>
    <font>
      <b/>
      <sz val="8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BEB"/>
        <bgColor indexed="64"/>
      </patternFill>
    </fill>
  </fills>
  <borders count="4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41" fontId="7" fillId="0" borderId="0" applyFont="0" applyFill="0" applyBorder="0" applyAlignment="0" applyProtection="0"/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41" fontId="7" fillId="0" borderId="0" applyFont="0" applyFill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</cellStyleXfs>
  <cellXfs count="317">
    <xf numFmtId="0" fontId="0" fillId="0" borderId="0" xfId="0"/>
    <xf numFmtId="0" fontId="15" fillId="0" borderId="8" xfId="0" applyFont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5" fillId="0" borderId="8" xfId="0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2" borderId="10" xfId="0" applyFont="1" applyFill="1" applyBorder="1" applyAlignment="1">
      <alignment vertical="center"/>
    </xf>
    <xf numFmtId="0" fontId="15" fillId="2" borderId="9" xfId="0" applyFont="1" applyFill="1" applyBorder="1" applyAlignment="1">
      <alignment vertical="center"/>
    </xf>
    <xf numFmtId="0" fontId="15" fillId="2" borderId="9" xfId="0" applyFont="1" applyFill="1" applyBorder="1" applyAlignment="1">
      <alignment vertical="center" wrapText="1"/>
    </xf>
    <xf numFmtId="0" fontId="16" fillId="0" borderId="9" xfId="0" applyFont="1" applyBorder="1" applyAlignment="1">
      <alignment vertical="center" wrapText="1"/>
    </xf>
    <xf numFmtId="0" fontId="15" fillId="0" borderId="11" xfId="0" applyFont="1" applyBorder="1" applyAlignment="1">
      <alignment vertical="center"/>
    </xf>
    <xf numFmtId="0" fontId="15" fillId="0" borderId="12" xfId="0" applyFont="1" applyBorder="1" applyAlignment="1">
      <alignment vertical="center"/>
    </xf>
    <xf numFmtId="0" fontId="17" fillId="0" borderId="0" xfId="2" applyFont="1" applyAlignment="1">
      <alignment vertical="center"/>
    </xf>
    <xf numFmtId="0" fontId="7" fillId="0" borderId="0" xfId="2">
      <alignment vertical="center"/>
    </xf>
    <xf numFmtId="0" fontId="17" fillId="0" borderId="2" xfId="0" applyFont="1" applyBorder="1" applyAlignment="1">
      <alignment vertical="center"/>
    </xf>
    <xf numFmtId="0" fontId="17" fillId="8" borderId="2" xfId="0" applyFont="1" applyFill="1" applyBorder="1" applyAlignment="1">
      <alignment vertical="center"/>
    </xf>
    <xf numFmtId="0" fontId="17" fillId="2" borderId="2" xfId="0" applyFont="1" applyFill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4" fillId="0" borderId="2" xfId="0" applyNumberFormat="1" applyFont="1" applyBorder="1" applyAlignment="1">
      <alignment vertical="center"/>
    </xf>
    <xf numFmtId="0" fontId="13" fillId="0" borderId="2" xfId="0" applyNumberFormat="1" applyFont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4" fillId="2" borderId="2" xfId="0" applyNumberFormat="1" applyFont="1" applyFill="1" applyBorder="1" applyAlignment="1">
      <alignment vertical="center"/>
    </xf>
    <xf numFmtId="0" fontId="18" fillId="4" borderId="2" xfId="0" applyFont="1" applyFill="1" applyBorder="1" applyAlignment="1">
      <alignment vertical="center"/>
    </xf>
    <xf numFmtId="1" fontId="14" fillId="0" borderId="2" xfId="0" applyNumberFormat="1" applyFont="1" applyBorder="1" applyAlignment="1">
      <alignment vertical="center"/>
    </xf>
    <xf numFmtId="0" fontId="13" fillId="8" borderId="2" xfId="0" applyNumberFormat="1" applyFont="1" applyFill="1" applyBorder="1" applyAlignment="1">
      <alignment vertical="center"/>
    </xf>
    <xf numFmtId="178" fontId="14" fillId="4" borderId="2" xfId="0" applyNumberFormat="1" applyFont="1" applyFill="1" applyBorder="1" applyAlignment="1">
      <alignment vertical="center"/>
    </xf>
    <xf numFmtId="178" fontId="13" fillId="8" borderId="2" xfId="0" applyNumberFormat="1" applyFont="1" applyFill="1" applyBorder="1" applyAlignment="1">
      <alignment vertical="center"/>
    </xf>
    <xf numFmtId="178" fontId="13" fillId="4" borderId="2" xfId="0" applyNumberFormat="1" applyFont="1" applyFill="1" applyBorder="1" applyAlignment="1">
      <alignment vertical="center"/>
    </xf>
    <xf numFmtId="0" fontId="17" fillId="0" borderId="2" xfId="2" applyFont="1" applyBorder="1" applyAlignment="1">
      <alignment vertical="center"/>
    </xf>
    <xf numFmtId="0" fontId="17" fillId="8" borderId="2" xfId="2" applyFont="1" applyFill="1" applyBorder="1" applyAlignment="1">
      <alignment vertical="center"/>
    </xf>
    <xf numFmtId="177" fontId="13" fillId="0" borderId="2" xfId="0" applyNumberFormat="1" applyFont="1" applyBorder="1" applyAlignment="1">
      <alignment vertical="center"/>
    </xf>
    <xf numFmtId="178" fontId="18" fillId="9" borderId="2" xfId="0" applyNumberFormat="1" applyFont="1" applyFill="1" applyBorder="1" applyAlignment="1">
      <alignment vertical="center"/>
    </xf>
    <xf numFmtId="0" fontId="17" fillId="10" borderId="2" xfId="2" applyFont="1" applyFill="1" applyBorder="1" applyAlignment="1">
      <alignment vertical="center"/>
    </xf>
    <xf numFmtId="0" fontId="17" fillId="0" borderId="2" xfId="2" applyFont="1" applyBorder="1">
      <alignment vertical="center"/>
    </xf>
    <xf numFmtId="0" fontId="17" fillId="8" borderId="2" xfId="2" applyFont="1" applyFill="1" applyBorder="1">
      <alignment vertical="center"/>
    </xf>
    <xf numFmtId="0" fontId="18" fillId="4" borderId="2" xfId="2" applyFont="1" applyFill="1" applyBorder="1">
      <alignment vertical="center"/>
    </xf>
    <xf numFmtId="0" fontId="17" fillId="4" borderId="2" xfId="2" applyFont="1" applyFill="1" applyBorder="1" applyAlignment="1">
      <alignment vertical="center"/>
    </xf>
    <xf numFmtId="0" fontId="17" fillId="10" borderId="2" xfId="0" applyFont="1" applyFill="1" applyBorder="1" applyAlignment="1">
      <alignment vertical="center"/>
    </xf>
    <xf numFmtId="178" fontId="17" fillId="4" borderId="2" xfId="0" applyNumberFormat="1" applyFont="1" applyFill="1" applyBorder="1" applyAlignment="1">
      <alignment vertical="center"/>
    </xf>
    <xf numFmtId="178" fontId="18" fillId="4" borderId="2" xfId="0" applyNumberFormat="1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3" fillId="0" borderId="2" xfId="0" applyFont="1" applyBorder="1" applyAlignment="1">
      <alignment horizontal="left" vertical="center"/>
    </xf>
    <xf numFmtId="0" fontId="17" fillId="4" borderId="2" xfId="2" applyFont="1" applyFill="1" applyBorder="1">
      <alignment vertical="center"/>
    </xf>
    <xf numFmtId="1" fontId="18" fillId="4" borderId="2" xfId="0" applyNumberFormat="1" applyFont="1" applyFill="1" applyBorder="1" applyAlignment="1">
      <alignment vertical="center"/>
    </xf>
    <xf numFmtId="0" fontId="0" fillId="0" borderId="0" xfId="2" applyFont="1">
      <alignment vertical="center"/>
    </xf>
    <xf numFmtId="0" fontId="18" fillId="9" borderId="2" xfId="2" applyFont="1" applyFill="1" applyBorder="1">
      <alignment vertical="center"/>
    </xf>
    <xf numFmtId="0" fontId="19" fillId="0" borderId="4" xfId="0" applyFont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1" fontId="0" fillId="0" borderId="0" xfId="1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181" fontId="13" fillId="7" borderId="2" xfId="0" applyNumberFormat="1" applyFont="1" applyFill="1" applyBorder="1" applyAlignment="1">
      <alignment vertical="center"/>
    </xf>
    <xf numFmtId="41" fontId="7" fillId="7" borderId="2" xfId="1" applyFont="1" applyFill="1" applyBorder="1" applyAlignment="1">
      <alignment vertical="center"/>
    </xf>
    <xf numFmtId="181" fontId="14" fillId="0" borderId="2" xfId="0" applyNumberFormat="1" applyFont="1" applyBorder="1" applyAlignment="1">
      <alignment vertical="center"/>
    </xf>
    <xf numFmtId="181" fontId="13" fillId="0" borderId="2" xfId="0" applyNumberFormat="1" applyFont="1" applyBorder="1" applyAlignment="1">
      <alignment vertical="center"/>
    </xf>
    <xf numFmtId="41" fontId="0" fillId="0" borderId="2" xfId="1" applyFont="1" applyBorder="1" applyAlignment="1">
      <alignment vertical="center"/>
    </xf>
    <xf numFmtId="181" fontId="0" fillId="0" borderId="2" xfId="0" applyNumberFormat="1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181" fontId="0" fillId="7" borderId="2" xfId="0" applyNumberFormat="1" applyFill="1" applyBorder="1" applyAlignment="1">
      <alignment vertical="center"/>
    </xf>
    <xf numFmtId="41" fontId="17" fillId="7" borderId="2" xfId="1" applyFont="1" applyFill="1" applyBorder="1" applyAlignment="1">
      <alignment vertical="center"/>
    </xf>
    <xf numFmtId="0" fontId="13" fillId="7" borderId="2" xfId="0" applyFont="1" applyFill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0" fillId="7" borderId="2" xfId="0" applyFill="1" applyBorder="1" applyAlignment="1">
      <alignment vertical="center"/>
    </xf>
    <xf numFmtId="0" fontId="14" fillId="0" borderId="2" xfId="0" applyFont="1" applyFill="1" applyBorder="1" applyAlignment="1">
      <alignment vertical="center"/>
    </xf>
    <xf numFmtId="178" fontId="22" fillId="7" borderId="2" xfId="0" applyNumberFormat="1" applyFont="1" applyFill="1" applyBorder="1" applyAlignment="1">
      <alignment horizontal="center" vertical="center"/>
    </xf>
    <xf numFmtId="180" fontId="7" fillId="7" borderId="2" xfId="1" applyNumberFormat="1" applyFont="1" applyFill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/>
    <xf numFmtId="0" fontId="11" fillId="0" borderId="2" xfId="0" applyFont="1" applyBorder="1" applyAlignment="1">
      <alignment horizontal="justify" vertical="center"/>
    </xf>
    <xf numFmtId="0" fontId="0" fillId="11" borderId="0" xfId="0" applyFill="1"/>
    <xf numFmtId="0" fontId="23" fillId="0" borderId="0" xfId="0" applyFont="1"/>
    <xf numFmtId="0" fontId="0" fillId="5" borderId="0" xfId="0" applyFill="1"/>
    <xf numFmtId="0" fontId="15" fillId="2" borderId="8" xfId="0" applyFont="1" applyFill="1" applyBorder="1" applyAlignment="1">
      <alignment vertical="center"/>
    </xf>
    <xf numFmtId="22" fontId="15" fillId="2" borderId="9" xfId="0" applyNumberFormat="1" applyFont="1" applyFill="1" applyBorder="1" applyAlignment="1">
      <alignment vertical="center"/>
    </xf>
    <xf numFmtId="0" fontId="15" fillId="2" borderId="11" xfId="0" applyFont="1" applyFill="1" applyBorder="1" applyAlignment="1">
      <alignment vertical="center"/>
    </xf>
    <xf numFmtId="0" fontId="15" fillId="2" borderId="12" xfId="0" applyFont="1" applyFill="1" applyBorder="1" applyAlignment="1">
      <alignment vertical="center"/>
    </xf>
    <xf numFmtId="0" fontId="0" fillId="11" borderId="0" xfId="0" applyFill="1" applyAlignment="1">
      <alignment vertical="center"/>
    </xf>
    <xf numFmtId="0" fontId="0" fillId="13" borderId="0" xfId="0" applyFill="1"/>
    <xf numFmtId="0" fontId="0" fillId="13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20" fillId="7" borderId="1" xfId="0" applyFont="1" applyFill="1" applyBorder="1" applyAlignment="1">
      <alignment horizontal="center" vertical="center"/>
    </xf>
    <xf numFmtId="0" fontId="28" fillId="0" borderId="2" xfId="0" applyFont="1" applyBorder="1" applyAlignment="1">
      <alignment vertical="center"/>
    </xf>
    <xf numFmtId="0" fontId="29" fillId="0" borderId="9" xfId="0" applyFont="1" applyBorder="1" applyAlignment="1">
      <alignment vertical="center"/>
    </xf>
    <xf numFmtId="0" fontId="29" fillId="2" borderId="9" xfId="0" applyFont="1" applyFill="1" applyBorder="1" applyAlignment="1">
      <alignment vertical="center" wrapText="1"/>
    </xf>
    <xf numFmtId="182" fontId="30" fillId="7" borderId="2" xfId="1" applyNumberFormat="1" applyFont="1" applyFill="1" applyBorder="1" applyAlignment="1">
      <alignment vertical="center"/>
    </xf>
    <xf numFmtId="0" fontId="17" fillId="0" borderId="4" xfId="2" applyFont="1" applyBorder="1">
      <alignment vertical="center"/>
    </xf>
    <xf numFmtId="183" fontId="17" fillId="8" borderId="2" xfId="2" applyNumberFormat="1" applyFont="1" applyFill="1" applyBorder="1">
      <alignment vertical="center"/>
    </xf>
    <xf numFmtId="2" fontId="17" fillId="2" borderId="2" xfId="2" applyNumberFormat="1" applyFont="1" applyFill="1" applyBorder="1">
      <alignment vertical="center"/>
    </xf>
    <xf numFmtId="183" fontId="17" fillId="6" borderId="2" xfId="2" applyNumberFormat="1" applyFont="1" applyFill="1" applyBorder="1">
      <alignment vertical="center"/>
    </xf>
    <xf numFmtId="183" fontId="17" fillId="2" borderId="2" xfId="2" applyNumberFormat="1" applyFont="1" applyFill="1" applyBorder="1">
      <alignment vertical="center"/>
    </xf>
    <xf numFmtId="183" fontId="17" fillId="0" borderId="2" xfId="2" applyNumberFormat="1" applyFont="1" applyBorder="1">
      <alignment vertical="center"/>
    </xf>
    <xf numFmtId="0" fontId="17" fillId="13" borderId="4" xfId="2" applyFont="1" applyFill="1" applyBorder="1">
      <alignment vertical="center"/>
    </xf>
    <xf numFmtId="2" fontId="17" fillId="8" borderId="2" xfId="2" applyNumberFormat="1" applyFont="1" applyFill="1" applyBorder="1">
      <alignment vertical="center"/>
    </xf>
    <xf numFmtId="2" fontId="17" fillId="4" borderId="2" xfId="2" applyNumberFormat="1" applyFont="1" applyFill="1" applyBorder="1">
      <alignment vertical="center"/>
    </xf>
    <xf numFmtId="183" fontId="17" fillId="4" borderId="2" xfId="2" applyNumberFormat="1" applyFont="1" applyFill="1" applyBorder="1">
      <alignment vertical="center"/>
    </xf>
    <xf numFmtId="2" fontId="17" fillId="13" borderId="2" xfId="2" applyNumberFormat="1" applyFont="1" applyFill="1" applyBorder="1">
      <alignment vertical="center"/>
    </xf>
    <xf numFmtId="2" fontId="17" fillId="8" borderId="15" xfId="2" applyNumberFormat="1" applyFont="1" applyFill="1" applyBorder="1">
      <alignment vertical="center"/>
    </xf>
    <xf numFmtId="183" fontId="17" fillId="13" borderId="2" xfId="2" applyNumberFormat="1" applyFont="1" applyFill="1" applyBorder="1">
      <alignment vertical="center"/>
    </xf>
    <xf numFmtId="0" fontId="17" fillId="2" borderId="4" xfId="2" applyFont="1" applyFill="1" applyBorder="1">
      <alignment vertical="center"/>
    </xf>
    <xf numFmtId="184" fontId="17" fillId="2" borderId="2" xfId="2" applyNumberFormat="1" applyFont="1" applyFill="1" applyBorder="1">
      <alignment vertical="center"/>
    </xf>
    <xf numFmtId="185" fontId="17" fillId="2" borderId="2" xfId="2" applyNumberFormat="1" applyFont="1" applyFill="1" applyBorder="1">
      <alignment vertical="center"/>
    </xf>
    <xf numFmtId="0" fontId="17" fillId="13" borderId="2" xfId="2" applyFont="1" applyFill="1" applyBorder="1">
      <alignment vertical="center"/>
    </xf>
    <xf numFmtId="0" fontId="17" fillId="0" borderId="2" xfId="0" applyFont="1" applyBorder="1"/>
    <xf numFmtId="0" fontId="17" fillId="8" borderId="2" xfId="0" applyFont="1" applyFill="1" applyBorder="1" applyAlignment="1">
      <alignment horizontal="right"/>
    </xf>
    <xf numFmtId="178" fontId="17" fillId="2" borderId="2" xfId="0" applyNumberFormat="1" applyFont="1" applyFill="1" applyBorder="1"/>
    <xf numFmtId="178" fontId="17" fillId="8" borderId="2" xfId="0" applyNumberFormat="1" applyFont="1" applyFill="1" applyBorder="1" applyAlignment="1">
      <alignment horizontal="right"/>
    </xf>
    <xf numFmtId="178" fontId="17" fillId="2" borderId="2" xfId="0" applyNumberFormat="1" applyFont="1" applyFill="1" applyBorder="1" applyAlignment="1">
      <alignment horizontal="right"/>
    </xf>
    <xf numFmtId="178" fontId="26" fillId="4" borderId="2" xfId="0" applyNumberFormat="1" applyFont="1" applyFill="1" applyBorder="1" applyAlignment="1">
      <alignment horizontal="right"/>
    </xf>
    <xf numFmtId="178" fontId="17" fillId="6" borderId="2" xfId="0" applyNumberFormat="1" applyFont="1" applyFill="1" applyBorder="1" applyAlignment="1">
      <alignment horizontal="right"/>
    </xf>
    <xf numFmtId="178" fontId="14" fillId="4" borderId="2" xfId="0" applyNumberFormat="1" applyFont="1" applyFill="1" applyBorder="1" applyAlignment="1">
      <alignment horizontal="right"/>
    </xf>
    <xf numFmtId="176" fontId="17" fillId="8" borderId="2" xfId="0" applyNumberFormat="1" applyFont="1" applyFill="1" applyBorder="1" applyAlignment="1">
      <alignment horizontal="right"/>
    </xf>
    <xf numFmtId="179" fontId="17" fillId="8" borderId="2" xfId="0" applyNumberFormat="1" applyFont="1" applyFill="1" applyBorder="1" applyAlignment="1">
      <alignment horizontal="right"/>
    </xf>
    <xf numFmtId="178" fontId="18" fillId="4" borderId="2" xfId="0" applyNumberFormat="1" applyFont="1" applyFill="1" applyBorder="1" applyAlignment="1">
      <alignment horizontal="right"/>
    </xf>
    <xf numFmtId="178" fontId="26" fillId="8" borderId="2" xfId="0" applyNumberFormat="1" applyFont="1" applyFill="1" applyBorder="1" applyAlignment="1">
      <alignment horizontal="right"/>
    </xf>
    <xf numFmtId="186" fontId="17" fillId="8" borderId="2" xfId="0" applyNumberFormat="1" applyFont="1" applyFill="1" applyBorder="1"/>
    <xf numFmtId="178" fontId="18" fillId="4" borderId="2" xfId="0" applyNumberFormat="1" applyFont="1" applyFill="1" applyBorder="1"/>
    <xf numFmtId="178" fontId="14" fillId="2" borderId="2" xfId="0" applyNumberFormat="1" applyFont="1" applyFill="1" applyBorder="1"/>
    <xf numFmtId="0" fontId="17" fillId="2" borderId="2" xfId="0" applyFont="1" applyFill="1" applyBorder="1"/>
    <xf numFmtId="178" fontId="17" fillId="6" borderId="2" xfId="0" applyNumberFormat="1" applyFont="1" applyFill="1" applyBorder="1"/>
    <xf numFmtId="0" fontId="4" fillId="0" borderId="0" xfId="4" applyFont="1">
      <alignment vertical="center"/>
    </xf>
    <xf numFmtId="0" fontId="17" fillId="0" borderId="2" xfId="0" applyFont="1" applyFill="1" applyBorder="1"/>
    <xf numFmtId="0" fontId="18" fillId="0" borderId="2" xfId="0" applyFont="1" applyBorder="1"/>
    <xf numFmtId="0" fontId="26" fillId="0" borderId="2" xfId="0" applyFont="1" applyBorder="1"/>
    <xf numFmtId="0" fontId="18" fillId="0" borderId="2" xfId="2" applyFont="1" applyBorder="1">
      <alignment vertical="center"/>
    </xf>
    <xf numFmtId="0" fontId="26" fillId="0" borderId="2" xfId="2" applyFont="1" applyBorder="1">
      <alignment vertical="center"/>
    </xf>
    <xf numFmtId="0" fontId="26" fillId="0" borderId="2" xfId="2" applyFont="1" applyBorder="1" applyAlignment="1">
      <alignment vertical="center" wrapText="1"/>
    </xf>
    <xf numFmtId="177" fontId="14" fillId="4" borderId="2" xfId="0" applyNumberFormat="1" applyFont="1" applyFill="1" applyBorder="1" applyAlignment="1">
      <alignment vertical="center"/>
    </xf>
    <xf numFmtId="0" fontId="17" fillId="8" borderId="2" xfId="0" applyNumberFormat="1" applyFont="1" applyFill="1" applyBorder="1" applyAlignment="1">
      <alignment vertical="center"/>
    </xf>
    <xf numFmtId="187" fontId="18" fillId="4" borderId="2" xfId="0" applyNumberFormat="1" applyFont="1" applyFill="1" applyBorder="1" applyAlignment="1">
      <alignment vertical="center"/>
    </xf>
    <xf numFmtId="0" fontId="18" fillId="4" borderId="2" xfId="2" applyFont="1" applyFill="1" applyBorder="1" applyAlignment="1">
      <alignment vertical="center"/>
    </xf>
    <xf numFmtId="0" fontId="18" fillId="4" borderId="2" xfId="2" quotePrefix="1" applyFont="1" applyFill="1" applyBorder="1" applyAlignment="1">
      <alignment vertical="center"/>
    </xf>
    <xf numFmtId="0" fontId="17" fillId="8" borderId="2" xfId="0" applyFont="1" applyFill="1" applyBorder="1"/>
    <xf numFmtId="0" fontId="18" fillId="4" borderId="2" xfId="0" applyFont="1" applyFill="1" applyBorder="1"/>
    <xf numFmtId="0" fontId="28" fillId="0" borderId="2" xfId="0" applyFont="1" applyBorder="1" applyAlignment="1">
      <alignment horizontal="left"/>
    </xf>
    <xf numFmtId="0" fontId="28" fillId="10" borderId="2" xfId="0" applyFont="1" applyFill="1" applyBorder="1" applyAlignment="1">
      <alignment horizontal="left"/>
    </xf>
    <xf numFmtId="0" fontId="17" fillId="0" borderId="2" xfId="0" applyFont="1" applyBorder="1" applyAlignment="1">
      <alignment horizontal="left"/>
    </xf>
    <xf numFmtId="0" fontId="17" fillId="3" borderId="2" xfId="0" applyFont="1" applyFill="1" applyBorder="1" applyAlignment="1">
      <alignment horizontal="left"/>
    </xf>
    <xf numFmtId="0" fontId="17" fillId="10" borderId="2" xfId="2" applyFont="1" applyFill="1" applyBorder="1">
      <alignment vertical="center"/>
    </xf>
    <xf numFmtId="0" fontId="17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center" vertical="center"/>
    </xf>
    <xf numFmtId="0" fontId="17" fillId="4" borderId="19" xfId="0" applyFont="1" applyFill="1" applyBorder="1" applyAlignment="1">
      <alignment horizontal="center" vertical="center"/>
    </xf>
    <xf numFmtId="0" fontId="17" fillId="13" borderId="22" xfId="0" applyFont="1" applyFill="1" applyBorder="1" applyAlignment="1">
      <alignment horizontal="center" vertical="center"/>
    </xf>
    <xf numFmtId="0" fontId="17" fillId="2" borderId="23" xfId="0" applyFont="1" applyFill="1" applyBorder="1" applyAlignment="1">
      <alignment horizontal="left" vertical="center"/>
    </xf>
    <xf numFmtId="0" fontId="17" fillId="2" borderId="23" xfId="0" applyFont="1" applyFill="1" applyBorder="1" applyAlignment="1">
      <alignment horizontal="left"/>
    </xf>
    <xf numFmtId="180" fontId="17" fillId="2" borderId="23" xfId="0" applyNumberFormat="1" applyFont="1" applyFill="1" applyBorder="1" applyAlignment="1">
      <alignment horizontal="left" vertical="center"/>
    </xf>
    <xf numFmtId="188" fontId="17" fillId="2" borderId="23" xfId="0" applyNumberFormat="1" applyFont="1" applyFill="1" applyBorder="1" applyAlignment="1">
      <alignment horizontal="left" vertical="center"/>
    </xf>
    <xf numFmtId="179" fontId="17" fillId="2" borderId="23" xfId="0" applyNumberFormat="1" applyFont="1" applyFill="1" applyBorder="1" applyAlignment="1">
      <alignment horizontal="left" vertical="center"/>
    </xf>
    <xf numFmtId="0" fontId="17" fillId="2" borderId="24" xfId="0" applyFont="1" applyFill="1" applyBorder="1" applyAlignment="1">
      <alignment horizontal="left" vertical="center"/>
    </xf>
    <xf numFmtId="0" fontId="17" fillId="2" borderId="25" xfId="0" applyFont="1" applyFill="1" applyBorder="1" applyAlignment="1">
      <alignment horizontal="center" vertical="center"/>
    </xf>
    <xf numFmtId="0" fontId="17" fillId="2" borderId="2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left" vertical="center"/>
    </xf>
    <xf numFmtId="0" fontId="17" fillId="13" borderId="27" xfId="0" applyFont="1" applyFill="1" applyBorder="1" applyAlignment="1">
      <alignment horizontal="center" vertical="center"/>
    </xf>
    <xf numFmtId="180" fontId="17" fillId="2" borderId="28" xfId="0" applyNumberFormat="1" applyFont="1" applyFill="1" applyBorder="1" applyAlignment="1">
      <alignment horizontal="left" vertical="center"/>
    </xf>
    <xf numFmtId="0" fontId="17" fillId="2" borderId="28" xfId="0" applyFont="1" applyFill="1" applyBorder="1" applyAlignment="1">
      <alignment horizontal="left" vertical="center"/>
    </xf>
    <xf numFmtId="0" fontId="17" fillId="2" borderId="28" xfId="0" applyFont="1" applyFill="1" applyBorder="1" applyAlignment="1">
      <alignment horizontal="left"/>
    </xf>
    <xf numFmtId="188" fontId="17" fillId="2" borderId="28" xfId="0" applyNumberFormat="1" applyFont="1" applyFill="1" applyBorder="1" applyAlignment="1">
      <alignment horizontal="left" vertical="center"/>
    </xf>
    <xf numFmtId="179" fontId="17" fillId="2" borderId="28" xfId="0" applyNumberFormat="1" applyFont="1" applyFill="1" applyBorder="1" applyAlignment="1">
      <alignment horizontal="left" vertical="center"/>
    </xf>
    <xf numFmtId="0" fontId="17" fillId="2" borderId="28" xfId="0" applyFont="1" applyFill="1" applyBorder="1" applyAlignment="1">
      <alignment horizontal="center" vertical="center"/>
    </xf>
    <xf numFmtId="0" fontId="17" fillId="2" borderId="29" xfId="0" applyFont="1" applyFill="1" applyBorder="1" applyAlignment="1">
      <alignment horizontal="left" vertical="center"/>
    </xf>
    <xf numFmtId="0" fontId="17" fillId="0" borderId="30" xfId="0" applyFont="1" applyBorder="1" applyAlignment="1">
      <alignment horizontal="left" vertical="center"/>
    </xf>
    <xf numFmtId="0" fontId="17" fillId="13" borderId="31" xfId="0" applyFont="1" applyFill="1" applyBorder="1" applyAlignment="1">
      <alignment horizontal="center" vertical="center"/>
    </xf>
    <xf numFmtId="0" fontId="17" fillId="2" borderId="32" xfId="0" applyFont="1" applyFill="1" applyBorder="1" applyAlignment="1">
      <alignment horizontal="left" vertical="center"/>
    </xf>
    <xf numFmtId="0" fontId="17" fillId="2" borderId="32" xfId="0" applyFont="1" applyFill="1" applyBorder="1" applyAlignment="1">
      <alignment horizontal="left"/>
    </xf>
    <xf numFmtId="180" fontId="17" fillId="2" borderId="32" xfId="0" applyNumberFormat="1" applyFont="1" applyFill="1" applyBorder="1" applyAlignment="1">
      <alignment horizontal="left" vertical="center"/>
    </xf>
    <xf numFmtId="188" fontId="17" fillId="2" borderId="32" xfId="0" applyNumberFormat="1" applyFont="1" applyFill="1" applyBorder="1" applyAlignment="1">
      <alignment horizontal="left" vertical="center"/>
    </xf>
    <xf numFmtId="179" fontId="17" fillId="2" borderId="32" xfId="0" applyNumberFormat="1" applyFont="1" applyFill="1" applyBorder="1" applyAlignment="1">
      <alignment horizontal="left" vertical="center"/>
    </xf>
    <xf numFmtId="0" fontId="17" fillId="2" borderId="32" xfId="0" applyFont="1" applyFill="1" applyBorder="1" applyAlignment="1">
      <alignment horizontal="center" vertical="center"/>
    </xf>
    <xf numFmtId="0" fontId="17" fillId="2" borderId="33" xfId="0" applyFont="1" applyFill="1" applyBorder="1" applyAlignment="1">
      <alignment horizontal="left" vertical="center"/>
    </xf>
    <xf numFmtId="0" fontId="17" fillId="0" borderId="34" xfId="0" applyFont="1" applyBorder="1" applyAlignment="1">
      <alignment horizontal="left" vertical="center"/>
    </xf>
    <xf numFmtId="2" fontId="17" fillId="0" borderId="2" xfId="2" applyNumberFormat="1" applyFont="1" applyBorder="1">
      <alignment vertical="center"/>
    </xf>
    <xf numFmtId="2" fontId="17" fillId="8" borderId="4" xfId="2" applyNumberFormat="1" applyFont="1" applyFill="1" applyBorder="1">
      <alignment vertical="center"/>
    </xf>
    <xf numFmtId="49" fontId="31" fillId="16" borderId="2" xfId="2" applyNumberFormat="1" applyFont="1" applyFill="1" applyBorder="1" applyAlignment="1">
      <alignment horizontal="center" vertical="center"/>
    </xf>
    <xf numFmtId="49" fontId="31" fillId="16" borderId="2" xfId="2" applyNumberFormat="1" applyFont="1" applyFill="1" applyBorder="1" applyAlignment="1">
      <alignment horizontal="center" vertical="center" wrapText="1"/>
    </xf>
    <xf numFmtId="183" fontId="31" fillId="16" borderId="5" xfId="2" applyNumberFormat="1" applyFont="1" applyFill="1" applyBorder="1" applyAlignment="1">
      <alignment horizontal="center" vertical="center" wrapText="1"/>
    </xf>
    <xf numFmtId="1" fontId="31" fillId="16" borderId="5" xfId="2" applyNumberFormat="1" applyFont="1" applyFill="1" applyBorder="1" applyAlignment="1">
      <alignment horizontal="center" vertical="center" wrapText="1"/>
    </xf>
    <xf numFmtId="49" fontId="31" fillId="16" borderId="6" xfId="2" applyNumberFormat="1" applyFont="1" applyFill="1" applyBorder="1" applyAlignment="1">
      <alignment horizontal="center" vertical="center" wrapText="1"/>
    </xf>
    <xf numFmtId="0" fontId="31" fillId="16" borderId="5" xfId="2" applyNumberFormat="1" applyFont="1" applyFill="1" applyBorder="1" applyAlignment="1">
      <alignment horizontal="center" vertical="center" wrapText="1"/>
    </xf>
    <xf numFmtId="49" fontId="31" fillId="16" borderId="5" xfId="2" applyNumberFormat="1" applyFont="1" applyFill="1" applyBorder="1" applyAlignment="1">
      <alignment horizontal="center" vertical="center"/>
    </xf>
    <xf numFmtId="183" fontId="31" fillId="16" borderId="5" xfId="2" applyNumberFormat="1" applyFont="1" applyFill="1" applyBorder="1" applyAlignment="1">
      <alignment horizontal="center" vertical="center"/>
    </xf>
    <xf numFmtId="183" fontId="31" fillId="16" borderId="2" xfId="2" applyNumberFormat="1" applyFont="1" applyFill="1" applyBorder="1" applyAlignment="1">
      <alignment horizontal="center" vertical="center"/>
    </xf>
    <xf numFmtId="49" fontId="31" fillId="16" borderId="5" xfId="2" applyNumberFormat="1" applyFont="1" applyFill="1" applyBorder="1" applyAlignment="1">
      <alignment horizontal="center" vertical="center" wrapText="1"/>
    </xf>
    <xf numFmtId="0" fontId="28" fillId="15" borderId="2" xfId="2" applyNumberFormat="1" applyFont="1" applyFill="1" applyBorder="1" applyAlignment="1">
      <alignment horizontal="right" vertical="center"/>
    </xf>
    <xf numFmtId="0" fontId="26" fillId="0" borderId="2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" fillId="0" borderId="0" xfId="9">
      <alignment vertical="center"/>
    </xf>
    <xf numFmtId="183" fontId="31" fillId="16" borderId="13" xfId="2" applyNumberFormat="1" applyFont="1" applyFill="1" applyBorder="1" applyAlignment="1">
      <alignment horizontal="center" vertical="center"/>
    </xf>
    <xf numFmtId="0" fontId="31" fillId="16" borderId="13" xfId="2" applyNumberFormat="1" applyFont="1" applyFill="1" applyBorder="1" applyAlignment="1">
      <alignment horizontal="center" vertical="center"/>
    </xf>
    <xf numFmtId="1" fontId="15" fillId="18" borderId="2" xfId="9" applyNumberFormat="1" applyFont="1" applyFill="1" applyBorder="1">
      <alignment vertical="center"/>
    </xf>
    <xf numFmtId="183" fontId="15" fillId="18" borderId="2" xfId="9" applyNumberFormat="1" applyFont="1" applyFill="1" applyBorder="1">
      <alignment vertical="center"/>
    </xf>
    <xf numFmtId="183" fontId="15" fillId="15" borderId="2" xfId="9" applyNumberFormat="1" applyFont="1" applyFill="1" applyBorder="1">
      <alignment vertical="center"/>
    </xf>
    <xf numFmtId="183" fontId="28" fillId="18" borderId="2" xfId="2" applyNumberFormat="1" applyFont="1" applyFill="1" applyBorder="1">
      <alignment vertical="center"/>
    </xf>
    <xf numFmtId="2" fontId="15" fillId="18" borderId="2" xfId="9" applyNumberFormat="1" applyFont="1" applyFill="1" applyBorder="1">
      <alignment vertical="center"/>
    </xf>
    <xf numFmtId="183" fontId="15" fillId="17" borderId="2" xfId="9" applyNumberFormat="1" applyFont="1" applyFill="1" applyBorder="1" applyAlignment="1">
      <alignment vertical="center"/>
    </xf>
    <xf numFmtId="183" fontId="2" fillId="0" borderId="0" xfId="9" applyNumberFormat="1">
      <alignment vertical="center"/>
    </xf>
    <xf numFmtId="1" fontId="2" fillId="0" borderId="0" xfId="9" applyNumberFormat="1">
      <alignment vertical="center"/>
    </xf>
    <xf numFmtId="0" fontId="2" fillId="0" borderId="0" xfId="9" applyNumberFormat="1">
      <alignment vertical="center"/>
    </xf>
    <xf numFmtId="0" fontId="26" fillId="0" borderId="7" xfId="2" applyFont="1" applyBorder="1" applyAlignment="1">
      <alignment horizontal="left" vertical="center"/>
    </xf>
    <xf numFmtId="2" fontId="17" fillId="2" borderId="2" xfId="5" applyNumberFormat="1" applyFont="1" applyFill="1" applyBorder="1"/>
    <xf numFmtId="0" fontId="0" fillId="0" borderId="0" xfId="0" applyAlignment="1">
      <alignment horizontal="center"/>
    </xf>
    <xf numFmtId="183" fontId="17" fillId="8" borderId="4" xfId="2" applyNumberFormat="1" applyFont="1" applyFill="1" applyBorder="1">
      <alignment vertical="center"/>
    </xf>
    <xf numFmtId="0" fontId="17" fillId="0" borderId="0" xfId="0" applyFont="1" applyBorder="1" applyAlignment="1">
      <alignment vertical="center"/>
    </xf>
    <xf numFmtId="0" fontId="18" fillId="4" borderId="0" xfId="0" applyFont="1" applyFill="1" applyBorder="1" applyAlignment="1">
      <alignment vertical="center"/>
    </xf>
    <xf numFmtId="2" fontId="33" fillId="8" borderId="2" xfId="2" applyNumberFormat="1" applyFont="1" applyFill="1" applyBorder="1">
      <alignment vertical="center"/>
    </xf>
    <xf numFmtId="183" fontId="17" fillId="8" borderId="36" xfId="2" applyNumberFormat="1" applyFont="1" applyFill="1" applyBorder="1">
      <alignment vertical="center"/>
    </xf>
    <xf numFmtId="2" fontId="17" fillId="8" borderId="36" xfId="2" applyNumberFormat="1" applyFont="1" applyFill="1" applyBorder="1">
      <alignment vertical="center"/>
    </xf>
    <xf numFmtId="2" fontId="17" fillId="2" borderId="36" xfId="2" applyNumberFormat="1" applyFont="1" applyFill="1" applyBorder="1">
      <alignment vertical="center"/>
    </xf>
    <xf numFmtId="183" fontId="17" fillId="6" borderId="36" xfId="2" applyNumberFormat="1" applyFont="1" applyFill="1" applyBorder="1">
      <alignment vertical="center"/>
    </xf>
    <xf numFmtId="183" fontId="17" fillId="2" borderId="36" xfId="2" applyNumberFormat="1" applyFont="1" applyFill="1" applyBorder="1">
      <alignment vertical="center"/>
    </xf>
    <xf numFmtId="183" fontId="17" fillId="0" borderId="36" xfId="2" applyNumberFormat="1" applyFont="1" applyBorder="1">
      <alignment vertical="center"/>
    </xf>
    <xf numFmtId="2" fontId="17" fillId="2" borderId="36" xfId="5" applyNumberFormat="1" applyFont="1" applyFill="1" applyBorder="1"/>
    <xf numFmtId="2" fontId="17" fillId="4" borderId="36" xfId="2" applyNumberFormat="1" applyFont="1" applyFill="1" applyBorder="1">
      <alignment vertical="center"/>
    </xf>
    <xf numFmtId="185" fontId="17" fillId="2" borderId="36" xfId="2" applyNumberFormat="1" applyFont="1" applyFill="1" applyBorder="1">
      <alignment vertical="center"/>
    </xf>
    <xf numFmtId="183" fontId="17" fillId="4" borderId="36" xfId="2" applyNumberFormat="1" applyFont="1" applyFill="1" applyBorder="1">
      <alignment vertical="center"/>
    </xf>
    <xf numFmtId="184" fontId="17" fillId="2" borderId="36" xfId="2" applyNumberFormat="1" applyFont="1" applyFill="1" applyBorder="1">
      <alignment vertical="center"/>
    </xf>
    <xf numFmtId="2" fontId="17" fillId="13" borderId="36" xfId="2" applyNumberFormat="1" applyFont="1" applyFill="1" applyBorder="1">
      <alignment vertical="center"/>
    </xf>
    <xf numFmtId="2" fontId="17" fillId="0" borderId="36" xfId="2" applyNumberFormat="1" applyFont="1" applyBorder="1">
      <alignment vertical="center"/>
    </xf>
    <xf numFmtId="183" fontId="17" fillId="13" borderId="36" xfId="2" applyNumberFormat="1" applyFont="1" applyFill="1" applyBorder="1">
      <alignment vertical="center"/>
    </xf>
    <xf numFmtId="183" fontId="17" fillId="2" borderId="38" xfId="2" applyNumberFormat="1" applyFont="1" applyFill="1" applyBorder="1">
      <alignment vertical="center"/>
    </xf>
    <xf numFmtId="2" fontId="17" fillId="2" borderId="26" xfId="2" applyNumberFormat="1" applyFont="1" applyFill="1" applyBorder="1">
      <alignment vertical="center"/>
    </xf>
    <xf numFmtId="183" fontId="17" fillId="6" borderId="26" xfId="2" applyNumberFormat="1" applyFont="1" applyFill="1" applyBorder="1">
      <alignment vertical="center"/>
    </xf>
    <xf numFmtId="183" fontId="17" fillId="2" borderId="26" xfId="2" applyNumberFormat="1" applyFont="1" applyFill="1" applyBorder="1">
      <alignment vertical="center"/>
    </xf>
    <xf numFmtId="183" fontId="17" fillId="0" borderId="26" xfId="2" applyNumberFormat="1" applyFont="1" applyBorder="1">
      <alignment vertical="center"/>
    </xf>
    <xf numFmtId="2" fontId="17" fillId="8" borderId="26" xfId="2" applyNumberFormat="1" applyFont="1" applyFill="1" applyBorder="1">
      <alignment vertical="center"/>
    </xf>
    <xf numFmtId="2" fontId="17" fillId="2" borderId="26" xfId="5" applyNumberFormat="1" applyFont="1" applyFill="1" applyBorder="1"/>
    <xf numFmtId="183" fontId="17" fillId="8" borderId="26" xfId="2" applyNumberFormat="1" applyFont="1" applyFill="1" applyBorder="1">
      <alignment vertical="center"/>
    </xf>
    <xf numFmtId="2" fontId="17" fillId="4" borderId="26" xfId="2" applyNumberFormat="1" applyFont="1" applyFill="1" applyBorder="1">
      <alignment vertical="center"/>
    </xf>
    <xf numFmtId="185" fontId="17" fillId="2" borderId="26" xfId="2" applyNumberFormat="1" applyFont="1" applyFill="1" applyBorder="1">
      <alignment vertical="center"/>
    </xf>
    <xf numFmtId="183" fontId="17" fillId="4" borderId="26" xfId="2" applyNumberFormat="1" applyFont="1" applyFill="1" applyBorder="1">
      <alignment vertical="center"/>
    </xf>
    <xf numFmtId="184" fontId="17" fillId="2" borderId="26" xfId="2" applyNumberFormat="1" applyFont="1" applyFill="1" applyBorder="1">
      <alignment vertical="center"/>
    </xf>
    <xf numFmtId="2" fontId="17" fillId="13" borderId="26" xfId="2" applyNumberFormat="1" applyFont="1" applyFill="1" applyBorder="1">
      <alignment vertical="center"/>
    </xf>
    <xf numFmtId="2" fontId="17" fillId="0" borderId="26" xfId="2" applyNumberFormat="1" applyFont="1" applyBorder="1">
      <alignment vertical="center"/>
    </xf>
    <xf numFmtId="183" fontId="17" fillId="13" borderId="26" xfId="2" applyNumberFormat="1" applyFont="1" applyFill="1" applyBorder="1">
      <alignment vertical="center"/>
    </xf>
    <xf numFmtId="183" fontId="17" fillId="2" borderId="39" xfId="2" applyNumberFormat="1" applyFont="1" applyFill="1" applyBorder="1">
      <alignment vertical="center"/>
    </xf>
    <xf numFmtId="183" fontId="17" fillId="2" borderId="37" xfId="2" applyNumberFormat="1" applyFont="1" applyFill="1" applyBorder="1">
      <alignment vertical="center"/>
    </xf>
    <xf numFmtId="0" fontId="0" fillId="0" borderId="0" xfId="0" applyBorder="1"/>
    <xf numFmtId="0" fontId="0" fillId="8" borderId="0" xfId="0" applyFill="1"/>
    <xf numFmtId="0" fontId="0" fillId="0" borderId="0" xfId="0" applyAlignment="1">
      <alignment horizontal="left"/>
    </xf>
    <xf numFmtId="0" fontId="0" fillId="8" borderId="0" xfId="0" applyFill="1" applyAlignment="1">
      <alignment horizontal="right"/>
    </xf>
    <xf numFmtId="0" fontId="0" fillId="0" borderId="44" xfId="0" applyBorder="1"/>
    <xf numFmtId="0" fontId="0" fillId="2" borderId="0" xfId="0" applyFill="1" applyBorder="1" applyAlignment="1">
      <alignment horizontal="right"/>
    </xf>
    <xf numFmtId="0" fontId="0" fillId="0" borderId="2" xfId="0" applyFill="1" applyBorder="1"/>
    <xf numFmtId="0" fontId="0" fillId="4" borderId="2" xfId="0" applyFill="1" applyBorder="1"/>
    <xf numFmtId="0" fontId="0" fillId="0" borderId="0" xfId="0" applyAlignment="1">
      <alignment horizontal="right"/>
    </xf>
    <xf numFmtId="0" fontId="0" fillId="9" borderId="0" xfId="0" applyFill="1"/>
    <xf numFmtId="0" fontId="0" fillId="11" borderId="2" xfId="0" applyFill="1" applyBorder="1"/>
    <xf numFmtId="0" fontId="0" fillId="4" borderId="0" xfId="0" applyFill="1"/>
    <xf numFmtId="183" fontId="0" fillId="0" borderId="2" xfId="0" applyNumberFormat="1" applyBorder="1"/>
    <xf numFmtId="0" fontId="0" fillId="0" borderId="0" xfId="0" applyFill="1" applyBorder="1"/>
    <xf numFmtId="183" fontId="0" fillId="0" borderId="0" xfId="0" applyNumberFormat="1"/>
    <xf numFmtId="0" fontId="0" fillId="0" borderId="0" xfId="0" applyFill="1"/>
    <xf numFmtId="0" fontId="0" fillId="9" borderId="0" xfId="0" applyFill="1" applyBorder="1"/>
    <xf numFmtId="0" fontId="0" fillId="12" borderId="0" xfId="0" applyFill="1"/>
    <xf numFmtId="0" fontId="0" fillId="0" borderId="7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" xfId="0" applyBorder="1"/>
    <xf numFmtId="0" fontId="0" fillId="0" borderId="48" xfId="0" applyBorder="1"/>
    <xf numFmtId="41" fontId="30" fillId="7" borderId="2" xfId="1" applyFont="1" applyFill="1" applyBorder="1" applyAlignment="1">
      <alignment vertical="center"/>
    </xf>
    <xf numFmtId="0" fontId="0" fillId="0" borderId="4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5" xfId="0" applyBorder="1" applyAlignment="1">
      <alignment horizontal="center"/>
    </xf>
    <xf numFmtId="0" fontId="26" fillId="0" borderId="7" xfId="2" applyFont="1" applyBorder="1" applyAlignment="1">
      <alignment horizontal="left" vertical="center"/>
    </xf>
    <xf numFmtId="0" fontId="26" fillId="0" borderId="0" xfId="2" applyFont="1" applyAlignment="1">
      <alignment horizontal="left" vertical="center"/>
    </xf>
    <xf numFmtId="0" fontId="17" fillId="10" borderId="2" xfId="0" applyFont="1" applyFill="1" applyBorder="1" applyAlignment="1">
      <alignment horizontal="center" vertical="center"/>
    </xf>
    <xf numFmtId="0" fontId="26" fillId="0" borderId="7" xfId="0" applyFont="1" applyBorder="1" applyAlignment="1">
      <alignment horizontal="left"/>
    </xf>
    <xf numFmtId="0" fontId="12" fillId="0" borderId="0" xfId="0" applyFont="1" applyAlignment="1">
      <alignment horizontal="center"/>
    </xf>
    <xf numFmtId="41" fontId="7" fillId="7" borderId="4" xfId="1" applyFont="1" applyFill="1" applyBorder="1" applyAlignment="1">
      <alignment horizontal="center" vertical="center"/>
    </xf>
    <xf numFmtId="41" fontId="7" fillId="7" borderId="3" xfId="1" applyFont="1" applyFill="1" applyBorder="1" applyAlignment="1">
      <alignment horizontal="center" vertical="center"/>
    </xf>
    <xf numFmtId="41" fontId="7" fillId="7" borderId="1" xfId="1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20" fillId="7" borderId="4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5" fillId="7" borderId="4" xfId="0" applyFont="1" applyFill="1" applyBorder="1" applyAlignment="1">
      <alignment horizontal="center" vertical="center"/>
    </xf>
    <xf numFmtId="0" fontId="25" fillId="7" borderId="1" xfId="0" applyFont="1" applyFill="1" applyBorder="1" applyAlignment="1">
      <alignment horizontal="center" vertical="center"/>
    </xf>
    <xf numFmtId="49" fontId="31" fillId="16" borderId="2" xfId="2" applyNumberFormat="1" applyFont="1" applyFill="1" applyBorder="1" applyAlignment="1">
      <alignment horizontal="center" vertical="center"/>
    </xf>
    <xf numFmtId="49" fontId="31" fillId="16" borderId="5" xfId="2" applyNumberFormat="1" applyFont="1" applyFill="1" applyBorder="1" applyAlignment="1">
      <alignment horizontal="center" vertical="center" wrapText="1"/>
    </xf>
    <xf numFmtId="49" fontId="31" fillId="16" borderId="13" xfId="2" applyNumberFormat="1" applyFont="1" applyFill="1" applyBorder="1" applyAlignment="1">
      <alignment horizontal="center" vertical="center"/>
    </xf>
    <xf numFmtId="49" fontId="31" fillId="16" borderId="14" xfId="2" applyNumberFormat="1" applyFont="1" applyFill="1" applyBorder="1" applyAlignment="1">
      <alignment horizontal="center" vertical="center"/>
    </xf>
    <xf numFmtId="49" fontId="31" fillId="16" borderId="13" xfId="2" applyNumberFormat="1" applyFont="1" applyFill="1" applyBorder="1" applyAlignment="1">
      <alignment horizontal="center" vertical="center" wrapText="1"/>
    </xf>
    <xf numFmtId="0" fontId="17" fillId="2" borderId="24" xfId="0" applyFont="1" applyFill="1" applyBorder="1" applyAlignment="1">
      <alignment horizontal="left" vertical="center"/>
    </xf>
    <xf numFmtId="0" fontId="17" fillId="2" borderId="26" xfId="0" applyFont="1" applyFill="1" applyBorder="1" applyAlignment="1">
      <alignment horizontal="left" vertical="center"/>
    </xf>
    <xf numFmtId="0" fontId="17" fillId="4" borderId="8" xfId="0" applyFont="1" applyFill="1" applyBorder="1" applyAlignment="1">
      <alignment horizontal="center" vertical="center"/>
    </xf>
    <xf numFmtId="0" fontId="17" fillId="4" borderId="19" xfId="0" applyFont="1" applyFill="1" applyBorder="1" applyAlignment="1">
      <alignment horizontal="center" vertical="center"/>
    </xf>
    <xf numFmtId="0" fontId="17" fillId="8" borderId="8" xfId="0" applyFont="1" applyFill="1" applyBorder="1" applyAlignment="1">
      <alignment horizontal="center" vertical="center"/>
    </xf>
    <xf numFmtId="0" fontId="17" fillId="8" borderId="19" xfId="0" applyFont="1" applyFill="1" applyBorder="1" applyAlignment="1">
      <alignment horizontal="center" vertical="center"/>
    </xf>
    <xf numFmtId="0" fontId="17" fillId="4" borderId="16" xfId="0" applyFont="1" applyFill="1" applyBorder="1" applyAlignment="1">
      <alignment horizontal="center" vertical="center"/>
    </xf>
    <xf numFmtId="0" fontId="17" fillId="4" borderId="20" xfId="0" applyFont="1" applyFill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/>
    </xf>
    <xf numFmtId="0" fontId="17" fillId="4" borderId="21" xfId="0" applyFont="1" applyFill="1" applyBorder="1" applyAlignment="1">
      <alignment horizontal="center" vertical="center"/>
    </xf>
    <xf numFmtId="0" fontId="17" fillId="4" borderId="18" xfId="0" applyFont="1" applyFill="1" applyBorder="1" applyAlignment="1">
      <alignment horizontal="center" vertical="center"/>
    </xf>
    <xf numFmtId="0" fontId="17" fillId="4" borderId="12" xfId="0" applyFont="1" applyFill="1" applyBorder="1" applyAlignment="1">
      <alignment horizontal="center" vertical="center"/>
    </xf>
    <xf numFmtId="0" fontId="17" fillId="14" borderId="8" xfId="0" applyFont="1" applyFill="1" applyBorder="1" applyAlignment="1">
      <alignment horizontal="center" vertical="center"/>
    </xf>
    <xf numFmtId="0" fontId="17" fillId="14" borderId="19" xfId="0" applyFont="1" applyFill="1" applyBorder="1" applyAlignment="1">
      <alignment horizontal="center" vertical="center"/>
    </xf>
    <xf numFmtId="0" fontId="17" fillId="15" borderId="8" xfId="0" applyFont="1" applyFill="1" applyBorder="1" applyAlignment="1">
      <alignment horizontal="center" vertical="center"/>
    </xf>
    <xf numFmtId="0" fontId="17" fillId="15" borderId="19" xfId="0" applyFont="1" applyFill="1" applyBorder="1" applyAlignment="1">
      <alignment horizontal="center" vertical="center"/>
    </xf>
  </cellXfs>
  <cellStyles count="10">
    <cellStyle name="쉼표 [0]" xfId="1" builtinId="6"/>
    <cellStyle name="쉼표 [0] 2" xfId="6"/>
    <cellStyle name="표준" xfId="0" builtinId="0"/>
    <cellStyle name="표준 2" xfId="3"/>
    <cellStyle name="표준 2 2" xfId="7"/>
    <cellStyle name="표준 2 3" xfId="8"/>
    <cellStyle name="표준 3" xfId="5"/>
    <cellStyle name="표준 4" xfId="4"/>
    <cellStyle name="표준 5" xfId="9"/>
    <cellStyle name="표준_20080312_동작점설계_해송_150MF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1557705</xdr:colOff>
      <xdr:row>20</xdr:row>
      <xdr:rowOff>58555</xdr:rowOff>
    </xdr:from>
    <xdr:to>
      <xdr:col>31</xdr:col>
      <xdr:colOff>1651260</xdr:colOff>
      <xdr:row>20</xdr:row>
      <xdr:rowOff>148340</xdr:rowOff>
    </xdr:to>
    <xdr:sp macro="" textlink="">
      <xdr:nvSpPr>
        <xdr:cNvPr id="2" name="타원 1"/>
        <xdr:cNvSpPr/>
      </xdr:nvSpPr>
      <xdr:spPr>
        <a:xfrm>
          <a:off x="31990080" y="4049530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31</xdr:col>
      <xdr:colOff>1695355</xdr:colOff>
      <xdr:row>20</xdr:row>
      <xdr:rowOff>61441</xdr:rowOff>
    </xdr:from>
    <xdr:to>
      <xdr:col>31</xdr:col>
      <xdr:colOff>1777630</xdr:colOff>
      <xdr:row>20</xdr:row>
      <xdr:rowOff>143982</xdr:rowOff>
    </xdr:to>
    <xdr:sp macro="" textlink="">
      <xdr:nvSpPr>
        <xdr:cNvPr id="3" name="타원 2"/>
        <xdr:cNvSpPr/>
      </xdr:nvSpPr>
      <xdr:spPr>
        <a:xfrm>
          <a:off x="32127730" y="4052416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31</xdr:col>
      <xdr:colOff>1557705</xdr:colOff>
      <xdr:row>24</xdr:row>
      <xdr:rowOff>58555</xdr:rowOff>
    </xdr:from>
    <xdr:to>
      <xdr:col>31</xdr:col>
      <xdr:colOff>1651260</xdr:colOff>
      <xdr:row>24</xdr:row>
      <xdr:rowOff>148340</xdr:rowOff>
    </xdr:to>
    <xdr:sp macro="" textlink="">
      <xdr:nvSpPr>
        <xdr:cNvPr id="4" name="타원 3"/>
        <xdr:cNvSpPr/>
      </xdr:nvSpPr>
      <xdr:spPr>
        <a:xfrm>
          <a:off x="31990080" y="4887730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31</xdr:col>
      <xdr:colOff>1695355</xdr:colOff>
      <xdr:row>24</xdr:row>
      <xdr:rowOff>61441</xdr:rowOff>
    </xdr:from>
    <xdr:to>
      <xdr:col>31</xdr:col>
      <xdr:colOff>1777630</xdr:colOff>
      <xdr:row>24</xdr:row>
      <xdr:rowOff>143982</xdr:rowOff>
    </xdr:to>
    <xdr:sp macro="" textlink="">
      <xdr:nvSpPr>
        <xdr:cNvPr id="5" name="타원 4"/>
        <xdr:cNvSpPr/>
      </xdr:nvSpPr>
      <xdr:spPr>
        <a:xfrm>
          <a:off x="32127730" y="4890616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31</xdr:col>
      <xdr:colOff>1819409</xdr:colOff>
      <xdr:row>24</xdr:row>
      <xdr:rowOff>54807</xdr:rowOff>
    </xdr:from>
    <xdr:to>
      <xdr:col>31</xdr:col>
      <xdr:colOff>1912964</xdr:colOff>
      <xdr:row>24</xdr:row>
      <xdr:rowOff>144592</xdr:rowOff>
    </xdr:to>
    <xdr:sp macro="" textlink="">
      <xdr:nvSpPr>
        <xdr:cNvPr id="6" name="타원 5"/>
        <xdr:cNvSpPr/>
      </xdr:nvSpPr>
      <xdr:spPr>
        <a:xfrm>
          <a:off x="32251784" y="4883982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31</xdr:col>
      <xdr:colOff>1957059</xdr:colOff>
      <xdr:row>24</xdr:row>
      <xdr:rowOff>57693</xdr:rowOff>
    </xdr:from>
    <xdr:to>
      <xdr:col>31</xdr:col>
      <xdr:colOff>2039334</xdr:colOff>
      <xdr:row>24</xdr:row>
      <xdr:rowOff>140234</xdr:rowOff>
    </xdr:to>
    <xdr:sp macro="" textlink="">
      <xdr:nvSpPr>
        <xdr:cNvPr id="7" name="타원 6"/>
        <xdr:cNvSpPr/>
      </xdr:nvSpPr>
      <xdr:spPr>
        <a:xfrm>
          <a:off x="32389434" y="4886868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31</xdr:col>
      <xdr:colOff>1549897</xdr:colOff>
      <xdr:row>28</xdr:row>
      <xdr:rowOff>23231</xdr:rowOff>
    </xdr:from>
    <xdr:to>
      <xdr:col>31</xdr:col>
      <xdr:colOff>1629124</xdr:colOff>
      <xdr:row>28</xdr:row>
      <xdr:rowOff>92041</xdr:rowOff>
    </xdr:to>
    <xdr:sp macro="" textlink="">
      <xdr:nvSpPr>
        <xdr:cNvPr id="8" name="타원 7"/>
        <xdr:cNvSpPr/>
      </xdr:nvSpPr>
      <xdr:spPr>
        <a:xfrm>
          <a:off x="31982272" y="5690606"/>
          <a:ext cx="79227" cy="6881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31</xdr:col>
      <xdr:colOff>1668030</xdr:colOff>
      <xdr:row>28</xdr:row>
      <xdr:rowOff>23231</xdr:rowOff>
    </xdr:from>
    <xdr:to>
      <xdr:col>31</xdr:col>
      <xdr:colOff>1736572</xdr:colOff>
      <xdr:row>28</xdr:row>
      <xdr:rowOff>88929</xdr:rowOff>
    </xdr:to>
    <xdr:sp macro="" textlink="">
      <xdr:nvSpPr>
        <xdr:cNvPr id="9" name="타원 8"/>
        <xdr:cNvSpPr/>
      </xdr:nvSpPr>
      <xdr:spPr>
        <a:xfrm>
          <a:off x="32100405" y="5690606"/>
          <a:ext cx="68542" cy="6569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31</xdr:col>
      <xdr:colOff>1667817</xdr:colOff>
      <xdr:row>28</xdr:row>
      <xdr:rowOff>120160</xdr:rowOff>
    </xdr:from>
    <xdr:to>
      <xdr:col>31</xdr:col>
      <xdr:colOff>1741046</xdr:colOff>
      <xdr:row>28</xdr:row>
      <xdr:rowOff>184948</xdr:rowOff>
    </xdr:to>
    <xdr:sp macro="" textlink="">
      <xdr:nvSpPr>
        <xdr:cNvPr id="10" name="타원 9"/>
        <xdr:cNvSpPr/>
      </xdr:nvSpPr>
      <xdr:spPr>
        <a:xfrm>
          <a:off x="32100192" y="5787535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31</xdr:col>
      <xdr:colOff>1556525</xdr:colOff>
      <xdr:row>28</xdr:row>
      <xdr:rowOff>121015</xdr:rowOff>
    </xdr:from>
    <xdr:to>
      <xdr:col>31</xdr:col>
      <xdr:colOff>1627839</xdr:colOff>
      <xdr:row>28</xdr:row>
      <xdr:rowOff>185853</xdr:rowOff>
    </xdr:to>
    <xdr:sp macro="" textlink="">
      <xdr:nvSpPr>
        <xdr:cNvPr id="11" name="타원 10"/>
        <xdr:cNvSpPr/>
      </xdr:nvSpPr>
      <xdr:spPr>
        <a:xfrm>
          <a:off x="31988900" y="5788390"/>
          <a:ext cx="71314" cy="64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31</xdr:col>
      <xdr:colOff>1557705</xdr:colOff>
      <xdr:row>20</xdr:row>
      <xdr:rowOff>58555</xdr:rowOff>
    </xdr:from>
    <xdr:to>
      <xdr:col>31</xdr:col>
      <xdr:colOff>1651260</xdr:colOff>
      <xdr:row>20</xdr:row>
      <xdr:rowOff>148340</xdr:rowOff>
    </xdr:to>
    <xdr:sp macro="" textlink="">
      <xdr:nvSpPr>
        <xdr:cNvPr id="12" name="타원 11"/>
        <xdr:cNvSpPr/>
      </xdr:nvSpPr>
      <xdr:spPr>
        <a:xfrm>
          <a:off x="31990080" y="4049530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31</xdr:col>
      <xdr:colOff>1695356</xdr:colOff>
      <xdr:row>20</xdr:row>
      <xdr:rowOff>55621</xdr:rowOff>
    </xdr:from>
    <xdr:to>
      <xdr:col>31</xdr:col>
      <xdr:colOff>1786806</xdr:colOff>
      <xdr:row>20</xdr:row>
      <xdr:rowOff>147459</xdr:rowOff>
    </xdr:to>
    <xdr:sp macro="" textlink="">
      <xdr:nvSpPr>
        <xdr:cNvPr id="13" name="타원 12"/>
        <xdr:cNvSpPr/>
      </xdr:nvSpPr>
      <xdr:spPr>
        <a:xfrm>
          <a:off x="32127731" y="4046596"/>
          <a:ext cx="91450" cy="91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31</xdr:col>
      <xdr:colOff>1557705</xdr:colOff>
      <xdr:row>24</xdr:row>
      <xdr:rowOff>56203</xdr:rowOff>
    </xdr:from>
    <xdr:to>
      <xdr:col>31</xdr:col>
      <xdr:colOff>1651260</xdr:colOff>
      <xdr:row>24</xdr:row>
      <xdr:rowOff>148340</xdr:rowOff>
    </xdr:to>
    <xdr:sp macro="" textlink="">
      <xdr:nvSpPr>
        <xdr:cNvPr id="14" name="타원 13"/>
        <xdr:cNvSpPr/>
      </xdr:nvSpPr>
      <xdr:spPr>
        <a:xfrm>
          <a:off x="31990080" y="4885378"/>
          <a:ext cx="93555" cy="921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31</xdr:col>
      <xdr:colOff>1690298</xdr:colOff>
      <xdr:row>24</xdr:row>
      <xdr:rowOff>54429</xdr:rowOff>
    </xdr:from>
    <xdr:to>
      <xdr:col>31</xdr:col>
      <xdr:colOff>1779854</xdr:colOff>
      <xdr:row>24</xdr:row>
      <xdr:rowOff>140533</xdr:rowOff>
    </xdr:to>
    <xdr:sp macro="" textlink="">
      <xdr:nvSpPr>
        <xdr:cNvPr id="15" name="타원 14"/>
        <xdr:cNvSpPr/>
      </xdr:nvSpPr>
      <xdr:spPr>
        <a:xfrm>
          <a:off x="32122673" y="4883604"/>
          <a:ext cx="89556" cy="8610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31</xdr:col>
      <xdr:colOff>1819409</xdr:colOff>
      <xdr:row>24</xdr:row>
      <xdr:rowOff>53245</xdr:rowOff>
    </xdr:from>
    <xdr:to>
      <xdr:col>31</xdr:col>
      <xdr:colOff>1912964</xdr:colOff>
      <xdr:row>24</xdr:row>
      <xdr:rowOff>144592</xdr:rowOff>
    </xdr:to>
    <xdr:sp macro="" textlink="">
      <xdr:nvSpPr>
        <xdr:cNvPr id="16" name="타원 15"/>
        <xdr:cNvSpPr/>
      </xdr:nvSpPr>
      <xdr:spPr>
        <a:xfrm>
          <a:off x="32251784" y="4882420"/>
          <a:ext cx="93555" cy="913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31</xdr:col>
      <xdr:colOff>1950107</xdr:colOff>
      <xdr:row>24</xdr:row>
      <xdr:rowOff>54428</xdr:rowOff>
    </xdr:from>
    <xdr:to>
      <xdr:col>31</xdr:col>
      <xdr:colOff>2047875</xdr:colOff>
      <xdr:row>24</xdr:row>
      <xdr:rowOff>146277</xdr:rowOff>
    </xdr:to>
    <xdr:sp macro="" textlink="">
      <xdr:nvSpPr>
        <xdr:cNvPr id="17" name="타원 16"/>
        <xdr:cNvSpPr/>
      </xdr:nvSpPr>
      <xdr:spPr>
        <a:xfrm>
          <a:off x="32382482" y="4883603"/>
          <a:ext cx="97768" cy="9184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31</xdr:col>
      <xdr:colOff>1553159</xdr:colOff>
      <xdr:row>28</xdr:row>
      <xdr:rowOff>23664</xdr:rowOff>
    </xdr:from>
    <xdr:to>
      <xdr:col>31</xdr:col>
      <xdr:colOff>1632857</xdr:colOff>
      <xdr:row>28</xdr:row>
      <xdr:rowOff>94657</xdr:rowOff>
    </xdr:to>
    <xdr:sp macro="" textlink="">
      <xdr:nvSpPr>
        <xdr:cNvPr id="18" name="타원 17"/>
        <xdr:cNvSpPr/>
      </xdr:nvSpPr>
      <xdr:spPr>
        <a:xfrm>
          <a:off x="31985534" y="5691039"/>
          <a:ext cx="79698" cy="7099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31</xdr:col>
      <xdr:colOff>1668030</xdr:colOff>
      <xdr:row>28</xdr:row>
      <xdr:rowOff>23230</xdr:rowOff>
    </xdr:from>
    <xdr:to>
      <xdr:col>31</xdr:col>
      <xdr:colOff>1738638</xdr:colOff>
      <xdr:row>28</xdr:row>
      <xdr:rowOff>91335</xdr:rowOff>
    </xdr:to>
    <xdr:sp macro="" textlink="">
      <xdr:nvSpPr>
        <xdr:cNvPr id="19" name="타원 18"/>
        <xdr:cNvSpPr/>
      </xdr:nvSpPr>
      <xdr:spPr>
        <a:xfrm>
          <a:off x="32100405" y="5690605"/>
          <a:ext cx="70608" cy="6810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31</xdr:col>
      <xdr:colOff>1664555</xdr:colOff>
      <xdr:row>28</xdr:row>
      <xdr:rowOff>120160</xdr:rowOff>
    </xdr:from>
    <xdr:to>
      <xdr:col>31</xdr:col>
      <xdr:colOff>1737784</xdr:colOff>
      <xdr:row>28</xdr:row>
      <xdr:rowOff>184948</xdr:rowOff>
    </xdr:to>
    <xdr:sp macro="" textlink="">
      <xdr:nvSpPr>
        <xdr:cNvPr id="20" name="타원 19"/>
        <xdr:cNvSpPr/>
      </xdr:nvSpPr>
      <xdr:spPr>
        <a:xfrm>
          <a:off x="32096930" y="5787535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31</xdr:col>
      <xdr:colOff>1556525</xdr:colOff>
      <xdr:row>28</xdr:row>
      <xdr:rowOff>124239</xdr:rowOff>
    </xdr:from>
    <xdr:to>
      <xdr:col>31</xdr:col>
      <xdr:colOff>1627839</xdr:colOff>
      <xdr:row>28</xdr:row>
      <xdr:rowOff>185853</xdr:rowOff>
    </xdr:to>
    <xdr:sp macro="" textlink="">
      <xdr:nvSpPr>
        <xdr:cNvPr id="21" name="타원 20"/>
        <xdr:cNvSpPr/>
      </xdr:nvSpPr>
      <xdr:spPr>
        <a:xfrm>
          <a:off x="31988900" y="5791614"/>
          <a:ext cx="71314" cy="6161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4</xdr:row>
          <xdr:rowOff>22860</xdr:rowOff>
        </xdr:from>
        <xdr:to>
          <xdr:col>12</xdr:col>
          <xdr:colOff>7620</xdr:colOff>
          <xdr:row>12</xdr:row>
          <xdr:rowOff>99060</xdr:rowOff>
        </xdr:to>
        <xdr:sp macro="" textlink="">
          <xdr:nvSpPr>
            <xdr:cNvPr id="3196929" name="Object 1" hidden="1">
              <a:extLst>
                <a:ext uri="{63B3BB69-23CF-44E3-9099-C40C66FF867C}">
                  <a14:compatExt spid="_x0000_s31969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4</xdr:row>
          <xdr:rowOff>22860</xdr:rowOff>
        </xdr:from>
        <xdr:to>
          <xdr:col>11</xdr:col>
          <xdr:colOff>381000</xdr:colOff>
          <xdr:row>14</xdr:row>
          <xdr:rowOff>7620</xdr:rowOff>
        </xdr:to>
        <xdr:sp macro="" textlink="">
          <xdr:nvSpPr>
            <xdr:cNvPr id="3196930" name="Object 2" hidden="1">
              <a:extLst>
                <a:ext uri="{63B3BB69-23CF-44E3-9099-C40C66FF867C}">
                  <a14:compatExt spid="_x0000_s31969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2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3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4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5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6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7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8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9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0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1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2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3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4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5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6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7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8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9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20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21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22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23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24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25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26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27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28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29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30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31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32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33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34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35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36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37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38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39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40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41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42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43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44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45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46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47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48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49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50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51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52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53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54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55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56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57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58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59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60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61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62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63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64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65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66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67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68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69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70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71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72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73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74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75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76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77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78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79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80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81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82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83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84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85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86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87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88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89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90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91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92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93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94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95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96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97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98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99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00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01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02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03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04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05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06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07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08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09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10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11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12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13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14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15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16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17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18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19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20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21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22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23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24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25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26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27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28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29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30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31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32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33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34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35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36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37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38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39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40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41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42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43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44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45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46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47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48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49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50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51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52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53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54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55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56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57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58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59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60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61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62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63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64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65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66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67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68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69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70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71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72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73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74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75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76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77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78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79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80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81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82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83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84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85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86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87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88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89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90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91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92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93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94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95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96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97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98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199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200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201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202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203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204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205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206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207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208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209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66675</xdr:colOff>
      <xdr:row>5</xdr:row>
      <xdr:rowOff>0</xdr:rowOff>
    </xdr:to>
    <xdr:sp macro="" textlink="">
      <xdr:nvSpPr>
        <xdr:cNvPr id="210" name="Text Box 11"/>
        <xdr:cNvSpPr txBox="1">
          <a:spLocks noChangeArrowheads="1"/>
        </xdr:cNvSpPr>
      </xdr:nvSpPr>
      <xdr:spPr bwMode="auto">
        <a:xfrm>
          <a:off x="685800" y="10287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66675</xdr:colOff>
      <xdr:row>5</xdr:row>
      <xdr:rowOff>0</xdr:rowOff>
    </xdr:to>
    <xdr:sp macro="" textlink="">
      <xdr:nvSpPr>
        <xdr:cNvPr id="211" name="Text Box 11"/>
        <xdr:cNvSpPr txBox="1">
          <a:spLocks noChangeArrowheads="1"/>
        </xdr:cNvSpPr>
      </xdr:nvSpPr>
      <xdr:spPr bwMode="auto">
        <a:xfrm>
          <a:off x="685800" y="10287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66675</xdr:colOff>
      <xdr:row>5</xdr:row>
      <xdr:rowOff>0</xdr:rowOff>
    </xdr:to>
    <xdr:sp macro="" textlink="">
      <xdr:nvSpPr>
        <xdr:cNvPr id="212" name="Text Box 11"/>
        <xdr:cNvSpPr txBox="1">
          <a:spLocks noChangeArrowheads="1"/>
        </xdr:cNvSpPr>
      </xdr:nvSpPr>
      <xdr:spPr bwMode="auto">
        <a:xfrm>
          <a:off x="685800" y="10287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66675</xdr:colOff>
      <xdr:row>5</xdr:row>
      <xdr:rowOff>0</xdr:rowOff>
    </xdr:to>
    <xdr:sp macro="" textlink="">
      <xdr:nvSpPr>
        <xdr:cNvPr id="213" name="Text Box 11"/>
        <xdr:cNvSpPr txBox="1">
          <a:spLocks noChangeArrowheads="1"/>
        </xdr:cNvSpPr>
      </xdr:nvSpPr>
      <xdr:spPr bwMode="auto">
        <a:xfrm>
          <a:off x="685800" y="10287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66675</xdr:colOff>
      <xdr:row>5</xdr:row>
      <xdr:rowOff>0</xdr:rowOff>
    </xdr:to>
    <xdr:sp macro="" textlink="">
      <xdr:nvSpPr>
        <xdr:cNvPr id="214" name="Text Box 11"/>
        <xdr:cNvSpPr txBox="1">
          <a:spLocks noChangeArrowheads="1"/>
        </xdr:cNvSpPr>
      </xdr:nvSpPr>
      <xdr:spPr bwMode="auto">
        <a:xfrm>
          <a:off x="685800" y="10287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215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216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217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218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219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220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221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222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223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66675</xdr:colOff>
      <xdr:row>3</xdr:row>
      <xdr:rowOff>9525</xdr:rowOff>
    </xdr:to>
    <xdr:sp macro="" textlink="">
      <xdr:nvSpPr>
        <xdr:cNvPr id="224" name="Text Box 11"/>
        <xdr:cNvSpPr txBox="1">
          <a:spLocks noChangeArrowheads="1"/>
        </xdr:cNvSpPr>
      </xdr:nvSpPr>
      <xdr:spPr bwMode="auto">
        <a:xfrm>
          <a:off x="685800" y="6096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66675</xdr:colOff>
      <xdr:row>5</xdr:row>
      <xdr:rowOff>0</xdr:rowOff>
    </xdr:to>
    <xdr:sp macro="" textlink="">
      <xdr:nvSpPr>
        <xdr:cNvPr id="225" name="Text Box 11"/>
        <xdr:cNvSpPr txBox="1">
          <a:spLocks noChangeArrowheads="1"/>
        </xdr:cNvSpPr>
      </xdr:nvSpPr>
      <xdr:spPr bwMode="auto">
        <a:xfrm>
          <a:off x="685800" y="10287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66675</xdr:colOff>
      <xdr:row>5</xdr:row>
      <xdr:rowOff>0</xdr:rowOff>
    </xdr:to>
    <xdr:sp macro="" textlink="">
      <xdr:nvSpPr>
        <xdr:cNvPr id="226" name="Text Box 11"/>
        <xdr:cNvSpPr txBox="1">
          <a:spLocks noChangeArrowheads="1"/>
        </xdr:cNvSpPr>
      </xdr:nvSpPr>
      <xdr:spPr bwMode="auto">
        <a:xfrm>
          <a:off x="685800" y="10287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66675</xdr:colOff>
      <xdr:row>5</xdr:row>
      <xdr:rowOff>0</xdr:rowOff>
    </xdr:to>
    <xdr:sp macro="" textlink="">
      <xdr:nvSpPr>
        <xdr:cNvPr id="227" name="Text Box 11"/>
        <xdr:cNvSpPr txBox="1">
          <a:spLocks noChangeArrowheads="1"/>
        </xdr:cNvSpPr>
      </xdr:nvSpPr>
      <xdr:spPr bwMode="auto">
        <a:xfrm>
          <a:off x="685800" y="10287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66675</xdr:colOff>
      <xdr:row>5</xdr:row>
      <xdr:rowOff>0</xdr:rowOff>
    </xdr:to>
    <xdr:sp macro="" textlink="">
      <xdr:nvSpPr>
        <xdr:cNvPr id="228" name="Text Box 11"/>
        <xdr:cNvSpPr txBox="1">
          <a:spLocks noChangeArrowheads="1"/>
        </xdr:cNvSpPr>
      </xdr:nvSpPr>
      <xdr:spPr bwMode="auto">
        <a:xfrm>
          <a:off x="685800" y="10287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</xdr:row>
      <xdr:rowOff>47625</xdr:rowOff>
    </xdr:from>
    <xdr:to>
      <xdr:col>1</xdr:col>
      <xdr:colOff>66675</xdr:colOff>
      <xdr:row>5</xdr:row>
      <xdr:rowOff>0</xdr:rowOff>
    </xdr:to>
    <xdr:sp macro="" textlink="">
      <xdr:nvSpPr>
        <xdr:cNvPr id="229" name="Text Box 11"/>
        <xdr:cNvSpPr txBox="1">
          <a:spLocks noChangeArrowheads="1"/>
        </xdr:cNvSpPr>
      </xdr:nvSpPr>
      <xdr:spPr bwMode="auto">
        <a:xfrm>
          <a:off x="685800" y="1076325"/>
          <a:ext cx="666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66675</xdr:colOff>
      <xdr:row>4</xdr:row>
      <xdr:rowOff>0</xdr:rowOff>
    </xdr:to>
    <xdr:sp macro="" textlink="">
      <xdr:nvSpPr>
        <xdr:cNvPr id="230" name="Text Box 11"/>
        <xdr:cNvSpPr txBox="1">
          <a:spLocks noChangeArrowheads="1"/>
        </xdr:cNvSpPr>
      </xdr:nvSpPr>
      <xdr:spPr bwMode="auto">
        <a:xfrm>
          <a:off x="685800" y="8191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66675</xdr:colOff>
      <xdr:row>4</xdr:row>
      <xdr:rowOff>0</xdr:rowOff>
    </xdr:to>
    <xdr:sp macro="" textlink="">
      <xdr:nvSpPr>
        <xdr:cNvPr id="231" name="Text Box 11"/>
        <xdr:cNvSpPr txBox="1">
          <a:spLocks noChangeArrowheads="1"/>
        </xdr:cNvSpPr>
      </xdr:nvSpPr>
      <xdr:spPr bwMode="auto">
        <a:xfrm>
          <a:off x="685800" y="8191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66675</xdr:colOff>
      <xdr:row>4</xdr:row>
      <xdr:rowOff>0</xdr:rowOff>
    </xdr:to>
    <xdr:sp macro="" textlink="">
      <xdr:nvSpPr>
        <xdr:cNvPr id="232" name="Text Box 11"/>
        <xdr:cNvSpPr txBox="1">
          <a:spLocks noChangeArrowheads="1"/>
        </xdr:cNvSpPr>
      </xdr:nvSpPr>
      <xdr:spPr bwMode="auto">
        <a:xfrm>
          <a:off x="685800" y="8191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66675</xdr:colOff>
      <xdr:row>4</xdr:row>
      <xdr:rowOff>0</xdr:rowOff>
    </xdr:to>
    <xdr:sp macro="" textlink="">
      <xdr:nvSpPr>
        <xdr:cNvPr id="233" name="Text Box 11"/>
        <xdr:cNvSpPr txBox="1">
          <a:spLocks noChangeArrowheads="1"/>
        </xdr:cNvSpPr>
      </xdr:nvSpPr>
      <xdr:spPr bwMode="auto">
        <a:xfrm>
          <a:off x="685800" y="8191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66675</xdr:colOff>
      <xdr:row>4</xdr:row>
      <xdr:rowOff>0</xdr:rowOff>
    </xdr:to>
    <xdr:sp macro="" textlink="">
      <xdr:nvSpPr>
        <xdr:cNvPr id="234" name="Text Box 11"/>
        <xdr:cNvSpPr txBox="1">
          <a:spLocks noChangeArrowheads="1"/>
        </xdr:cNvSpPr>
      </xdr:nvSpPr>
      <xdr:spPr bwMode="auto">
        <a:xfrm>
          <a:off x="685800" y="8191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66675</xdr:colOff>
      <xdr:row>4</xdr:row>
      <xdr:rowOff>0</xdr:rowOff>
    </xdr:to>
    <xdr:sp macro="" textlink="">
      <xdr:nvSpPr>
        <xdr:cNvPr id="235" name="Text Box 11"/>
        <xdr:cNvSpPr txBox="1">
          <a:spLocks noChangeArrowheads="1"/>
        </xdr:cNvSpPr>
      </xdr:nvSpPr>
      <xdr:spPr bwMode="auto">
        <a:xfrm>
          <a:off x="685800" y="8191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66675</xdr:colOff>
      <xdr:row>4</xdr:row>
      <xdr:rowOff>0</xdr:rowOff>
    </xdr:to>
    <xdr:sp macro="" textlink="">
      <xdr:nvSpPr>
        <xdr:cNvPr id="236" name="Text Box 11"/>
        <xdr:cNvSpPr txBox="1">
          <a:spLocks noChangeArrowheads="1"/>
        </xdr:cNvSpPr>
      </xdr:nvSpPr>
      <xdr:spPr bwMode="auto">
        <a:xfrm>
          <a:off x="685800" y="8191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66675</xdr:colOff>
      <xdr:row>4</xdr:row>
      <xdr:rowOff>0</xdr:rowOff>
    </xdr:to>
    <xdr:sp macro="" textlink="">
      <xdr:nvSpPr>
        <xdr:cNvPr id="237" name="Text Box 11"/>
        <xdr:cNvSpPr txBox="1">
          <a:spLocks noChangeArrowheads="1"/>
        </xdr:cNvSpPr>
      </xdr:nvSpPr>
      <xdr:spPr bwMode="auto">
        <a:xfrm>
          <a:off x="685800" y="8191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66675</xdr:colOff>
      <xdr:row>4</xdr:row>
      <xdr:rowOff>0</xdr:rowOff>
    </xdr:to>
    <xdr:sp macro="" textlink="">
      <xdr:nvSpPr>
        <xdr:cNvPr id="238" name="Text Box 11"/>
        <xdr:cNvSpPr txBox="1">
          <a:spLocks noChangeArrowheads="1"/>
        </xdr:cNvSpPr>
      </xdr:nvSpPr>
      <xdr:spPr bwMode="auto">
        <a:xfrm>
          <a:off x="685800" y="8191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66675</xdr:colOff>
      <xdr:row>4</xdr:row>
      <xdr:rowOff>0</xdr:rowOff>
    </xdr:to>
    <xdr:sp macro="" textlink="">
      <xdr:nvSpPr>
        <xdr:cNvPr id="239" name="Text Box 11"/>
        <xdr:cNvSpPr txBox="1">
          <a:spLocks noChangeArrowheads="1"/>
        </xdr:cNvSpPr>
      </xdr:nvSpPr>
      <xdr:spPr bwMode="auto">
        <a:xfrm>
          <a:off x="685800" y="8191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66675</xdr:colOff>
      <xdr:row>4</xdr:row>
      <xdr:rowOff>0</xdr:rowOff>
    </xdr:to>
    <xdr:sp macro="" textlink="">
      <xdr:nvSpPr>
        <xdr:cNvPr id="240" name="Text Box 11"/>
        <xdr:cNvSpPr txBox="1">
          <a:spLocks noChangeArrowheads="1"/>
        </xdr:cNvSpPr>
      </xdr:nvSpPr>
      <xdr:spPr bwMode="auto">
        <a:xfrm>
          <a:off x="685800" y="8191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66675</xdr:colOff>
      <xdr:row>4</xdr:row>
      <xdr:rowOff>0</xdr:rowOff>
    </xdr:to>
    <xdr:sp macro="" textlink="">
      <xdr:nvSpPr>
        <xdr:cNvPr id="241" name="Text Box 11"/>
        <xdr:cNvSpPr txBox="1">
          <a:spLocks noChangeArrowheads="1"/>
        </xdr:cNvSpPr>
      </xdr:nvSpPr>
      <xdr:spPr bwMode="auto">
        <a:xfrm>
          <a:off x="685800" y="8191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66675</xdr:colOff>
      <xdr:row>4</xdr:row>
      <xdr:rowOff>0</xdr:rowOff>
    </xdr:to>
    <xdr:sp macro="" textlink="">
      <xdr:nvSpPr>
        <xdr:cNvPr id="242" name="Text Box 11"/>
        <xdr:cNvSpPr txBox="1">
          <a:spLocks noChangeArrowheads="1"/>
        </xdr:cNvSpPr>
      </xdr:nvSpPr>
      <xdr:spPr bwMode="auto">
        <a:xfrm>
          <a:off x="685800" y="8191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66675</xdr:colOff>
      <xdr:row>4</xdr:row>
      <xdr:rowOff>0</xdr:rowOff>
    </xdr:to>
    <xdr:sp macro="" textlink="">
      <xdr:nvSpPr>
        <xdr:cNvPr id="243" name="Text Box 11"/>
        <xdr:cNvSpPr txBox="1">
          <a:spLocks noChangeArrowheads="1"/>
        </xdr:cNvSpPr>
      </xdr:nvSpPr>
      <xdr:spPr bwMode="auto">
        <a:xfrm>
          <a:off x="685800" y="8191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66675</xdr:colOff>
      <xdr:row>4</xdr:row>
      <xdr:rowOff>0</xdr:rowOff>
    </xdr:to>
    <xdr:sp macro="" textlink="">
      <xdr:nvSpPr>
        <xdr:cNvPr id="244" name="Text Box 11"/>
        <xdr:cNvSpPr txBox="1">
          <a:spLocks noChangeArrowheads="1"/>
        </xdr:cNvSpPr>
      </xdr:nvSpPr>
      <xdr:spPr bwMode="auto">
        <a:xfrm>
          <a:off x="685800" y="8191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66675</xdr:colOff>
      <xdr:row>4</xdr:row>
      <xdr:rowOff>0</xdr:rowOff>
    </xdr:to>
    <xdr:sp macro="" textlink="">
      <xdr:nvSpPr>
        <xdr:cNvPr id="245" name="Text Box 11"/>
        <xdr:cNvSpPr txBox="1">
          <a:spLocks noChangeArrowheads="1"/>
        </xdr:cNvSpPr>
      </xdr:nvSpPr>
      <xdr:spPr bwMode="auto">
        <a:xfrm>
          <a:off x="685800" y="8191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66675</xdr:colOff>
      <xdr:row>4</xdr:row>
      <xdr:rowOff>0</xdr:rowOff>
    </xdr:to>
    <xdr:sp macro="" textlink="">
      <xdr:nvSpPr>
        <xdr:cNvPr id="246" name="Text Box 11"/>
        <xdr:cNvSpPr txBox="1">
          <a:spLocks noChangeArrowheads="1"/>
        </xdr:cNvSpPr>
      </xdr:nvSpPr>
      <xdr:spPr bwMode="auto">
        <a:xfrm>
          <a:off x="685800" y="8191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66675</xdr:colOff>
      <xdr:row>4</xdr:row>
      <xdr:rowOff>0</xdr:rowOff>
    </xdr:to>
    <xdr:sp macro="" textlink="">
      <xdr:nvSpPr>
        <xdr:cNvPr id="247" name="Text Box 11"/>
        <xdr:cNvSpPr txBox="1">
          <a:spLocks noChangeArrowheads="1"/>
        </xdr:cNvSpPr>
      </xdr:nvSpPr>
      <xdr:spPr bwMode="auto">
        <a:xfrm>
          <a:off x="685800" y="8191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66675</xdr:colOff>
      <xdr:row>4</xdr:row>
      <xdr:rowOff>0</xdr:rowOff>
    </xdr:to>
    <xdr:sp macro="" textlink="">
      <xdr:nvSpPr>
        <xdr:cNvPr id="248" name="Text Box 11"/>
        <xdr:cNvSpPr txBox="1">
          <a:spLocks noChangeArrowheads="1"/>
        </xdr:cNvSpPr>
      </xdr:nvSpPr>
      <xdr:spPr bwMode="auto">
        <a:xfrm>
          <a:off x="685800" y="8191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66675</xdr:colOff>
      <xdr:row>4</xdr:row>
      <xdr:rowOff>0</xdr:rowOff>
    </xdr:to>
    <xdr:sp macro="" textlink="">
      <xdr:nvSpPr>
        <xdr:cNvPr id="249" name="Text Box 11"/>
        <xdr:cNvSpPr txBox="1">
          <a:spLocks noChangeArrowheads="1"/>
        </xdr:cNvSpPr>
      </xdr:nvSpPr>
      <xdr:spPr bwMode="auto">
        <a:xfrm>
          <a:off x="685800" y="8191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66675</xdr:colOff>
      <xdr:row>4</xdr:row>
      <xdr:rowOff>0</xdr:rowOff>
    </xdr:to>
    <xdr:sp macro="" textlink="">
      <xdr:nvSpPr>
        <xdr:cNvPr id="250" name="Text Box 11"/>
        <xdr:cNvSpPr txBox="1">
          <a:spLocks noChangeArrowheads="1"/>
        </xdr:cNvSpPr>
      </xdr:nvSpPr>
      <xdr:spPr bwMode="auto">
        <a:xfrm>
          <a:off x="685800" y="8191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66675</xdr:colOff>
      <xdr:row>4</xdr:row>
      <xdr:rowOff>0</xdr:rowOff>
    </xdr:to>
    <xdr:sp macro="" textlink="">
      <xdr:nvSpPr>
        <xdr:cNvPr id="251" name="Text Box 11"/>
        <xdr:cNvSpPr txBox="1">
          <a:spLocks noChangeArrowheads="1"/>
        </xdr:cNvSpPr>
      </xdr:nvSpPr>
      <xdr:spPr bwMode="auto">
        <a:xfrm>
          <a:off x="685800" y="8191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66675</xdr:colOff>
      <xdr:row>4</xdr:row>
      <xdr:rowOff>0</xdr:rowOff>
    </xdr:to>
    <xdr:sp macro="" textlink="">
      <xdr:nvSpPr>
        <xdr:cNvPr id="252" name="Text Box 11"/>
        <xdr:cNvSpPr txBox="1">
          <a:spLocks noChangeArrowheads="1"/>
        </xdr:cNvSpPr>
      </xdr:nvSpPr>
      <xdr:spPr bwMode="auto">
        <a:xfrm>
          <a:off x="685800" y="8191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66675</xdr:colOff>
      <xdr:row>4</xdr:row>
      <xdr:rowOff>0</xdr:rowOff>
    </xdr:to>
    <xdr:sp macro="" textlink="">
      <xdr:nvSpPr>
        <xdr:cNvPr id="253" name="Text Box 11"/>
        <xdr:cNvSpPr txBox="1">
          <a:spLocks noChangeArrowheads="1"/>
        </xdr:cNvSpPr>
      </xdr:nvSpPr>
      <xdr:spPr bwMode="auto">
        <a:xfrm>
          <a:off x="685800" y="8191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66675</xdr:colOff>
      <xdr:row>4</xdr:row>
      <xdr:rowOff>0</xdr:rowOff>
    </xdr:to>
    <xdr:sp macro="" textlink="">
      <xdr:nvSpPr>
        <xdr:cNvPr id="254" name="Text Box 11"/>
        <xdr:cNvSpPr txBox="1">
          <a:spLocks noChangeArrowheads="1"/>
        </xdr:cNvSpPr>
      </xdr:nvSpPr>
      <xdr:spPr bwMode="auto">
        <a:xfrm>
          <a:off x="685800" y="8191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255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256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257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258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259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260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261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262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263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264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265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266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267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268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269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270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271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272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273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274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275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276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277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278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279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280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281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282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283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284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285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286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287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288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289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290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291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292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293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294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295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296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297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298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299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00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01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02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03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04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05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06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07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08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09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10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11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12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13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14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15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16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17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18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19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20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21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22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23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24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25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26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27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28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29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30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31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32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33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34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35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36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37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38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39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40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41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42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43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44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45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46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47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48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49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50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51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52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53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54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55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56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57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58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59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60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61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62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63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64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65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66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67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68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69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70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71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72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73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74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75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76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77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78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79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80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81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82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83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84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85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86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87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88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89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90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91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92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93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94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95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96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97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98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399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400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401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402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403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404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405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406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407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408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409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66675" cy="219075"/>
    <xdr:sp macro="" textlink="">
      <xdr:nvSpPr>
        <xdr:cNvPr id="410" name="Text Box 11"/>
        <xdr:cNvSpPr txBox="1">
          <a:spLocks noChangeArrowheads="1"/>
        </xdr:cNvSpPr>
      </xdr:nvSpPr>
      <xdr:spPr bwMode="auto">
        <a:xfrm>
          <a:off x="685800" y="14478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0</xdr:col>
      <xdr:colOff>609600</xdr:colOff>
      <xdr:row>11</xdr:row>
      <xdr:rowOff>28575</xdr:rowOff>
    </xdr:from>
    <xdr:to>
      <xdr:col>0</xdr:col>
      <xdr:colOff>676275</xdr:colOff>
      <xdr:row>12</xdr:row>
      <xdr:rowOff>28575</xdr:rowOff>
    </xdr:to>
    <xdr:sp macro="" textlink="">
      <xdr:nvSpPr>
        <xdr:cNvPr id="411" name="Text Box 11"/>
        <xdr:cNvSpPr txBox="1">
          <a:spLocks noChangeArrowheads="1"/>
        </xdr:cNvSpPr>
      </xdr:nvSpPr>
      <xdr:spPr bwMode="auto">
        <a:xfrm>
          <a:off x="609600" y="2524125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11</xdr:row>
      <xdr:rowOff>190500</xdr:rowOff>
    </xdr:from>
    <xdr:to>
      <xdr:col>1</xdr:col>
      <xdr:colOff>57150</xdr:colOff>
      <xdr:row>12</xdr:row>
      <xdr:rowOff>190500</xdr:rowOff>
    </xdr:to>
    <xdr:sp macro="" textlink="">
      <xdr:nvSpPr>
        <xdr:cNvPr id="412" name="Text Box 11"/>
        <xdr:cNvSpPr txBox="1">
          <a:spLocks noChangeArrowheads="1"/>
        </xdr:cNvSpPr>
      </xdr:nvSpPr>
      <xdr:spPr bwMode="auto">
        <a:xfrm>
          <a:off x="676275" y="26860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66675</xdr:colOff>
      <xdr:row>8</xdr:row>
      <xdr:rowOff>0</xdr:rowOff>
    </xdr:to>
    <xdr:sp macro="" textlink="">
      <xdr:nvSpPr>
        <xdr:cNvPr id="413" name="Text Box 11"/>
        <xdr:cNvSpPr txBox="1">
          <a:spLocks noChangeArrowheads="1"/>
        </xdr:cNvSpPr>
      </xdr:nvSpPr>
      <xdr:spPr bwMode="auto">
        <a:xfrm>
          <a:off x="685800" y="16573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66675</xdr:colOff>
      <xdr:row>8</xdr:row>
      <xdr:rowOff>0</xdr:rowOff>
    </xdr:to>
    <xdr:sp macro="" textlink="">
      <xdr:nvSpPr>
        <xdr:cNvPr id="414" name="Text Box 11"/>
        <xdr:cNvSpPr txBox="1">
          <a:spLocks noChangeArrowheads="1"/>
        </xdr:cNvSpPr>
      </xdr:nvSpPr>
      <xdr:spPr bwMode="auto">
        <a:xfrm>
          <a:off x="685800" y="16573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66675</xdr:colOff>
      <xdr:row>8</xdr:row>
      <xdr:rowOff>0</xdr:rowOff>
    </xdr:to>
    <xdr:sp macro="" textlink="">
      <xdr:nvSpPr>
        <xdr:cNvPr id="415" name="Text Box 11"/>
        <xdr:cNvSpPr txBox="1">
          <a:spLocks noChangeArrowheads="1"/>
        </xdr:cNvSpPr>
      </xdr:nvSpPr>
      <xdr:spPr bwMode="auto">
        <a:xfrm>
          <a:off x="685800" y="16573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66675</xdr:colOff>
      <xdr:row>8</xdr:row>
      <xdr:rowOff>0</xdr:rowOff>
    </xdr:to>
    <xdr:sp macro="" textlink="">
      <xdr:nvSpPr>
        <xdr:cNvPr id="416" name="Text Box 11"/>
        <xdr:cNvSpPr txBox="1">
          <a:spLocks noChangeArrowheads="1"/>
        </xdr:cNvSpPr>
      </xdr:nvSpPr>
      <xdr:spPr bwMode="auto">
        <a:xfrm>
          <a:off x="685800" y="16573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66675</xdr:colOff>
      <xdr:row>8</xdr:row>
      <xdr:rowOff>0</xdr:rowOff>
    </xdr:to>
    <xdr:sp macro="" textlink="">
      <xdr:nvSpPr>
        <xdr:cNvPr id="417" name="Text Box 11"/>
        <xdr:cNvSpPr txBox="1">
          <a:spLocks noChangeArrowheads="1"/>
        </xdr:cNvSpPr>
      </xdr:nvSpPr>
      <xdr:spPr bwMode="auto">
        <a:xfrm>
          <a:off x="685800" y="16573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66675</xdr:colOff>
      <xdr:row>8</xdr:row>
      <xdr:rowOff>0</xdr:rowOff>
    </xdr:to>
    <xdr:sp macro="" textlink="">
      <xdr:nvSpPr>
        <xdr:cNvPr id="418" name="Text Box 11"/>
        <xdr:cNvSpPr txBox="1">
          <a:spLocks noChangeArrowheads="1"/>
        </xdr:cNvSpPr>
      </xdr:nvSpPr>
      <xdr:spPr bwMode="auto">
        <a:xfrm>
          <a:off x="685800" y="16573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66675</xdr:colOff>
      <xdr:row>8</xdr:row>
      <xdr:rowOff>0</xdr:rowOff>
    </xdr:to>
    <xdr:sp macro="" textlink="">
      <xdr:nvSpPr>
        <xdr:cNvPr id="419" name="Text Box 11"/>
        <xdr:cNvSpPr txBox="1">
          <a:spLocks noChangeArrowheads="1"/>
        </xdr:cNvSpPr>
      </xdr:nvSpPr>
      <xdr:spPr bwMode="auto">
        <a:xfrm>
          <a:off x="685800" y="16573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66675</xdr:colOff>
      <xdr:row>8</xdr:row>
      <xdr:rowOff>0</xdr:rowOff>
    </xdr:to>
    <xdr:sp macro="" textlink="">
      <xdr:nvSpPr>
        <xdr:cNvPr id="420" name="Text Box 11"/>
        <xdr:cNvSpPr txBox="1">
          <a:spLocks noChangeArrowheads="1"/>
        </xdr:cNvSpPr>
      </xdr:nvSpPr>
      <xdr:spPr bwMode="auto">
        <a:xfrm>
          <a:off x="685800" y="16573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21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22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23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24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25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26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27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28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29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30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31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32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33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34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35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36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37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38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39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40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41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42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43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44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45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46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47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48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49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50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51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52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53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54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55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56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57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58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59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60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61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62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63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64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65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66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67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68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69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70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71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72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73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74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75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76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77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78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79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80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81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82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83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84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85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86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87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88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89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90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91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92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93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94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95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96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97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98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499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00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01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02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03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04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05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06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07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08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09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10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11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12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13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14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15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16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17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18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19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20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21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22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23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24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25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26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27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28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29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30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31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32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33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34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35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36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37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38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39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40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41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42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43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44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45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46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47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48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49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50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51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52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53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54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55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56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57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58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59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60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61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62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63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64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65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66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67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68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69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70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71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72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73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74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75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66675" cy="219075"/>
    <xdr:sp macro="" textlink="">
      <xdr:nvSpPr>
        <xdr:cNvPr id="576" name="Text Box 11"/>
        <xdr:cNvSpPr txBox="1">
          <a:spLocks noChangeArrowheads="1"/>
        </xdr:cNvSpPr>
      </xdr:nvSpPr>
      <xdr:spPr bwMode="auto">
        <a:xfrm>
          <a:off x="685800" y="123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577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578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579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580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581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582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583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584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585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586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587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588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589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590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591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592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593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594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595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596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597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598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599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00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01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02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03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04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05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06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07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08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09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10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11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12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13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14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15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16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17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18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19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20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21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22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23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24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25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26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27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28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29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30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31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32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33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34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35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36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37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38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39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40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41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42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43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44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45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46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47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48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49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50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51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52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53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54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55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56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57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58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59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60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61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62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63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64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65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66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67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68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69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70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71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72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73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74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75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76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77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78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79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80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81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82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83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84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85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86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87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88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89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90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91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92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93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94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95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96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97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98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699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00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01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02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03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04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05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06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07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08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09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10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11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12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13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14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15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16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17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18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19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20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21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22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23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24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25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26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27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28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29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30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31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32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33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34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35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36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37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38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39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40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41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42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43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44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45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46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47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48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49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50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51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52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53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54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55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56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57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58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59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60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61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62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63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64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65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66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67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68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69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70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71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72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73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74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75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76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77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78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79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80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81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82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83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84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66675" cy="209550"/>
    <xdr:sp macro="" textlink="">
      <xdr:nvSpPr>
        <xdr:cNvPr id="785" name="Text Box 11"/>
        <xdr:cNvSpPr txBox="1">
          <a:spLocks noChangeArrowheads="1"/>
        </xdr:cNvSpPr>
      </xdr:nvSpPr>
      <xdr:spPr bwMode="auto">
        <a:xfrm>
          <a:off x="685800" y="33337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66675" cy="209550"/>
    <xdr:sp macro="" textlink="">
      <xdr:nvSpPr>
        <xdr:cNvPr id="786" name="Text Box 11"/>
        <xdr:cNvSpPr txBox="1">
          <a:spLocks noChangeArrowheads="1"/>
        </xdr:cNvSpPr>
      </xdr:nvSpPr>
      <xdr:spPr bwMode="auto">
        <a:xfrm>
          <a:off x="685800" y="33337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66675" cy="209550"/>
    <xdr:sp macro="" textlink="">
      <xdr:nvSpPr>
        <xdr:cNvPr id="787" name="Text Box 11"/>
        <xdr:cNvSpPr txBox="1">
          <a:spLocks noChangeArrowheads="1"/>
        </xdr:cNvSpPr>
      </xdr:nvSpPr>
      <xdr:spPr bwMode="auto">
        <a:xfrm>
          <a:off x="685800" y="33337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66675" cy="209550"/>
    <xdr:sp macro="" textlink="">
      <xdr:nvSpPr>
        <xdr:cNvPr id="788" name="Text Box 11"/>
        <xdr:cNvSpPr txBox="1">
          <a:spLocks noChangeArrowheads="1"/>
        </xdr:cNvSpPr>
      </xdr:nvSpPr>
      <xdr:spPr bwMode="auto">
        <a:xfrm>
          <a:off x="685800" y="33337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66675" cy="209550"/>
    <xdr:sp macro="" textlink="">
      <xdr:nvSpPr>
        <xdr:cNvPr id="789" name="Text Box 11"/>
        <xdr:cNvSpPr txBox="1">
          <a:spLocks noChangeArrowheads="1"/>
        </xdr:cNvSpPr>
      </xdr:nvSpPr>
      <xdr:spPr bwMode="auto">
        <a:xfrm>
          <a:off x="685800" y="33337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90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91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92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93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94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95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96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97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98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66675" cy="219075"/>
    <xdr:sp macro="" textlink="">
      <xdr:nvSpPr>
        <xdr:cNvPr id="799" name="Text Box 11"/>
        <xdr:cNvSpPr txBox="1">
          <a:spLocks noChangeArrowheads="1"/>
        </xdr:cNvSpPr>
      </xdr:nvSpPr>
      <xdr:spPr bwMode="auto">
        <a:xfrm>
          <a:off x="685800" y="2914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66675" cy="209550"/>
    <xdr:sp macro="" textlink="">
      <xdr:nvSpPr>
        <xdr:cNvPr id="800" name="Text Box 11"/>
        <xdr:cNvSpPr txBox="1">
          <a:spLocks noChangeArrowheads="1"/>
        </xdr:cNvSpPr>
      </xdr:nvSpPr>
      <xdr:spPr bwMode="auto">
        <a:xfrm>
          <a:off x="685800" y="33337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66675" cy="209550"/>
    <xdr:sp macro="" textlink="">
      <xdr:nvSpPr>
        <xdr:cNvPr id="801" name="Text Box 11"/>
        <xdr:cNvSpPr txBox="1">
          <a:spLocks noChangeArrowheads="1"/>
        </xdr:cNvSpPr>
      </xdr:nvSpPr>
      <xdr:spPr bwMode="auto">
        <a:xfrm>
          <a:off x="685800" y="33337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66675" cy="209550"/>
    <xdr:sp macro="" textlink="">
      <xdr:nvSpPr>
        <xdr:cNvPr id="802" name="Text Box 11"/>
        <xdr:cNvSpPr txBox="1">
          <a:spLocks noChangeArrowheads="1"/>
        </xdr:cNvSpPr>
      </xdr:nvSpPr>
      <xdr:spPr bwMode="auto">
        <a:xfrm>
          <a:off x="685800" y="33337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66675" cy="209550"/>
    <xdr:sp macro="" textlink="">
      <xdr:nvSpPr>
        <xdr:cNvPr id="803" name="Text Box 11"/>
        <xdr:cNvSpPr txBox="1">
          <a:spLocks noChangeArrowheads="1"/>
        </xdr:cNvSpPr>
      </xdr:nvSpPr>
      <xdr:spPr bwMode="auto">
        <a:xfrm>
          <a:off x="685800" y="33337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47625</xdr:rowOff>
    </xdr:from>
    <xdr:ext cx="66675" cy="161925"/>
    <xdr:sp macro="" textlink="">
      <xdr:nvSpPr>
        <xdr:cNvPr id="804" name="Text Box 11"/>
        <xdr:cNvSpPr txBox="1">
          <a:spLocks noChangeArrowheads="1"/>
        </xdr:cNvSpPr>
      </xdr:nvSpPr>
      <xdr:spPr bwMode="auto">
        <a:xfrm>
          <a:off x="685800" y="3381375"/>
          <a:ext cx="666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66675" cy="209550"/>
    <xdr:sp macro="" textlink="">
      <xdr:nvSpPr>
        <xdr:cNvPr id="805" name="Text Box 11"/>
        <xdr:cNvSpPr txBox="1">
          <a:spLocks noChangeArrowheads="1"/>
        </xdr:cNvSpPr>
      </xdr:nvSpPr>
      <xdr:spPr bwMode="auto">
        <a:xfrm>
          <a:off x="685800" y="31242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66675" cy="209550"/>
    <xdr:sp macro="" textlink="">
      <xdr:nvSpPr>
        <xdr:cNvPr id="806" name="Text Box 11"/>
        <xdr:cNvSpPr txBox="1">
          <a:spLocks noChangeArrowheads="1"/>
        </xdr:cNvSpPr>
      </xdr:nvSpPr>
      <xdr:spPr bwMode="auto">
        <a:xfrm>
          <a:off x="685800" y="31242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66675" cy="209550"/>
    <xdr:sp macro="" textlink="">
      <xdr:nvSpPr>
        <xdr:cNvPr id="807" name="Text Box 11"/>
        <xdr:cNvSpPr txBox="1">
          <a:spLocks noChangeArrowheads="1"/>
        </xdr:cNvSpPr>
      </xdr:nvSpPr>
      <xdr:spPr bwMode="auto">
        <a:xfrm>
          <a:off x="685800" y="31242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66675" cy="209550"/>
    <xdr:sp macro="" textlink="">
      <xdr:nvSpPr>
        <xdr:cNvPr id="808" name="Text Box 11"/>
        <xdr:cNvSpPr txBox="1">
          <a:spLocks noChangeArrowheads="1"/>
        </xdr:cNvSpPr>
      </xdr:nvSpPr>
      <xdr:spPr bwMode="auto">
        <a:xfrm>
          <a:off x="685800" y="31242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66675" cy="209550"/>
    <xdr:sp macro="" textlink="">
      <xdr:nvSpPr>
        <xdr:cNvPr id="809" name="Text Box 11"/>
        <xdr:cNvSpPr txBox="1">
          <a:spLocks noChangeArrowheads="1"/>
        </xdr:cNvSpPr>
      </xdr:nvSpPr>
      <xdr:spPr bwMode="auto">
        <a:xfrm>
          <a:off x="685800" y="31242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66675" cy="209550"/>
    <xdr:sp macro="" textlink="">
      <xdr:nvSpPr>
        <xdr:cNvPr id="810" name="Text Box 11"/>
        <xdr:cNvSpPr txBox="1">
          <a:spLocks noChangeArrowheads="1"/>
        </xdr:cNvSpPr>
      </xdr:nvSpPr>
      <xdr:spPr bwMode="auto">
        <a:xfrm>
          <a:off x="685800" y="31242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66675" cy="209550"/>
    <xdr:sp macro="" textlink="">
      <xdr:nvSpPr>
        <xdr:cNvPr id="811" name="Text Box 11"/>
        <xdr:cNvSpPr txBox="1">
          <a:spLocks noChangeArrowheads="1"/>
        </xdr:cNvSpPr>
      </xdr:nvSpPr>
      <xdr:spPr bwMode="auto">
        <a:xfrm>
          <a:off x="685800" y="31242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66675" cy="209550"/>
    <xdr:sp macro="" textlink="">
      <xdr:nvSpPr>
        <xdr:cNvPr id="812" name="Text Box 11"/>
        <xdr:cNvSpPr txBox="1">
          <a:spLocks noChangeArrowheads="1"/>
        </xdr:cNvSpPr>
      </xdr:nvSpPr>
      <xdr:spPr bwMode="auto">
        <a:xfrm>
          <a:off x="685800" y="31242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66675" cy="209550"/>
    <xdr:sp macro="" textlink="">
      <xdr:nvSpPr>
        <xdr:cNvPr id="813" name="Text Box 11"/>
        <xdr:cNvSpPr txBox="1">
          <a:spLocks noChangeArrowheads="1"/>
        </xdr:cNvSpPr>
      </xdr:nvSpPr>
      <xdr:spPr bwMode="auto">
        <a:xfrm>
          <a:off x="685800" y="31242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66675" cy="209550"/>
    <xdr:sp macro="" textlink="">
      <xdr:nvSpPr>
        <xdr:cNvPr id="814" name="Text Box 11"/>
        <xdr:cNvSpPr txBox="1">
          <a:spLocks noChangeArrowheads="1"/>
        </xdr:cNvSpPr>
      </xdr:nvSpPr>
      <xdr:spPr bwMode="auto">
        <a:xfrm>
          <a:off x="685800" y="31242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66675" cy="209550"/>
    <xdr:sp macro="" textlink="">
      <xdr:nvSpPr>
        <xdr:cNvPr id="815" name="Text Box 11"/>
        <xdr:cNvSpPr txBox="1">
          <a:spLocks noChangeArrowheads="1"/>
        </xdr:cNvSpPr>
      </xdr:nvSpPr>
      <xdr:spPr bwMode="auto">
        <a:xfrm>
          <a:off x="685800" y="31242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66675" cy="209550"/>
    <xdr:sp macro="" textlink="">
      <xdr:nvSpPr>
        <xdr:cNvPr id="816" name="Text Box 11"/>
        <xdr:cNvSpPr txBox="1">
          <a:spLocks noChangeArrowheads="1"/>
        </xdr:cNvSpPr>
      </xdr:nvSpPr>
      <xdr:spPr bwMode="auto">
        <a:xfrm>
          <a:off x="685800" y="31242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66675" cy="209550"/>
    <xdr:sp macro="" textlink="">
      <xdr:nvSpPr>
        <xdr:cNvPr id="817" name="Text Box 11"/>
        <xdr:cNvSpPr txBox="1">
          <a:spLocks noChangeArrowheads="1"/>
        </xdr:cNvSpPr>
      </xdr:nvSpPr>
      <xdr:spPr bwMode="auto">
        <a:xfrm>
          <a:off x="685800" y="31242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66675" cy="209550"/>
    <xdr:sp macro="" textlink="">
      <xdr:nvSpPr>
        <xdr:cNvPr id="818" name="Text Box 11"/>
        <xdr:cNvSpPr txBox="1">
          <a:spLocks noChangeArrowheads="1"/>
        </xdr:cNvSpPr>
      </xdr:nvSpPr>
      <xdr:spPr bwMode="auto">
        <a:xfrm>
          <a:off x="685800" y="31242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66675" cy="209550"/>
    <xdr:sp macro="" textlink="">
      <xdr:nvSpPr>
        <xdr:cNvPr id="819" name="Text Box 11"/>
        <xdr:cNvSpPr txBox="1">
          <a:spLocks noChangeArrowheads="1"/>
        </xdr:cNvSpPr>
      </xdr:nvSpPr>
      <xdr:spPr bwMode="auto">
        <a:xfrm>
          <a:off x="685800" y="31242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66675" cy="209550"/>
    <xdr:sp macro="" textlink="">
      <xdr:nvSpPr>
        <xdr:cNvPr id="820" name="Text Box 11"/>
        <xdr:cNvSpPr txBox="1">
          <a:spLocks noChangeArrowheads="1"/>
        </xdr:cNvSpPr>
      </xdr:nvSpPr>
      <xdr:spPr bwMode="auto">
        <a:xfrm>
          <a:off x="685800" y="31242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66675" cy="209550"/>
    <xdr:sp macro="" textlink="">
      <xdr:nvSpPr>
        <xdr:cNvPr id="821" name="Text Box 11"/>
        <xdr:cNvSpPr txBox="1">
          <a:spLocks noChangeArrowheads="1"/>
        </xdr:cNvSpPr>
      </xdr:nvSpPr>
      <xdr:spPr bwMode="auto">
        <a:xfrm>
          <a:off x="685800" y="31242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66675" cy="209550"/>
    <xdr:sp macro="" textlink="">
      <xdr:nvSpPr>
        <xdr:cNvPr id="822" name="Text Box 11"/>
        <xdr:cNvSpPr txBox="1">
          <a:spLocks noChangeArrowheads="1"/>
        </xdr:cNvSpPr>
      </xdr:nvSpPr>
      <xdr:spPr bwMode="auto">
        <a:xfrm>
          <a:off x="685800" y="31242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66675" cy="209550"/>
    <xdr:sp macro="" textlink="">
      <xdr:nvSpPr>
        <xdr:cNvPr id="823" name="Text Box 11"/>
        <xdr:cNvSpPr txBox="1">
          <a:spLocks noChangeArrowheads="1"/>
        </xdr:cNvSpPr>
      </xdr:nvSpPr>
      <xdr:spPr bwMode="auto">
        <a:xfrm>
          <a:off x="685800" y="31242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66675" cy="209550"/>
    <xdr:sp macro="" textlink="">
      <xdr:nvSpPr>
        <xdr:cNvPr id="824" name="Text Box 11"/>
        <xdr:cNvSpPr txBox="1">
          <a:spLocks noChangeArrowheads="1"/>
        </xdr:cNvSpPr>
      </xdr:nvSpPr>
      <xdr:spPr bwMode="auto">
        <a:xfrm>
          <a:off x="685800" y="31242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66675" cy="209550"/>
    <xdr:sp macro="" textlink="">
      <xdr:nvSpPr>
        <xdr:cNvPr id="825" name="Text Box 11"/>
        <xdr:cNvSpPr txBox="1">
          <a:spLocks noChangeArrowheads="1"/>
        </xdr:cNvSpPr>
      </xdr:nvSpPr>
      <xdr:spPr bwMode="auto">
        <a:xfrm>
          <a:off x="685800" y="31242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66675" cy="209550"/>
    <xdr:sp macro="" textlink="">
      <xdr:nvSpPr>
        <xdr:cNvPr id="826" name="Text Box 11"/>
        <xdr:cNvSpPr txBox="1">
          <a:spLocks noChangeArrowheads="1"/>
        </xdr:cNvSpPr>
      </xdr:nvSpPr>
      <xdr:spPr bwMode="auto">
        <a:xfrm>
          <a:off x="685800" y="31242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66675" cy="209550"/>
    <xdr:sp macro="" textlink="">
      <xdr:nvSpPr>
        <xdr:cNvPr id="827" name="Text Box 11"/>
        <xdr:cNvSpPr txBox="1">
          <a:spLocks noChangeArrowheads="1"/>
        </xdr:cNvSpPr>
      </xdr:nvSpPr>
      <xdr:spPr bwMode="auto">
        <a:xfrm>
          <a:off x="685800" y="31242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66675" cy="209550"/>
    <xdr:sp macro="" textlink="">
      <xdr:nvSpPr>
        <xdr:cNvPr id="828" name="Text Box 11"/>
        <xdr:cNvSpPr txBox="1">
          <a:spLocks noChangeArrowheads="1"/>
        </xdr:cNvSpPr>
      </xdr:nvSpPr>
      <xdr:spPr bwMode="auto">
        <a:xfrm>
          <a:off x="685800" y="31242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66675" cy="209550"/>
    <xdr:sp macro="" textlink="">
      <xdr:nvSpPr>
        <xdr:cNvPr id="829" name="Text Box 11"/>
        <xdr:cNvSpPr txBox="1">
          <a:spLocks noChangeArrowheads="1"/>
        </xdr:cNvSpPr>
      </xdr:nvSpPr>
      <xdr:spPr bwMode="auto">
        <a:xfrm>
          <a:off x="685800" y="31242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30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31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32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33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34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35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36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37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38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39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40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41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42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43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44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45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46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47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48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49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50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51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52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53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54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55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56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57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58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59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60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61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62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63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64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65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66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67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68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69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70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71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72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73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74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75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76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77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78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79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80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81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82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83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84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85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86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87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88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89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90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91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92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93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94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95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96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97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98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899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00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01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02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03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04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05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06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07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08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09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10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11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12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13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14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15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16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17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18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19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20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21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22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23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24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25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26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27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28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29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30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31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32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33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34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35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36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37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38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39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40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41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42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43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44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45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46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47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48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49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50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51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52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53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54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55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56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57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58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59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60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61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62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63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64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65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66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67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68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69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70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71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72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73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74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75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76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77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78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79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80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81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82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83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84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66675" cy="219075"/>
    <xdr:sp macro="" textlink="">
      <xdr:nvSpPr>
        <xdr:cNvPr id="985" name="Text Box 11"/>
        <xdr:cNvSpPr txBox="1">
          <a:spLocks noChangeArrowheads="1"/>
        </xdr:cNvSpPr>
      </xdr:nvSpPr>
      <xdr:spPr bwMode="auto">
        <a:xfrm>
          <a:off x="685800" y="37528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676275</xdr:colOff>
      <xdr:row>22</xdr:row>
      <xdr:rowOff>190500</xdr:rowOff>
    </xdr:from>
    <xdr:ext cx="66675" cy="209550"/>
    <xdr:sp macro="" textlink="">
      <xdr:nvSpPr>
        <xdr:cNvPr id="986" name="Text Box 11"/>
        <xdr:cNvSpPr txBox="1">
          <a:spLocks noChangeArrowheads="1"/>
        </xdr:cNvSpPr>
      </xdr:nvSpPr>
      <xdr:spPr bwMode="auto">
        <a:xfrm>
          <a:off x="676275" y="49911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66675" cy="209550"/>
    <xdr:sp macro="" textlink="">
      <xdr:nvSpPr>
        <xdr:cNvPr id="987" name="Text Box 11"/>
        <xdr:cNvSpPr txBox="1">
          <a:spLocks noChangeArrowheads="1"/>
        </xdr:cNvSpPr>
      </xdr:nvSpPr>
      <xdr:spPr bwMode="auto">
        <a:xfrm>
          <a:off x="685800" y="39624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66675" cy="209550"/>
    <xdr:sp macro="" textlink="">
      <xdr:nvSpPr>
        <xdr:cNvPr id="988" name="Text Box 11"/>
        <xdr:cNvSpPr txBox="1">
          <a:spLocks noChangeArrowheads="1"/>
        </xdr:cNvSpPr>
      </xdr:nvSpPr>
      <xdr:spPr bwMode="auto">
        <a:xfrm>
          <a:off x="685800" y="39624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66675" cy="209550"/>
    <xdr:sp macro="" textlink="">
      <xdr:nvSpPr>
        <xdr:cNvPr id="989" name="Text Box 11"/>
        <xdr:cNvSpPr txBox="1">
          <a:spLocks noChangeArrowheads="1"/>
        </xdr:cNvSpPr>
      </xdr:nvSpPr>
      <xdr:spPr bwMode="auto">
        <a:xfrm>
          <a:off x="685800" y="39624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66675" cy="209550"/>
    <xdr:sp macro="" textlink="">
      <xdr:nvSpPr>
        <xdr:cNvPr id="990" name="Text Box 11"/>
        <xdr:cNvSpPr txBox="1">
          <a:spLocks noChangeArrowheads="1"/>
        </xdr:cNvSpPr>
      </xdr:nvSpPr>
      <xdr:spPr bwMode="auto">
        <a:xfrm>
          <a:off x="685800" y="39624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66675" cy="209550"/>
    <xdr:sp macro="" textlink="">
      <xdr:nvSpPr>
        <xdr:cNvPr id="991" name="Text Box 11"/>
        <xdr:cNvSpPr txBox="1">
          <a:spLocks noChangeArrowheads="1"/>
        </xdr:cNvSpPr>
      </xdr:nvSpPr>
      <xdr:spPr bwMode="auto">
        <a:xfrm>
          <a:off x="685800" y="39624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66675" cy="209550"/>
    <xdr:sp macro="" textlink="">
      <xdr:nvSpPr>
        <xdr:cNvPr id="992" name="Text Box 11"/>
        <xdr:cNvSpPr txBox="1">
          <a:spLocks noChangeArrowheads="1"/>
        </xdr:cNvSpPr>
      </xdr:nvSpPr>
      <xdr:spPr bwMode="auto">
        <a:xfrm>
          <a:off x="685800" y="39624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66675" cy="209550"/>
    <xdr:sp macro="" textlink="">
      <xdr:nvSpPr>
        <xdr:cNvPr id="993" name="Text Box 11"/>
        <xdr:cNvSpPr txBox="1">
          <a:spLocks noChangeArrowheads="1"/>
        </xdr:cNvSpPr>
      </xdr:nvSpPr>
      <xdr:spPr bwMode="auto">
        <a:xfrm>
          <a:off x="685800" y="39624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66675" cy="209550"/>
    <xdr:sp macro="" textlink="">
      <xdr:nvSpPr>
        <xdr:cNvPr id="994" name="Text Box 11"/>
        <xdr:cNvSpPr txBox="1">
          <a:spLocks noChangeArrowheads="1"/>
        </xdr:cNvSpPr>
      </xdr:nvSpPr>
      <xdr:spPr bwMode="auto">
        <a:xfrm>
          <a:off x="685800" y="39624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995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996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997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998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999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00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01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02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03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04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05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06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07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08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09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10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11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12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13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14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15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16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17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18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19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20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21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22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23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24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25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26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27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28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29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30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31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32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33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34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36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37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38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39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40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41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42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43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44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45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46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47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48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49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50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51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52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53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54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55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56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57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58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59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60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61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62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63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64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65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66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67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68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69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70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71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72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73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74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75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76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77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78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79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80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81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82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83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84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85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86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87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88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89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90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91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92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93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94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95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96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97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98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099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100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101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102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103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104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105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106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107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108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109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110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111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112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113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114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115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116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117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118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119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120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121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122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123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124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125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126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127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128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129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130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131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132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133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134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135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136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137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138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139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140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141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142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143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144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145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146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147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148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149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66675" cy="219075"/>
    <xdr:sp macro="" textlink="">
      <xdr:nvSpPr>
        <xdr:cNvPr id="1150" name="Text Box 11"/>
        <xdr:cNvSpPr txBox="1">
          <a:spLocks noChangeArrowheads="1"/>
        </xdr:cNvSpPr>
      </xdr:nvSpPr>
      <xdr:spPr bwMode="auto">
        <a:xfrm>
          <a:off x="685800" y="3543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0</xdr:col>
      <xdr:colOff>609600</xdr:colOff>
      <xdr:row>11</xdr:row>
      <xdr:rowOff>28575</xdr:rowOff>
    </xdr:from>
    <xdr:to>
      <xdr:col>0</xdr:col>
      <xdr:colOff>676275</xdr:colOff>
      <xdr:row>12</xdr:row>
      <xdr:rowOff>28575</xdr:rowOff>
    </xdr:to>
    <xdr:sp macro="" textlink="">
      <xdr:nvSpPr>
        <xdr:cNvPr id="1151" name="Text Box 11"/>
        <xdr:cNvSpPr txBox="1">
          <a:spLocks noChangeArrowheads="1"/>
        </xdr:cNvSpPr>
      </xdr:nvSpPr>
      <xdr:spPr bwMode="auto">
        <a:xfrm>
          <a:off x="609600" y="2524125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676275</xdr:colOff>
      <xdr:row>11</xdr:row>
      <xdr:rowOff>190500</xdr:rowOff>
    </xdr:from>
    <xdr:to>
      <xdr:col>1</xdr:col>
      <xdr:colOff>57150</xdr:colOff>
      <xdr:row>12</xdr:row>
      <xdr:rowOff>190500</xdr:rowOff>
    </xdr:to>
    <xdr:sp macro="" textlink="">
      <xdr:nvSpPr>
        <xdr:cNvPr id="1152" name="Text Box 11"/>
        <xdr:cNvSpPr txBox="1">
          <a:spLocks noChangeArrowheads="1"/>
        </xdr:cNvSpPr>
      </xdr:nvSpPr>
      <xdr:spPr bwMode="auto">
        <a:xfrm>
          <a:off x="676275" y="268605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609600</xdr:colOff>
      <xdr:row>22</xdr:row>
      <xdr:rowOff>28575</xdr:rowOff>
    </xdr:from>
    <xdr:ext cx="66675" cy="209550"/>
    <xdr:sp macro="" textlink="">
      <xdr:nvSpPr>
        <xdr:cNvPr id="1153" name="Text Box 11"/>
        <xdr:cNvSpPr txBox="1">
          <a:spLocks noChangeArrowheads="1"/>
        </xdr:cNvSpPr>
      </xdr:nvSpPr>
      <xdr:spPr bwMode="auto">
        <a:xfrm>
          <a:off x="609600" y="4829175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676275</xdr:colOff>
      <xdr:row>22</xdr:row>
      <xdr:rowOff>190500</xdr:rowOff>
    </xdr:from>
    <xdr:ext cx="66675" cy="209550"/>
    <xdr:sp macro="" textlink="">
      <xdr:nvSpPr>
        <xdr:cNvPr id="1154" name="Text Box 11"/>
        <xdr:cNvSpPr txBox="1">
          <a:spLocks noChangeArrowheads="1"/>
        </xdr:cNvSpPr>
      </xdr:nvSpPr>
      <xdr:spPr bwMode="auto">
        <a:xfrm>
          <a:off x="676275" y="4991100"/>
          <a:ext cx="666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22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H98"/>
  <sheetViews>
    <sheetView zoomScale="85" zoomScaleNormal="85" workbookViewId="0">
      <pane xSplit="2" ySplit="1" topLeftCell="I20" activePane="bottomRight" state="frozen"/>
      <selection pane="topRight" activeCell="C1" sqref="C1"/>
      <selection pane="bottomLeft" activeCell="A2" sqref="A2"/>
      <selection pane="bottomRight" activeCell="O48" sqref="O48"/>
    </sheetView>
  </sheetViews>
  <sheetFormatPr defaultRowHeight="14.4" customHeight="1"/>
  <cols>
    <col min="2" max="2" width="25.296875" customWidth="1"/>
    <col min="3" max="3" width="15.8984375" customWidth="1"/>
    <col min="4" max="4" width="14.796875" bestFit="1" customWidth="1"/>
    <col min="5" max="5" width="3.3984375" customWidth="1"/>
    <col min="6" max="8" width="8.296875" bestFit="1" customWidth="1"/>
    <col min="9" max="9" width="5.3984375" customWidth="1"/>
    <col min="10" max="13" width="14.19921875" customWidth="1"/>
    <col min="14" max="14" width="6.3984375" customWidth="1"/>
    <col min="15" max="15" width="7.09765625" bestFit="1" customWidth="1"/>
    <col min="16" max="16" width="8.19921875" bestFit="1" customWidth="1"/>
    <col min="17" max="17" width="57.09765625" customWidth="1"/>
    <col min="19" max="19" width="17.59765625" bestFit="1" customWidth="1"/>
    <col min="23" max="23" width="12" bestFit="1" customWidth="1"/>
    <col min="24" max="24" width="20.8984375" bestFit="1" customWidth="1"/>
    <col min="28" max="28" width="17.59765625" bestFit="1" customWidth="1"/>
    <col min="32" max="32" width="34.3984375" bestFit="1" customWidth="1"/>
  </cols>
  <sheetData>
    <row r="1" spans="2:34" ht="14.4" customHeight="1" thickBot="1">
      <c r="C1" s="261" t="s">
        <v>957</v>
      </c>
      <c r="D1" s="262"/>
      <c r="E1" s="262"/>
      <c r="F1" s="262"/>
      <c r="G1" s="262"/>
      <c r="H1" s="263"/>
      <c r="I1" s="202"/>
      <c r="J1" s="268" t="s">
        <v>759</v>
      </c>
      <c r="K1" s="268"/>
      <c r="L1" s="268"/>
      <c r="M1" s="268"/>
    </row>
    <row r="2" spans="2:34" ht="14.4" customHeight="1">
      <c r="B2" s="123" t="s">
        <v>286</v>
      </c>
      <c r="C2" s="257" t="s">
        <v>741</v>
      </c>
      <c r="D2" s="256" t="s">
        <v>746</v>
      </c>
      <c r="E2" s="258"/>
      <c r="F2" s="258"/>
      <c r="G2" s="258"/>
      <c r="H2" s="259"/>
      <c r="J2" s="264" t="s">
        <v>755</v>
      </c>
      <c r="K2" s="265"/>
      <c r="L2" s="266" t="s">
        <v>754</v>
      </c>
      <c r="M2" s="267"/>
      <c r="P2" t="s">
        <v>339</v>
      </c>
    </row>
    <row r="3" spans="2:34" ht="14.4" customHeight="1">
      <c r="B3" s="89" t="s">
        <v>193</v>
      </c>
      <c r="C3" s="90">
        <v>447</v>
      </c>
      <c r="D3" s="90">
        <v>244</v>
      </c>
      <c r="E3" s="90"/>
      <c r="F3" s="90">
        <v>240</v>
      </c>
      <c r="G3" s="90">
        <v>300</v>
      </c>
      <c r="H3" s="90">
        <v>498</v>
      </c>
      <c r="I3" s="90"/>
      <c r="J3" s="207">
        <v>1250</v>
      </c>
      <c r="K3" s="90">
        <v>1250</v>
      </c>
      <c r="L3" s="90">
        <v>940</v>
      </c>
      <c r="M3" s="228">
        <v>940</v>
      </c>
      <c r="N3" s="90"/>
      <c r="O3" s="32" t="s">
        <v>12</v>
      </c>
      <c r="P3" s="186">
        <v>1</v>
      </c>
      <c r="Q3" s="127" t="s">
        <v>314</v>
      </c>
      <c r="S3" s="269" t="s">
        <v>340</v>
      </c>
      <c r="T3" s="269"/>
      <c r="U3" s="269"/>
      <c r="V3" s="269"/>
      <c r="W3" s="11"/>
      <c r="X3" s="270" t="s">
        <v>341</v>
      </c>
      <c r="Y3" s="270"/>
      <c r="Z3" s="270"/>
      <c r="AA3" s="11"/>
      <c r="AB3" s="270" t="s">
        <v>342</v>
      </c>
      <c r="AC3" s="270"/>
      <c r="AD3" s="270"/>
      <c r="AE3" s="11"/>
      <c r="AF3" s="269" t="s">
        <v>343</v>
      </c>
      <c r="AG3" s="269"/>
      <c r="AH3" s="269"/>
    </row>
    <row r="4" spans="2:34" ht="14.4" customHeight="1">
      <c r="B4" s="89" t="s">
        <v>194</v>
      </c>
      <c r="C4" s="90">
        <v>440</v>
      </c>
      <c r="D4" s="90">
        <v>440</v>
      </c>
      <c r="E4" s="90"/>
      <c r="F4" s="90">
        <v>440</v>
      </c>
      <c r="G4" s="90">
        <v>440</v>
      </c>
      <c r="H4" s="90">
        <v>440</v>
      </c>
      <c r="I4" s="90"/>
      <c r="J4" s="207">
        <v>460</v>
      </c>
      <c r="K4" s="90">
        <v>460</v>
      </c>
      <c r="L4" s="90">
        <v>460</v>
      </c>
      <c r="M4" s="228">
        <v>460</v>
      </c>
      <c r="N4" s="90"/>
      <c r="O4" s="32" t="s">
        <v>0</v>
      </c>
      <c r="P4" s="186">
        <v>2</v>
      </c>
      <c r="Q4" s="127" t="s">
        <v>315</v>
      </c>
      <c r="S4" s="13" t="s">
        <v>344</v>
      </c>
      <c r="T4" s="14">
        <v>3</v>
      </c>
      <c r="U4" s="14"/>
      <c r="V4" s="13" t="s">
        <v>345</v>
      </c>
      <c r="W4" s="11"/>
      <c r="X4" s="13" t="s">
        <v>346</v>
      </c>
      <c r="Y4" s="14">
        <v>600</v>
      </c>
      <c r="Z4" s="13" t="s">
        <v>0</v>
      </c>
      <c r="AA4" s="11"/>
      <c r="AB4" s="13" t="s">
        <v>42</v>
      </c>
      <c r="AC4" s="65" t="s">
        <v>347</v>
      </c>
      <c r="AD4" s="65"/>
      <c r="AE4" s="11"/>
      <c r="AF4" s="15" t="s">
        <v>348</v>
      </c>
      <c r="AG4" s="14">
        <v>200</v>
      </c>
      <c r="AH4" s="15" t="s">
        <v>349</v>
      </c>
    </row>
    <row r="5" spans="2:34" ht="14.4" customHeight="1">
      <c r="B5" s="89" t="s">
        <v>195</v>
      </c>
      <c r="C5" s="91">
        <v>0.9</v>
      </c>
      <c r="D5" s="91">
        <v>0.9</v>
      </c>
      <c r="E5" s="91"/>
      <c r="F5" s="91">
        <v>0.9</v>
      </c>
      <c r="G5" s="91">
        <v>0.9</v>
      </c>
      <c r="H5" s="91">
        <v>0.9</v>
      </c>
      <c r="I5" s="91"/>
      <c r="J5" s="209">
        <v>0.9</v>
      </c>
      <c r="K5" s="91">
        <v>0.9</v>
      </c>
      <c r="L5" s="91">
        <v>0.9</v>
      </c>
      <c r="M5" s="222">
        <v>0.9</v>
      </c>
      <c r="N5" s="91"/>
      <c r="O5" s="32"/>
      <c r="P5" s="186"/>
      <c r="Q5" s="32" t="s">
        <v>316</v>
      </c>
      <c r="S5" s="13" t="s">
        <v>5</v>
      </c>
      <c r="T5" s="14">
        <v>50</v>
      </c>
      <c r="U5" s="14"/>
      <c r="V5" s="13" t="s">
        <v>350</v>
      </c>
      <c r="W5" s="11"/>
      <c r="X5" s="13" t="s">
        <v>351</v>
      </c>
      <c r="Y5" s="14">
        <v>0.23</v>
      </c>
      <c r="Z5" s="13" t="s">
        <v>352</v>
      </c>
      <c r="AA5" s="11"/>
      <c r="AB5" s="16" t="s">
        <v>353</v>
      </c>
      <c r="AC5" s="17">
        <v>1.75</v>
      </c>
      <c r="AD5" s="16" t="s">
        <v>186</v>
      </c>
      <c r="AE5" s="11"/>
      <c r="AF5" s="15" t="s">
        <v>354</v>
      </c>
      <c r="AG5" s="14">
        <v>7200</v>
      </c>
      <c r="AH5" s="15" t="s">
        <v>355</v>
      </c>
    </row>
    <row r="6" spans="2:34" ht="14.4" customHeight="1">
      <c r="B6" s="89" t="s">
        <v>196</v>
      </c>
      <c r="C6" s="92">
        <f t="shared" ref="C6" si="0">ROUND(C3*1000/(C4*0.9)/(3^0.5)/C5,1)</f>
        <v>724.1</v>
      </c>
      <c r="D6" s="92">
        <f t="shared" ref="D6" si="1">ROUND(D3*1000/(D4*0.9)/(3^0.5)/D5,1)</f>
        <v>395.3</v>
      </c>
      <c r="E6" s="92"/>
      <c r="F6" s="92">
        <f t="shared" ref="F6" si="2">ROUND(F3*1000/(F4*0.9)/(3^0.5)/F5,1)</f>
        <v>388.8</v>
      </c>
      <c r="G6" s="92">
        <f t="shared" ref="G6:H6" si="3">ROUND(G3*1000/(G4*0.9)/(3^0.5)/G5,1)</f>
        <v>486</v>
      </c>
      <c r="H6" s="92">
        <f t="shared" si="3"/>
        <v>806.7</v>
      </c>
      <c r="I6" s="92"/>
      <c r="J6" s="210">
        <f t="shared" ref="J6:M6" si="4">ROUND(J3*1000/(J4*0.9)/(3^0.5)/J5,1)</f>
        <v>1936.9</v>
      </c>
      <c r="K6" s="92">
        <f t="shared" si="4"/>
        <v>1936.9</v>
      </c>
      <c r="L6" s="92">
        <f t="shared" si="4"/>
        <v>1456.5</v>
      </c>
      <c r="M6" s="223">
        <f t="shared" si="4"/>
        <v>1456.5</v>
      </c>
      <c r="N6" s="92"/>
      <c r="O6" s="32" t="s">
        <v>45</v>
      </c>
      <c r="P6" s="186"/>
      <c r="Q6" s="32" t="s">
        <v>317</v>
      </c>
      <c r="S6" s="13" t="s">
        <v>356</v>
      </c>
      <c r="T6" s="14">
        <v>40</v>
      </c>
      <c r="U6" s="14"/>
      <c r="V6" s="13" t="s">
        <v>350</v>
      </c>
      <c r="W6" s="11"/>
      <c r="X6" s="13" t="s">
        <v>357</v>
      </c>
      <c r="Y6" s="14">
        <v>48</v>
      </c>
      <c r="Z6" s="13" t="s">
        <v>358</v>
      </c>
      <c r="AA6" s="11"/>
      <c r="AB6" s="16" t="s">
        <v>47</v>
      </c>
      <c r="AC6" s="18">
        <v>3.8999999999999998E-3</v>
      </c>
      <c r="AD6" s="16" t="s">
        <v>48</v>
      </c>
      <c r="AE6" s="11"/>
      <c r="AF6" s="15" t="s">
        <v>359</v>
      </c>
      <c r="AG6" s="14">
        <v>12800</v>
      </c>
      <c r="AH6" s="15" t="s">
        <v>360</v>
      </c>
    </row>
    <row r="7" spans="2:34" ht="14.4" customHeight="1">
      <c r="B7" s="89" t="s">
        <v>197</v>
      </c>
      <c r="C7" s="93">
        <v>2</v>
      </c>
      <c r="D7" s="93">
        <v>2</v>
      </c>
      <c r="E7" s="93"/>
      <c r="F7" s="93">
        <v>2</v>
      </c>
      <c r="G7" s="93">
        <v>2</v>
      </c>
      <c r="H7" s="93">
        <v>2</v>
      </c>
      <c r="I7" s="93"/>
      <c r="J7" s="211">
        <v>2</v>
      </c>
      <c r="K7" s="93">
        <v>2</v>
      </c>
      <c r="L7" s="93">
        <v>2</v>
      </c>
      <c r="M7" s="224">
        <v>2</v>
      </c>
      <c r="N7" s="93"/>
      <c r="O7" s="32" t="s">
        <v>219</v>
      </c>
      <c r="P7" s="186"/>
      <c r="Q7" s="32"/>
      <c r="S7" s="13" t="s">
        <v>361</v>
      </c>
      <c r="T7" s="19">
        <f>(T5*T4)*(T5*T4)/(101.6*(4.5*T5+10*T6))</f>
        <v>0.3543307086614173</v>
      </c>
      <c r="U7" s="19"/>
      <c r="V7" s="13" t="s">
        <v>349</v>
      </c>
      <c r="W7" s="11"/>
      <c r="X7" s="13" t="s">
        <v>362</v>
      </c>
      <c r="Y7" s="14">
        <v>45000</v>
      </c>
      <c r="Z7" s="13" t="s">
        <v>363</v>
      </c>
      <c r="AA7" s="11"/>
      <c r="AB7" s="16" t="s">
        <v>49</v>
      </c>
      <c r="AC7" s="20">
        <v>20</v>
      </c>
      <c r="AD7" s="16" t="s">
        <v>50</v>
      </c>
      <c r="AE7" s="11"/>
      <c r="AF7" s="15" t="s">
        <v>51</v>
      </c>
      <c r="AG7" s="14">
        <v>645</v>
      </c>
      <c r="AH7" s="15" t="s">
        <v>364</v>
      </c>
    </row>
    <row r="8" spans="2:34" ht="14.4" customHeight="1">
      <c r="B8" s="89" t="s">
        <v>198</v>
      </c>
      <c r="C8" s="93">
        <f t="shared" ref="C8" si="5">ROUND(C6/C7,0)</f>
        <v>362</v>
      </c>
      <c r="D8" s="93">
        <f t="shared" ref="D8" si="6">ROUND(D6/D7,0)</f>
        <v>198</v>
      </c>
      <c r="E8" s="93"/>
      <c r="F8" s="93">
        <f t="shared" ref="F8" si="7">ROUND(F6/F7,0)</f>
        <v>194</v>
      </c>
      <c r="G8" s="93">
        <f t="shared" ref="G8:H8" si="8">ROUND(G6/G7,0)</f>
        <v>243</v>
      </c>
      <c r="H8" s="93">
        <f t="shared" si="8"/>
        <v>403</v>
      </c>
      <c r="I8" s="93"/>
      <c r="J8" s="211">
        <f t="shared" ref="J8:M8" si="9">ROUND(J6/J7,0)</f>
        <v>968</v>
      </c>
      <c r="K8" s="93">
        <f t="shared" si="9"/>
        <v>968</v>
      </c>
      <c r="L8" s="93">
        <f t="shared" si="9"/>
        <v>728</v>
      </c>
      <c r="M8" s="224">
        <f t="shared" si="9"/>
        <v>728</v>
      </c>
      <c r="N8" s="93"/>
      <c r="O8" s="32" t="s">
        <v>220</v>
      </c>
      <c r="P8" s="186"/>
      <c r="Q8" s="32"/>
      <c r="S8" s="13" t="s">
        <v>365</v>
      </c>
      <c r="T8" s="14">
        <v>100</v>
      </c>
      <c r="U8" s="14"/>
      <c r="V8" s="13" t="s">
        <v>2</v>
      </c>
      <c r="W8" s="11"/>
      <c r="X8" s="13" t="s">
        <v>366</v>
      </c>
      <c r="Y8" s="21">
        <f>(5000*Y4)/(Y5*Y6*Y7)</f>
        <v>6.0386473429951684</v>
      </c>
      <c r="Z8" s="13" t="s">
        <v>367</v>
      </c>
      <c r="AA8" s="11"/>
      <c r="AB8" s="16" t="s">
        <v>368</v>
      </c>
      <c r="AC8" s="18">
        <f>AC5*(1+AC6*(AC7-20))</f>
        <v>1.75</v>
      </c>
      <c r="AD8" s="16" t="s">
        <v>369</v>
      </c>
      <c r="AE8" s="11"/>
      <c r="AF8" s="15" t="s">
        <v>370</v>
      </c>
      <c r="AG8" s="21">
        <f>SQRT(AG7^2+AG4*AG5^2/AG6)</f>
        <v>1107.2601320376345</v>
      </c>
      <c r="AH8" s="15" t="s">
        <v>0</v>
      </c>
    </row>
    <row r="9" spans="2:34" ht="14.4" customHeight="1">
      <c r="B9" s="89"/>
      <c r="C9" s="94"/>
      <c r="D9" s="94"/>
      <c r="E9" s="94"/>
      <c r="F9" s="94"/>
      <c r="G9" s="94"/>
      <c r="H9" s="94"/>
      <c r="I9" s="94"/>
      <c r="J9" s="212"/>
      <c r="K9" s="94"/>
      <c r="L9" s="94"/>
      <c r="M9" s="225"/>
      <c r="N9" s="94"/>
      <c r="O9" s="32"/>
      <c r="P9" s="186"/>
      <c r="Q9" s="32"/>
      <c r="S9" s="13" t="s">
        <v>371</v>
      </c>
      <c r="T9" s="19">
        <f>T7*T8/100</f>
        <v>0.35433070866141736</v>
      </c>
      <c r="U9" s="19"/>
      <c r="V9" s="13" t="s">
        <v>349</v>
      </c>
      <c r="W9" s="11"/>
      <c r="X9" s="11"/>
      <c r="Y9" s="11"/>
      <c r="Z9" s="11"/>
      <c r="AA9" s="11"/>
      <c r="AB9" s="16" t="s">
        <v>372</v>
      </c>
      <c r="AC9" s="22">
        <f>1/(AC8/100000000)</f>
        <v>57142857.142857142</v>
      </c>
      <c r="AD9" s="16" t="s">
        <v>373</v>
      </c>
      <c r="AE9" s="11"/>
      <c r="AF9" s="11"/>
      <c r="AG9" s="11"/>
      <c r="AH9" s="11"/>
    </row>
    <row r="10" spans="2:34" ht="14.4" customHeight="1">
      <c r="B10" s="89" t="s">
        <v>199</v>
      </c>
      <c r="C10" s="92">
        <f t="shared" ref="C10" si="10">ROUND(C4*2^0.5*0.93,1)</f>
        <v>578.70000000000005</v>
      </c>
      <c r="D10" s="92">
        <f t="shared" ref="D10" si="11">ROUND(D4*2^0.5*0.93,1)</f>
        <v>578.70000000000005</v>
      </c>
      <c r="E10" s="92"/>
      <c r="F10" s="92">
        <f t="shared" ref="F10" si="12">ROUND(F4*2^0.5*0.93,1)</f>
        <v>578.70000000000005</v>
      </c>
      <c r="G10" s="92">
        <f t="shared" ref="G10:H10" si="13">ROUND(G4*2^0.5*0.93,1)</f>
        <v>578.70000000000005</v>
      </c>
      <c r="H10" s="92">
        <f t="shared" si="13"/>
        <v>578.70000000000005</v>
      </c>
      <c r="I10" s="92"/>
      <c r="J10" s="210">
        <f t="shared" ref="J10:M10" si="14">ROUND(J4*2^0.5*0.93,1)</f>
        <v>605</v>
      </c>
      <c r="K10" s="92">
        <f t="shared" si="14"/>
        <v>605</v>
      </c>
      <c r="L10" s="92">
        <f t="shared" si="14"/>
        <v>605</v>
      </c>
      <c r="M10" s="223">
        <f t="shared" si="14"/>
        <v>605</v>
      </c>
      <c r="N10" s="92"/>
      <c r="O10" s="32" t="s">
        <v>0</v>
      </c>
      <c r="P10" s="186"/>
      <c r="Q10" s="32" t="s">
        <v>318</v>
      </c>
      <c r="S10" s="15" t="s">
        <v>374</v>
      </c>
      <c r="T10" s="14">
        <v>0.01</v>
      </c>
      <c r="U10" s="14"/>
      <c r="V10" s="13" t="s">
        <v>349</v>
      </c>
      <c r="W10" s="11"/>
      <c r="X10" s="270" t="s">
        <v>375</v>
      </c>
      <c r="Y10" s="270"/>
      <c r="Z10" s="270"/>
      <c r="AA10" s="11"/>
      <c r="AB10" s="16" t="s">
        <v>376</v>
      </c>
      <c r="AC10" s="65">
        <v>1</v>
      </c>
      <c r="AD10" s="16" t="s">
        <v>377</v>
      </c>
      <c r="AE10" s="11"/>
      <c r="AF10" s="269" t="s">
        <v>378</v>
      </c>
      <c r="AG10" s="269"/>
      <c r="AH10" s="269"/>
    </row>
    <row r="11" spans="2:34" ht="14.4" customHeight="1">
      <c r="B11" s="89" t="s">
        <v>200</v>
      </c>
      <c r="C11" s="92">
        <f t="shared" ref="C11" si="15">ROUND(C3*1000/C10,1)</f>
        <v>772.4</v>
      </c>
      <c r="D11" s="92">
        <f t="shared" ref="D11" si="16">ROUND(D3*1000/D10,1)</f>
        <v>421.6</v>
      </c>
      <c r="E11" s="92"/>
      <c r="F11" s="92">
        <f t="shared" ref="F11" si="17">ROUND(F3*1000/F10,1)</f>
        <v>414.7</v>
      </c>
      <c r="G11" s="92">
        <f t="shared" ref="G11:H11" si="18">ROUND(G3*1000/G10,1)</f>
        <v>518.4</v>
      </c>
      <c r="H11" s="92">
        <f t="shared" si="18"/>
        <v>860.5</v>
      </c>
      <c r="I11" s="92"/>
      <c r="J11" s="210">
        <f t="shared" ref="J11:M11" si="19">ROUND(J3*1000/J10,1)</f>
        <v>2066.1</v>
      </c>
      <c r="K11" s="92">
        <f t="shared" si="19"/>
        <v>2066.1</v>
      </c>
      <c r="L11" s="92">
        <f t="shared" si="19"/>
        <v>1553.7</v>
      </c>
      <c r="M11" s="223">
        <f t="shared" si="19"/>
        <v>1553.7</v>
      </c>
      <c r="N11" s="92"/>
      <c r="O11" s="32" t="s">
        <v>45</v>
      </c>
      <c r="P11" s="186"/>
      <c r="Q11" s="32" t="s">
        <v>319</v>
      </c>
      <c r="S11" s="15" t="s">
        <v>379</v>
      </c>
      <c r="T11" s="14">
        <v>1</v>
      </c>
      <c r="U11" s="14"/>
      <c r="V11" s="13" t="s">
        <v>380</v>
      </c>
      <c r="W11" s="11"/>
      <c r="X11" s="13" t="s">
        <v>381</v>
      </c>
      <c r="Y11" s="14">
        <v>74.3</v>
      </c>
      <c r="Z11" s="13" t="s">
        <v>360</v>
      </c>
      <c r="AA11" s="11"/>
      <c r="AB11" s="16" t="s">
        <v>53</v>
      </c>
      <c r="AC11" s="23">
        <v>65000</v>
      </c>
      <c r="AD11" s="16" t="s">
        <v>382</v>
      </c>
      <c r="AE11" s="11"/>
      <c r="AF11" s="13" t="s">
        <v>359</v>
      </c>
      <c r="AG11" s="14">
        <v>9284</v>
      </c>
      <c r="AH11" s="13" t="s">
        <v>13</v>
      </c>
    </row>
    <row r="12" spans="2:34" ht="14.4" customHeight="1">
      <c r="B12" s="89"/>
      <c r="C12" s="94"/>
      <c r="D12" s="94"/>
      <c r="E12" s="94"/>
      <c r="F12" s="94"/>
      <c r="G12" s="94"/>
      <c r="H12" s="94"/>
      <c r="I12" s="94"/>
      <c r="J12" s="212"/>
      <c r="K12" s="94"/>
      <c r="L12" s="94"/>
      <c r="M12" s="225"/>
      <c r="N12" s="94"/>
      <c r="O12" s="32"/>
      <c r="P12" s="186"/>
      <c r="Q12" s="32"/>
      <c r="S12" s="15" t="s">
        <v>383</v>
      </c>
      <c r="T12" s="14">
        <v>1</v>
      </c>
      <c r="U12" s="14"/>
      <c r="V12" s="13" t="s">
        <v>385</v>
      </c>
      <c r="W12" s="11"/>
      <c r="X12" s="13" t="s">
        <v>387</v>
      </c>
      <c r="Y12" s="14">
        <v>2.67</v>
      </c>
      <c r="Z12" s="13" t="s">
        <v>9</v>
      </c>
      <c r="AA12" s="11"/>
      <c r="AB12" s="16" t="s">
        <v>388</v>
      </c>
      <c r="AC12" s="130">
        <f>503.3*SQRT((AC8/100000000)/(AC10*AC11))*1000</f>
        <v>0.26114954675287255</v>
      </c>
      <c r="AD12" s="16" t="s">
        <v>188</v>
      </c>
      <c r="AE12" s="11"/>
      <c r="AF12" s="13" t="s">
        <v>389</v>
      </c>
      <c r="AG12" s="14">
        <v>675</v>
      </c>
      <c r="AH12" s="13" t="s">
        <v>364</v>
      </c>
    </row>
    <row r="13" spans="2:34" ht="14.4" customHeight="1">
      <c r="B13" s="95" t="s">
        <v>201</v>
      </c>
      <c r="C13" s="94"/>
      <c r="D13" s="94"/>
      <c r="E13" s="94"/>
      <c r="F13" s="94"/>
      <c r="G13" s="94"/>
      <c r="H13" s="94"/>
      <c r="I13" s="94"/>
      <c r="J13" s="212">
        <f>(J22/C22)^0.5*C21</f>
        <v>11.821702654772192</v>
      </c>
      <c r="K13" s="94"/>
      <c r="L13" s="212">
        <f>(L22/C22)^0.5*C21</f>
        <v>11.735782414992389</v>
      </c>
      <c r="M13" s="225"/>
      <c r="N13" s="94"/>
      <c r="O13" s="32"/>
      <c r="P13" s="186"/>
      <c r="Q13" s="32"/>
      <c r="S13" s="15" t="s">
        <v>390</v>
      </c>
      <c r="T13" s="131">
        <v>1</v>
      </c>
      <c r="U13" s="131"/>
      <c r="V13" s="13" t="s">
        <v>391</v>
      </c>
      <c r="W13" s="11"/>
      <c r="X13" s="13" t="s">
        <v>54</v>
      </c>
      <c r="Y13" s="21">
        <f>1/(2*3.14*SQRT((Y11/1000000)*(Y12/1000000)))</f>
        <v>11305.514171052879</v>
      </c>
      <c r="Z13" s="13" t="s">
        <v>392</v>
      </c>
      <c r="AA13" s="11"/>
      <c r="AB13" s="16" t="s">
        <v>55</v>
      </c>
      <c r="AC13" s="25">
        <v>6126</v>
      </c>
      <c r="AD13" s="16" t="s">
        <v>393</v>
      </c>
      <c r="AE13" s="11"/>
      <c r="AF13" s="13" t="s">
        <v>354</v>
      </c>
      <c r="AG13" s="14">
        <v>4300</v>
      </c>
      <c r="AH13" s="13" t="s">
        <v>355</v>
      </c>
    </row>
    <row r="14" spans="2:34" ht="14.4" customHeight="1">
      <c r="B14" s="102" t="s">
        <v>225</v>
      </c>
      <c r="C14" s="96">
        <v>3.92</v>
      </c>
      <c r="D14" s="96">
        <v>3.92</v>
      </c>
      <c r="E14" s="96"/>
      <c r="F14" s="96">
        <v>4.05</v>
      </c>
      <c r="G14" s="96">
        <v>4.1399999999999997</v>
      </c>
      <c r="H14" s="96">
        <v>4.1100000000000003</v>
      </c>
      <c r="I14" s="96"/>
      <c r="J14" s="208">
        <v>3.9</v>
      </c>
      <c r="K14" s="96">
        <v>3.92</v>
      </c>
      <c r="L14" s="96">
        <v>3.92</v>
      </c>
      <c r="M14" s="226">
        <v>3.92</v>
      </c>
      <c r="N14" s="96"/>
      <c r="O14" s="32" t="s">
        <v>9</v>
      </c>
      <c r="P14" s="186">
        <v>3</v>
      </c>
      <c r="Q14" s="127" t="s">
        <v>320</v>
      </c>
      <c r="S14" s="15" t="s">
        <v>394</v>
      </c>
      <c r="T14" s="132">
        <f>T9/T12*T13*T11^2+T10</f>
        <v>0.36433070866141737</v>
      </c>
      <c r="U14" s="132"/>
      <c r="V14" s="13" t="s">
        <v>9</v>
      </c>
      <c r="W14" s="11"/>
      <c r="X14" s="11"/>
      <c r="Y14" s="11"/>
      <c r="Z14" s="11"/>
      <c r="AA14" s="11"/>
      <c r="AB14" s="16" t="s">
        <v>56</v>
      </c>
      <c r="AC14" s="25">
        <v>5</v>
      </c>
      <c r="AD14" s="16" t="s">
        <v>393</v>
      </c>
      <c r="AE14" s="11"/>
      <c r="AF14" s="13" t="s">
        <v>395</v>
      </c>
      <c r="AG14" s="14">
        <v>800</v>
      </c>
      <c r="AH14" s="13" t="s">
        <v>363</v>
      </c>
    </row>
    <row r="15" spans="2:34" ht="14.4" customHeight="1">
      <c r="B15" s="102" t="s">
        <v>226</v>
      </c>
      <c r="C15" s="206">
        <v>7.65</v>
      </c>
      <c r="D15" s="206">
        <v>7.1</v>
      </c>
      <c r="E15" s="96"/>
      <c r="F15" s="206">
        <v>7.03</v>
      </c>
      <c r="G15" s="206">
        <v>7.52</v>
      </c>
      <c r="H15" s="206">
        <v>7.79</v>
      </c>
      <c r="I15" s="206"/>
      <c r="J15" s="208">
        <v>9.4499999999999993</v>
      </c>
      <c r="K15" s="96">
        <v>9.4499999999999993</v>
      </c>
      <c r="L15" s="96">
        <v>10.34</v>
      </c>
      <c r="M15" s="226">
        <v>10.34</v>
      </c>
      <c r="N15" s="96"/>
      <c r="O15" s="32" t="s">
        <v>9</v>
      </c>
      <c r="P15" s="186">
        <v>6</v>
      </c>
      <c r="Q15" s="127" t="s">
        <v>337</v>
      </c>
      <c r="S15" s="11"/>
      <c r="T15" s="11"/>
      <c r="U15" s="11"/>
      <c r="V15" s="11"/>
      <c r="W15" s="11"/>
      <c r="X15" s="270" t="s">
        <v>396</v>
      </c>
      <c r="Y15" s="270"/>
      <c r="Z15" s="270"/>
      <c r="AA15" s="11"/>
      <c r="AB15" s="16" t="s">
        <v>397</v>
      </c>
      <c r="AC15" s="26">
        <f>MIN(AC12,AC14)</f>
        <v>0.26114954675287255</v>
      </c>
      <c r="AD15" s="16" t="s">
        <v>393</v>
      </c>
      <c r="AE15" s="11"/>
      <c r="AF15" s="13" t="s">
        <v>398</v>
      </c>
      <c r="AG15" s="19">
        <f>(1.414*AG13*0.421)/(2*3.14159*AG14*AG12*2*AG11*0.000001)*2*100</f>
        <v>8.1262759844751162</v>
      </c>
      <c r="AH15" s="13" t="s">
        <v>399</v>
      </c>
    </row>
    <row r="16" spans="2:34" ht="14.4" customHeight="1">
      <c r="B16" s="89" t="s">
        <v>224</v>
      </c>
      <c r="C16" s="201">
        <f t="shared" ref="C16" si="20">(C14*C15)/(C14+C15)</f>
        <v>2.5918755401901468</v>
      </c>
      <c r="D16" s="201">
        <f t="shared" ref="D16" si="21">(D14*D15)/(D14+D15)</f>
        <v>2.5255898366606169</v>
      </c>
      <c r="E16" s="201"/>
      <c r="F16" s="201">
        <f t="shared" ref="F16" si="22">(F14*F15)/(F14+F15)</f>
        <v>2.5696299638989171</v>
      </c>
      <c r="G16" s="201">
        <f t="shared" ref="G16" si="23">(G14*G15)/(G14+G15)</f>
        <v>2.670051457975986</v>
      </c>
      <c r="H16" s="201">
        <f>(H14*H15)/(H14+H15)</f>
        <v>2.6904957983193278</v>
      </c>
      <c r="I16" s="201"/>
      <c r="J16" s="213">
        <f t="shared" ref="J16:M16" si="24">(J14*J15)/(J14+J15)</f>
        <v>2.7606741573033706</v>
      </c>
      <c r="K16" s="201">
        <f t="shared" si="24"/>
        <v>2.7706806282722511</v>
      </c>
      <c r="L16" s="201">
        <f t="shared" si="24"/>
        <v>2.8424123422159888</v>
      </c>
      <c r="M16" s="227">
        <f t="shared" si="24"/>
        <v>2.8424123422159888</v>
      </c>
      <c r="N16" s="201"/>
      <c r="O16" s="32" t="s">
        <v>9</v>
      </c>
      <c r="P16" s="186"/>
      <c r="Q16" s="32"/>
      <c r="S16" s="269" t="s">
        <v>400</v>
      </c>
      <c r="T16" s="269"/>
      <c r="U16" s="269"/>
      <c r="V16" s="269"/>
      <c r="W16" s="11"/>
      <c r="X16" s="13" t="s">
        <v>401</v>
      </c>
      <c r="Y16" s="14">
        <v>10</v>
      </c>
      <c r="Z16" s="13" t="s">
        <v>11</v>
      </c>
      <c r="AA16" s="11"/>
      <c r="AB16" s="16" t="s">
        <v>402</v>
      </c>
      <c r="AC16" s="25">
        <v>200</v>
      </c>
      <c r="AD16" s="16" t="s">
        <v>188</v>
      </c>
      <c r="AE16" s="11"/>
      <c r="AF16" s="13" t="s">
        <v>59</v>
      </c>
      <c r="AG16" s="21">
        <f>AG12*AG15/100</f>
        <v>54.852362895207037</v>
      </c>
      <c r="AH16" s="13" t="s">
        <v>364</v>
      </c>
    </row>
    <row r="17" spans="2:34" ht="14.4" customHeight="1">
      <c r="B17" s="89" t="s">
        <v>202</v>
      </c>
      <c r="C17" s="96">
        <v>74.3</v>
      </c>
      <c r="D17" s="96">
        <v>74.3</v>
      </c>
      <c r="E17" s="96"/>
      <c r="F17" s="96">
        <v>74.3</v>
      </c>
      <c r="G17" s="96">
        <v>74.3</v>
      </c>
      <c r="H17" s="96">
        <v>74.3</v>
      </c>
      <c r="I17" s="96"/>
      <c r="J17" s="208">
        <v>56</v>
      </c>
      <c r="K17" s="96">
        <v>56</v>
      </c>
      <c r="L17" s="96">
        <v>56</v>
      </c>
      <c r="M17" s="226">
        <v>56</v>
      </c>
      <c r="N17" s="96"/>
      <c r="O17" s="32" t="s">
        <v>13</v>
      </c>
      <c r="P17" s="186">
        <v>5</v>
      </c>
      <c r="Q17" s="127" t="s">
        <v>321</v>
      </c>
      <c r="S17" s="27" t="s">
        <v>403</v>
      </c>
      <c r="T17" s="28">
        <v>21</v>
      </c>
      <c r="U17" s="28">
        <v>27</v>
      </c>
      <c r="V17" s="27" t="s">
        <v>360</v>
      </c>
      <c r="W17" s="11"/>
      <c r="X17" s="13" t="s">
        <v>404</v>
      </c>
      <c r="Y17" s="14">
        <v>10</v>
      </c>
      <c r="Z17" s="13" t="s">
        <v>405</v>
      </c>
      <c r="AA17" s="11"/>
      <c r="AB17" s="16" t="s">
        <v>406</v>
      </c>
      <c r="AC17" s="24">
        <f>AC15*AC16</f>
        <v>52.229909350574509</v>
      </c>
      <c r="AD17" s="16" t="s">
        <v>407</v>
      </c>
      <c r="AE17" s="11"/>
      <c r="AF17" s="13" t="s">
        <v>408</v>
      </c>
      <c r="AG17" s="21">
        <f>2*3.14159*AG14*AG11*0.000001*AG16</f>
        <v>2559.7641999999996</v>
      </c>
      <c r="AH17" s="13" t="s">
        <v>355</v>
      </c>
    </row>
    <row r="18" spans="2:34" ht="14.4" customHeight="1">
      <c r="B18" s="89" t="s">
        <v>203</v>
      </c>
      <c r="C18" s="91">
        <f t="shared" ref="C18" si="25">1000/(2*PI()*(C16*C17)^0.5)</f>
        <v>11.468817794716648</v>
      </c>
      <c r="D18" s="91">
        <f t="shared" ref="D18" si="26">1000/(2*PI()*(D16*D17)^0.5)</f>
        <v>11.618346222466741</v>
      </c>
      <c r="E18" s="91"/>
      <c r="F18" s="91">
        <f t="shared" ref="F18" si="27">1000/(2*PI()*(F16*F17)^0.5)</f>
        <v>11.518354239412327</v>
      </c>
      <c r="G18" s="91">
        <f t="shared" ref="G18:H18" si="28">1000/(2*PI()*(G16*G17)^0.5)</f>
        <v>11.29967387037021</v>
      </c>
      <c r="H18" s="91">
        <f t="shared" si="28"/>
        <v>11.256660439985925</v>
      </c>
      <c r="I18" s="91"/>
      <c r="J18" s="209">
        <f t="shared" ref="J18:M18" si="29">1000/(2*PI()*(J16*J17)^0.5)</f>
        <v>12.80025269218574</v>
      </c>
      <c r="K18" s="91">
        <f t="shared" si="29"/>
        <v>12.777117363659048</v>
      </c>
      <c r="L18" s="91">
        <f t="shared" si="29"/>
        <v>12.614864151864616</v>
      </c>
      <c r="M18" s="222">
        <f t="shared" si="29"/>
        <v>12.614864151864616</v>
      </c>
      <c r="N18" s="91"/>
      <c r="O18" s="32" t="s">
        <v>60</v>
      </c>
      <c r="P18" s="186"/>
      <c r="Q18" s="32" t="s">
        <v>322</v>
      </c>
      <c r="S18" s="27" t="s">
        <v>409</v>
      </c>
      <c r="T18" s="28">
        <v>1</v>
      </c>
      <c r="U18" s="28">
        <v>1</v>
      </c>
      <c r="V18" s="27" t="s">
        <v>410</v>
      </c>
      <c r="W18" s="11"/>
      <c r="X18" s="13" t="s">
        <v>411</v>
      </c>
      <c r="Y18" s="14">
        <v>1200</v>
      </c>
      <c r="Z18" s="13" t="s">
        <v>355</v>
      </c>
      <c r="AA18" s="11"/>
      <c r="AB18" s="16" t="s">
        <v>413</v>
      </c>
      <c r="AC18" s="25">
        <v>1000</v>
      </c>
      <c r="AD18" s="29" t="s">
        <v>414</v>
      </c>
      <c r="AE18" s="11"/>
      <c r="AF18" s="11"/>
      <c r="AG18" s="12"/>
      <c r="AH18" s="12"/>
    </row>
    <row r="19" spans="2:34" ht="14.4" customHeight="1">
      <c r="B19" s="89" t="s">
        <v>238</v>
      </c>
      <c r="C19" s="90">
        <v>30</v>
      </c>
      <c r="D19" s="90">
        <v>30</v>
      </c>
      <c r="E19" s="90"/>
      <c r="F19" s="90">
        <v>30</v>
      </c>
      <c r="G19" s="90">
        <v>30</v>
      </c>
      <c r="H19" s="90">
        <v>30</v>
      </c>
      <c r="I19" s="90"/>
      <c r="J19" s="207">
        <v>30</v>
      </c>
      <c r="K19" s="90">
        <v>30</v>
      </c>
      <c r="L19" s="90">
        <v>30</v>
      </c>
      <c r="M19" s="228">
        <v>30</v>
      </c>
      <c r="N19" s="90"/>
      <c r="O19" s="32" t="s">
        <v>221</v>
      </c>
      <c r="P19" s="186">
        <v>4</v>
      </c>
      <c r="Q19" s="127" t="s">
        <v>323</v>
      </c>
      <c r="S19" s="27" t="s">
        <v>415</v>
      </c>
      <c r="T19" s="28">
        <v>500</v>
      </c>
      <c r="U19" s="28">
        <v>500</v>
      </c>
      <c r="V19" s="27" t="s">
        <v>0</v>
      </c>
      <c r="W19" s="11"/>
      <c r="X19" s="13" t="s">
        <v>416</v>
      </c>
      <c r="Y19" s="21">
        <f>(Y18)/(2*3.14*Y17*1000*(Y16/1000000))</f>
        <v>1910.8280254777067</v>
      </c>
      <c r="Z19" s="13" t="s">
        <v>0</v>
      </c>
      <c r="AA19" s="11"/>
      <c r="AB19" s="16" t="s">
        <v>62</v>
      </c>
      <c r="AC19" s="30">
        <f>AC18/AC17</f>
        <v>19.146117855343366</v>
      </c>
      <c r="AD19" s="29" t="s">
        <v>414</v>
      </c>
      <c r="AE19" s="11"/>
      <c r="AF19" s="269" t="s">
        <v>417</v>
      </c>
      <c r="AG19" s="269"/>
      <c r="AH19" s="269"/>
    </row>
    <row r="20" spans="2:34" ht="14.4" customHeight="1">
      <c r="B20" s="89"/>
      <c r="C20" s="203"/>
      <c r="D20" s="203"/>
      <c r="E20" s="203"/>
      <c r="F20" s="203"/>
      <c r="G20" s="203"/>
      <c r="H20" s="203"/>
      <c r="I20" s="203"/>
      <c r="J20" s="207"/>
      <c r="K20" s="203"/>
      <c r="L20" s="90"/>
      <c r="M20" s="228"/>
      <c r="N20" s="203"/>
      <c r="O20" s="32"/>
      <c r="P20" s="186"/>
      <c r="Q20" s="127"/>
      <c r="S20" s="27"/>
      <c r="T20" s="28"/>
      <c r="U20" s="28"/>
      <c r="V20" s="27"/>
      <c r="W20" s="11"/>
      <c r="X20" s="204"/>
      <c r="Y20" s="205"/>
      <c r="Z20" s="204"/>
      <c r="AA20" s="11"/>
      <c r="AB20" s="16"/>
      <c r="AC20" s="30"/>
      <c r="AD20" s="29"/>
      <c r="AE20" s="11"/>
      <c r="AF20" s="200"/>
      <c r="AG20" s="200"/>
      <c r="AH20" s="200"/>
    </row>
    <row r="21" spans="2:34" ht="14.4" customHeight="1">
      <c r="B21" s="89" t="s">
        <v>204</v>
      </c>
      <c r="C21" s="174">
        <v>11.19</v>
      </c>
      <c r="D21" s="174">
        <v>11.02</v>
      </c>
      <c r="E21" s="174"/>
      <c r="F21" s="174">
        <v>8.9499999999999993</v>
      </c>
      <c r="G21" s="174">
        <v>14.43</v>
      </c>
      <c r="H21" s="174">
        <v>11.55</v>
      </c>
      <c r="I21" s="174"/>
      <c r="J21" s="208">
        <v>11.8</v>
      </c>
      <c r="K21" s="174">
        <v>14</v>
      </c>
      <c r="L21" s="96">
        <v>11.7</v>
      </c>
      <c r="M21" s="226">
        <v>14</v>
      </c>
      <c r="N21" s="174"/>
      <c r="O21" s="32"/>
      <c r="P21" s="186">
        <v>7</v>
      </c>
      <c r="Q21" s="127" t="s">
        <v>324</v>
      </c>
      <c r="S21" s="27" t="s">
        <v>418</v>
      </c>
      <c r="T21" s="28">
        <v>1000</v>
      </c>
      <c r="U21" s="28">
        <v>1000</v>
      </c>
      <c r="V21" s="27" t="s">
        <v>1</v>
      </c>
      <c r="W21" s="11"/>
      <c r="X21" s="11"/>
      <c r="Y21" s="11"/>
      <c r="Z21" s="11"/>
      <c r="AA21" s="11"/>
      <c r="AB21" s="16" t="s">
        <v>419</v>
      </c>
      <c r="AC21" s="30">
        <f>AC8/100000000*(AC18^2)/(AC17/1000000)*AC13/1000</f>
        <v>2052.5595646820857</v>
      </c>
      <c r="AD21" s="29" t="s">
        <v>420</v>
      </c>
      <c r="AE21" s="11"/>
      <c r="AF21" s="31" t="s">
        <v>421</v>
      </c>
      <c r="AG21" s="32">
        <v>0.9133</v>
      </c>
      <c r="AH21" s="32" t="s">
        <v>10</v>
      </c>
    </row>
    <row r="22" spans="2:34" ht="14.4" customHeight="1">
      <c r="B22" s="89" t="s">
        <v>205</v>
      </c>
      <c r="C22" s="97">
        <f t="shared" ref="C22" si="30">C18</f>
        <v>11.468817794716648</v>
      </c>
      <c r="D22" s="97">
        <f t="shared" ref="D22" si="31">D18</f>
        <v>11.618346222466741</v>
      </c>
      <c r="E22" s="97"/>
      <c r="F22" s="97">
        <f t="shared" ref="F22" si="32">F18</f>
        <v>11.518354239412327</v>
      </c>
      <c r="G22" s="97">
        <f t="shared" ref="G22" si="33">G18</f>
        <v>11.29967387037021</v>
      </c>
      <c r="H22" s="97">
        <f>H18</f>
        <v>11.256660439985925</v>
      </c>
      <c r="I22" s="97"/>
      <c r="J22" s="214">
        <f t="shared" ref="J22:M22" si="34">J18</f>
        <v>12.80025269218574</v>
      </c>
      <c r="K22" s="97">
        <f t="shared" si="34"/>
        <v>12.777117363659048</v>
      </c>
      <c r="L22" s="97">
        <f t="shared" si="34"/>
        <v>12.614864151864616</v>
      </c>
      <c r="M22" s="229">
        <f t="shared" si="34"/>
        <v>12.614864151864616</v>
      </c>
      <c r="N22" s="97"/>
      <c r="O22" s="32" t="s">
        <v>60</v>
      </c>
      <c r="P22" s="186"/>
      <c r="Q22" s="128" t="s">
        <v>336</v>
      </c>
      <c r="S22" s="27" t="s">
        <v>422</v>
      </c>
      <c r="T22" s="28">
        <v>1</v>
      </c>
      <c r="U22" s="28">
        <v>1</v>
      </c>
      <c r="V22" s="27" t="s">
        <v>410</v>
      </c>
      <c r="W22" s="11"/>
      <c r="X22" s="270" t="s">
        <v>423</v>
      </c>
      <c r="Y22" s="270"/>
      <c r="Z22" s="270"/>
      <c r="AA22" s="11"/>
      <c r="AB22" s="11"/>
      <c r="AC22" s="11"/>
      <c r="AD22" s="11"/>
      <c r="AE22" s="11"/>
      <c r="AF22" s="27" t="s">
        <v>424</v>
      </c>
      <c r="AG22" s="33">
        <v>3</v>
      </c>
      <c r="AH22" s="32" t="s">
        <v>425</v>
      </c>
    </row>
    <row r="23" spans="2:34" ht="14.4" customHeight="1">
      <c r="B23" s="89" t="s">
        <v>227</v>
      </c>
      <c r="C23" s="91">
        <f t="shared" ref="C23" si="35">2*PI()*C22</f>
        <v>72.060707458483421</v>
      </c>
      <c r="D23" s="91">
        <f t="shared" ref="D23" si="36">2*PI()*D22</f>
        <v>73.000222278728472</v>
      </c>
      <c r="E23" s="91"/>
      <c r="F23" s="91">
        <f t="shared" ref="F23" si="37">2*PI()*F22</f>
        <v>72.371954119965224</v>
      </c>
      <c r="G23" s="91">
        <f t="shared" ref="G23:H23" si="38">2*PI()*G22</f>
        <v>70.997944838231192</v>
      </c>
      <c r="H23" s="91">
        <f t="shared" si="38"/>
        <v>70.727683484429264</v>
      </c>
      <c r="I23" s="91"/>
      <c r="J23" s="209">
        <f t="shared" ref="J23:M23" si="39">2*PI()*J22</f>
        <v>80.42635964372738</v>
      </c>
      <c r="K23" s="91">
        <f t="shared" si="39"/>
        <v>80.280996087451697</v>
      </c>
      <c r="L23" s="91">
        <f t="shared" si="39"/>
        <v>79.261529091062229</v>
      </c>
      <c r="M23" s="222">
        <f t="shared" si="39"/>
        <v>79.261529091062229</v>
      </c>
      <c r="N23" s="91"/>
      <c r="O23" s="32" t="s">
        <v>60</v>
      </c>
      <c r="P23" s="186"/>
      <c r="Q23" s="32"/>
      <c r="S23" s="27" t="s">
        <v>426</v>
      </c>
      <c r="T23" s="28">
        <v>6</v>
      </c>
      <c r="U23" s="28">
        <v>6</v>
      </c>
      <c r="V23" s="27" t="s">
        <v>391</v>
      </c>
      <c r="W23" s="11"/>
      <c r="X23" s="15" t="s">
        <v>427</v>
      </c>
      <c r="Y23" s="14">
        <v>618</v>
      </c>
      <c r="Z23" s="13" t="s">
        <v>428</v>
      </c>
      <c r="AA23" s="11"/>
      <c r="AB23" s="270" t="s">
        <v>429</v>
      </c>
      <c r="AC23" s="270"/>
      <c r="AD23" s="270"/>
      <c r="AE23" s="11"/>
      <c r="AF23" s="27" t="s">
        <v>430</v>
      </c>
      <c r="AG23" s="34">
        <f>AG21*AG22</f>
        <v>2.7399</v>
      </c>
      <c r="AH23" s="32" t="s">
        <v>10</v>
      </c>
    </row>
    <row r="24" spans="2:34" ht="14.4" customHeight="1">
      <c r="B24" s="89" t="s">
        <v>206</v>
      </c>
      <c r="C24" s="93">
        <f t="shared" ref="C24" si="40">2*PI()*C22*C14</f>
        <v>282.47797323725501</v>
      </c>
      <c r="D24" s="93">
        <f t="shared" ref="D24" si="41">2*PI()*D22*D14</f>
        <v>286.16087133261561</v>
      </c>
      <c r="E24" s="93"/>
      <c r="F24" s="93">
        <f t="shared" ref="F24" si="42">2*PI()*F22*F14</f>
        <v>293.10641418585914</v>
      </c>
      <c r="G24" s="93">
        <f t="shared" ref="G24:H24" si="43">2*PI()*G22*G14</f>
        <v>293.93149163027709</v>
      </c>
      <c r="H24" s="93">
        <f t="shared" si="43"/>
        <v>290.69077912100431</v>
      </c>
      <c r="I24" s="93"/>
      <c r="J24" s="211">
        <f t="shared" ref="J24:M24" si="44">2*PI()*J22*J14</f>
        <v>313.6628026105368</v>
      </c>
      <c r="K24" s="93">
        <f t="shared" si="44"/>
        <v>314.70150466281063</v>
      </c>
      <c r="L24" s="93">
        <f t="shared" si="44"/>
        <v>310.70519403696392</v>
      </c>
      <c r="M24" s="224">
        <f t="shared" si="44"/>
        <v>310.70519403696392</v>
      </c>
      <c r="N24" s="93"/>
      <c r="O24" s="32" t="s">
        <v>222</v>
      </c>
      <c r="P24" s="186"/>
      <c r="Q24" s="32"/>
      <c r="S24" s="27" t="s">
        <v>431</v>
      </c>
      <c r="T24" s="28">
        <v>16</v>
      </c>
      <c r="U24" s="28">
        <v>14</v>
      </c>
      <c r="V24" s="27" t="s">
        <v>384</v>
      </c>
      <c r="W24" s="11"/>
      <c r="X24" s="15" t="s">
        <v>432</v>
      </c>
      <c r="Y24" s="14">
        <v>1</v>
      </c>
      <c r="Z24" s="13" t="s">
        <v>433</v>
      </c>
      <c r="AA24" s="11"/>
      <c r="AB24" s="13" t="s">
        <v>434</v>
      </c>
      <c r="AC24" s="65" t="s">
        <v>43</v>
      </c>
      <c r="AD24" s="65"/>
      <c r="AE24" s="11"/>
      <c r="AF24" s="27"/>
      <c r="AG24" s="32"/>
      <c r="AH24" s="32"/>
    </row>
    <row r="25" spans="2:34" ht="14.4" customHeight="1">
      <c r="B25" s="89" t="s">
        <v>207</v>
      </c>
      <c r="C25" s="91">
        <f t="shared" ref="C25" si="45">C24/C21</f>
        <v>25.243786705742181</v>
      </c>
      <c r="D25" s="91">
        <f t="shared" ref="D25" si="46">D24/D21</f>
        <v>25.967411191707406</v>
      </c>
      <c r="E25" s="91"/>
      <c r="F25" s="91">
        <f t="shared" ref="F25" si="47">F24/F21</f>
        <v>32.749320020766383</v>
      </c>
      <c r="G25" s="91">
        <f t="shared" ref="G25:H25" si="48">G24/G21</f>
        <v>20.369472739450941</v>
      </c>
      <c r="H25" s="91">
        <f t="shared" si="48"/>
        <v>25.168032824329376</v>
      </c>
      <c r="I25" s="91"/>
      <c r="J25" s="209">
        <f t="shared" ref="J25:M25" si="49">J24/J21</f>
        <v>26.581593441570913</v>
      </c>
      <c r="K25" s="91">
        <f t="shared" si="49"/>
        <v>22.478678904486475</v>
      </c>
      <c r="L25" s="91">
        <f t="shared" si="49"/>
        <v>26.555999490338799</v>
      </c>
      <c r="M25" s="222">
        <f t="shared" si="49"/>
        <v>22.193228145497422</v>
      </c>
      <c r="N25" s="91"/>
      <c r="O25" s="32" t="s">
        <v>222</v>
      </c>
      <c r="P25" s="186"/>
      <c r="Q25" s="32"/>
      <c r="S25" s="27" t="s">
        <v>435</v>
      </c>
      <c r="T25" s="133">
        <f>T17*(T22/T18)*T24/T23</f>
        <v>56</v>
      </c>
      <c r="U25" s="133">
        <f>U17*(U22/U18)*U24/U23</f>
        <v>63</v>
      </c>
      <c r="V25" s="27" t="s">
        <v>360</v>
      </c>
      <c r="W25" s="11"/>
      <c r="X25" s="15" t="s">
        <v>64</v>
      </c>
      <c r="Y25" s="14">
        <v>22</v>
      </c>
      <c r="Z25" s="13" t="s">
        <v>65</v>
      </c>
      <c r="AA25" s="11"/>
      <c r="AB25" s="16" t="s">
        <v>353</v>
      </c>
      <c r="AC25" s="17">
        <v>1.75</v>
      </c>
      <c r="AD25" s="16" t="s">
        <v>369</v>
      </c>
      <c r="AE25" s="11"/>
      <c r="AF25" s="31" t="s">
        <v>436</v>
      </c>
      <c r="AG25" s="32">
        <v>0.48</v>
      </c>
      <c r="AH25" s="32" t="s">
        <v>10</v>
      </c>
    </row>
    <row r="26" spans="2:34" ht="14.4" customHeight="1">
      <c r="B26" s="89" t="s">
        <v>236</v>
      </c>
      <c r="C26" s="104">
        <f t="shared" ref="C26" si="50">C25*(C15/C14)^2</f>
        <v>96.140248040321538</v>
      </c>
      <c r="D26" s="104">
        <f t="shared" ref="D26" si="51">D25*(D15/D14)^2</f>
        <v>85.186979264757525</v>
      </c>
      <c r="E26" s="104"/>
      <c r="F26" s="104">
        <f t="shared" ref="F26" si="52">F25*(F15/F14)^2</f>
        <v>98.674035653973107</v>
      </c>
      <c r="G26" s="104">
        <f t="shared" ref="G26:H26" si="53">G25*(G15/G14)^2</f>
        <v>67.207042825097815</v>
      </c>
      <c r="H26" s="104">
        <f t="shared" si="53"/>
        <v>90.415011793375953</v>
      </c>
      <c r="I26" s="104"/>
      <c r="J26" s="215">
        <f t="shared" ref="J26:M26" si="54">J25*(J15/J14)^2</f>
        <v>156.06855675975581</v>
      </c>
      <c r="K26" s="104">
        <f t="shared" si="54"/>
        <v>130.63581729408992</v>
      </c>
      <c r="L26" s="104">
        <f t="shared" si="54"/>
        <v>184.77005799076343</v>
      </c>
      <c r="M26" s="230">
        <f t="shared" si="54"/>
        <v>154.41497703513798</v>
      </c>
      <c r="N26" s="104"/>
      <c r="O26" s="32" t="s">
        <v>222</v>
      </c>
      <c r="P26" s="186"/>
      <c r="Q26" s="32"/>
      <c r="S26" s="27" t="s">
        <v>437</v>
      </c>
      <c r="T26" s="35">
        <f>T19*T23</f>
        <v>3000</v>
      </c>
      <c r="U26" s="35">
        <f>U19*U23</f>
        <v>3000</v>
      </c>
      <c r="V26" s="27" t="s">
        <v>364</v>
      </c>
      <c r="W26" s="11"/>
      <c r="X26" s="15" t="s">
        <v>438</v>
      </c>
      <c r="Y26" s="14">
        <v>2</v>
      </c>
      <c r="Z26" s="13"/>
      <c r="AA26" s="11"/>
      <c r="AB26" s="16" t="s">
        <v>439</v>
      </c>
      <c r="AC26" s="18">
        <v>3.8999999999999998E-3</v>
      </c>
      <c r="AD26" s="16" t="s">
        <v>48</v>
      </c>
      <c r="AE26" s="11"/>
      <c r="AF26" s="27" t="s">
        <v>440</v>
      </c>
      <c r="AG26" s="33">
        <v>5</v>
      </c>
      <c r="AH26" s="32" t="s">
        <v>425</v>
      </c>
    </row>
    <row r="27" spans="2:34" ht="14.4" customHeight="1">
      <c r="B27" s="89" t="s">
        <v>241</v>
      </c>
      <c r="C27" s="104">
        <f t="shared" ref="C27" si="55">C42^2/(C3*1000)*1000</f>
        <v>456.48643671405176</v>
      </c>
      <c r="D27" s="104">
        <f t="shared" ref="D27" si="56">D42^2/(D3*1000)*1000</f>
        <v>836.26818529172601</v>
      </c>
      <c r="E27" s="104"/>
      <c r="F27" s="104">
        <f t="shared" ref="F27" si="57">F42^2/(F3*1000)*1000</f>
        <v>850.20598837992134</v>
      </c>
      <c r="G27" s="104">
        <f t="shared" ref="G27:H27" si="58">G42^2/(G3*1000)*1000</f>
        <v>680.16479070393711</v>
      </c>
      <c r="H27" s="104">
        <f t="shared" si="58"/>
        <v>409.73782572526329</v>
      </c>
      <c r="I27" s="104"/>
      <c r="J27" s="215">
        <f t="shared" ref="J27:M27" si="59">J42^2/(J3*1000)*1000</f>
        <v>178.41409972274502</v>
      </c>
      <c r="K27" s="104">
        <f t="shared" si="59"/>
        <v>178.41409972274502</v>
      </c>
      <c r="L27" s="104">
        <f t="shared" si="59"/>
        <v>237.25279218450135</v>
      </c>
      <c r="M27" s="230">
        <f t="shared" si="59"/>
        <v>237.25279218450135</v>
      </c>
      <c r="N27" s="104"/>
      <c r="O27" s="32" t="s">
        <v>222</v>
      </c>
      <c r="P27" s="186"/>
      <c r="Q27" s="32"/>
      <c r="S27" s="27" t="s">
        <v>441</v>
      </c>
      <c r="T27" s="35">
        <f>T21*(T22/T18)*T24</f>
        <v>16000</v>
      </c>
      <c r="U27" s="35">
        <f>U21*(U22/U18)*U24</f>
        <v>14000</v>
      </c>
      <c r="V27" s="27" t="s">
        <v>355</v>
      </c>
      <c r="W27" s="11"/>
      <c r="X27" s="15" t="s">
        <v>442</v>
      </c>
      <c r="Y27" s="19">
        <f>Y24*Y25*Y26*2</f>
        <v>88</v>
      </c>
      <c r="Z27" s="13" t="s">
        <v>433</v>
      </c>
      <c r="AA27" s="11"/>
      <c r="AB27" s="16" t="s">
        <v>443</v>
      </c>
      <c r="AC27" s="20">
        <v>45</v>
      </c>
      <c r="AD27" s="16" t="s">
        <v>50</v>
      </c>
      <c r="AE27" s="11"/>
      <c r="AF27" s="27" t="s">
        <v>444</v>
      </c>
      <c r="AG27" s="34">
        <f>AG25*AG26</f>
        <v>2.4</v>
      </c>
      <c r="AH27" s="32" t="s">
        <v>10</v>
      </c>
    </row>
    <row r="28" spans="2:34" ht="14.4" customHeight="1">
      <c r="B28" s="89"/>
      <c r="C28" s="94"/>
      <c r="D28" s="94"/>
      <c r="E28" s="94"/>
      <c r="F28" s="94"/>
      <c r="G28" s="94"/>
      <c r="H28" s="94"/>
      <c r="I28" s="94"/>
      <c r="J28" s="212"/>
      <c r="K28" s="94"/>
      <c r="L28" s="94"/>
      <c r="M28" s="225"/>
      <c r="N28" s="94"/>
      <c r="O28" s="32"/>
      <c r="P28" s="186"/>
      <c r="Q28" s="32"/>
      <c r="S28" s="27" t="s">
        <v>445</v>
      </c>
      <c r="T28" s="35">
        <f>T26*T27/1000</f>
        <v>48000</v>
      </c>
      <c r="U28" s="35">
        <f>U26*U27/1000</f>
        <v>42000</v>
      </c>
      <c r="V28" s="27" t="s">
        <v>445</v>
      </c>
      <c r="W28" s="11"/>
      <c r="X28" s="15" t="s">
        <v>446</v>
      </c>
      <c r="Y28" s="14">
        <v>1</v>
      </c>
      <c r="Z28" s="13" t="s">
        <v>447</v>
      </c>
      <c r="AA28" s="11"/>
      <c r="AB28" s="16" t="s">
        <v>368</v>
      </c>
      <c r="AC28" s="18">
        <f>AC25*(1+AC26*(AC27-20))</f>
        <v>1.9206249999999998</v>
      </c>
      <c r="AD28" s="16" t="s">
        <v>369</v>
      </c>
      <c r="AE28" s="11"/>
      <c r="AF28" s="27"/>
      <c r="AG28" s="32"/>
      <c r="AH28" s="32"/>
    </row>
    <row r="29" spans="2:34" ht="14.4" customHeight="1">
      <c r="B29" s="89" t="s">
        <v>208</v>
      </c>
      <c r="C29" s="98">
        <f t="shared" ref="C29" si="60">(C3*1000000/C25)^0.5</f>
        <v>4208.0075520234759</v>
      </c>
      <c r="D29" s="98">
        <f t="shared" ref="D29" si="61">(D3*1000000/D25)^0.5</f>
        <v>3065.3536453600623</v>
      </c>
      <c r="E29" s="98"/>
      <c r="F29" s="98">
        <f t="shared" ref="F29" si="62">(F3*1000000/F25)^0.5</f>
        <v>2707.1011123130788</v>
      </c>
      <c r="G29" s="98">
        <f t="shared" ref="G29:H29" si="63">(G3*1000000/G25)^0.5</f>
        <v>3837.6974503952752</v>
      </c>
      <c r="H29" s="98">
        <f t="shared" si="63"/>
        <v>4448.2586867536393</v>
      </c>
      <c r="I29" s="98"/>
      <c r="J29" s="216">
        <f t="shared" ref="J29:M29" si="64">(J3*1000000/J25)^0.5</f>
        <v>6857.479229541912</v>
      </c>
      <c r="K29" s="98">
        <f t="shared" si="64"/>
        <v>7457.0939493529049</v>
      </c>
      <c r="L29" s="98">
        <f t="shared" si="64"/>
        <v>5949.5292084664898</v>
      </c>
      <c r="M29" s="231">
        <f t="shared" si="64"/>
        <v>6508.0920650873722</v>
      </c>
      <c r="N29" s="98"/>
      <c r="O29" s="32" t="s">
        <v>45</v>
      </c>
      <c r="P29" s="186"/>
      <c r="Q29" s="128" t="s">
        <v>325</v>
      </c>
      <c r="S29" s="11"/>
      <c r="T29" s="11"/>
      <c r="U29" s="11"/>
      <c r="V29" s="11"/>
      <c r="W29" s="11"/>
      <c r="X29" s="15" t="s">
        <v>448</v>
      </c>
      <c r="Y29" s="14">
        <v>100</v>
      </c>
      <c r="Z29" s="13" t="s">
        <v>449</v>
      </c>
      <c r="AA29" s="11"/>
      <c r="AB29" s="16" t="s">
        <v>372</v>
      </c>
      <c r="AC29" s="22">
        <f>1/(AC28/100000000)</f>
        <v>52066384.64041654</v>
      </c>
      <c r="AD29" s="16" t="s">
        <v>373</v>
      </c>
      <c r="AE29" s="11"/>
      <c r="AF29" s="31" t="s">
        <v>436</v>
      </c>
      <c r="AG29" s="32">
        <v>0.4133</v>
      </c>
      <c r="AH29" s="32" t="s">
        <v>10</v>
      </c>
    </row>
    <row r="30" spans="2:34" ht="14.4" customHeight="1">
      <c r="B30" s="89" t="s">
        <v>231</v>
      </c>
      <c r="C30" s="93">
        <f t="shared" ref="C30" si="65">C29*C25/1000</f>
        <v>106.22604509943291</v>
      </c>
      <c r="D30" s="93">
        <f t="shared" ref="D30" si="66">D29*D25/1000</f>
        <v>79.599298557063975</v>
      </c>
      <c r="E30" s="93"/>
      <c r="F30" s="93">
        <f t="shared" ref="F30" si="67">F29*F25/1000</f>
        <v>88.655720655713651</v>
      </c>
      <c r="G30" s="93">
        <f t="shared" ref="G30:H30" si="68">G29*G25/1000</f>
        <v>78.171873598086933</v>
      </c>
      <c r="H30" s="93">
        <f t="shared" si="68"/>
        <v>111.95392063932388</v>
      </c>
      <c r="I30" s="93"/>
      <c r="J30" s="211">
        <f t="shared" ref="J30:M30" si="69">J29*J25/1000</f>
        <v>182.28272491370004</v>
      </c>
      <c r="K30" s="93">
        <f t="shared" si="69"/>
        <v>167.62562044809286</v>
      </c>
      <c r="L30" s="93">
        <f t="shared" si="69"/>
        <v>157.99569462779189</v>
      </c>
      <c r="M30" s="224">
        <f t="shared" si="69"/>
        <v>144.43557199238552</v>
      </c>
      <c r="N30" s="93"/>
      <c r="O30" s="32" t="s">
        <v>0</v>
      </c>
      <c r="P30" s="186"/>
      <c r="Q30" s="32"/>
      <c r="S30" s="269" t="s">
        <v>450</v>
      </c>
      <c r="T30" s="269"/>
      <c r="U30" s="269"/>
      <c r="V30" s="269"/>
      <c r="W30" s="11"/>
      <c r="X30" s="15" t="s">
        <v>451</v>
      </c>
      <c r="Y30" s="14">
        <v>1</v>
      </c>
      <c r="Z30" s="13" t="s">
        <v>452</v>
      </c>
      <c r="AA30" s="11"/>
      <c r="AB30" s="16" t="s">
        <v>376</v>
      </c>
      <c r="AC30" s="65">
        <v>1</v>
      </c>
      <c r="AD30" s="16" t="s">
        <v>377</v>
      </c>
      <c r="AE30" s="11"/>
      <c r="AF30" s="27" t="s">
        <v>453</v>
      </c>
      <c r="AG30" s="33">
        <v>3</v>
      </c>
      <c r="AH30" s="32" t="s">
        <v>454</v>
      </c>
    </row>
    <row r="31" spans="2:34" ht="14.4" customHeight="1">
      <c r="B31" s="89" t="s">
        <v>230</v>
      </c>
      <c r="C31" s="93">
        <f t="shared" ref="C31" si="70">C29*C24/1000</f>
        <v>1188.6694446626543</v>
      </c>
      <c r="D31" s="93">
        <f t="shared" ref="D31" si="71">D29*D24/1000</f>
        <v>877.18427009884499</v>
      </c>
      <c r="E31" s="93"/>
      <c r="F31" s="93">
        <f t="shared" ref="F31" si="72">F29*F24/1000</f>
        <v>793.46869986863726</v>
      </c>
      <c r="G31" s="93">
        <f t="shared" ref="G31:H31" si="73">G29*G24/1000</f>
        <v>1128.0201360203946</v>
      </c>
      <c r="H31" s="93">
        <f t="shared" si="73"/>
        <v>1293.0677833841908</v>
      </c>
      <c r="I31" s="93"/>
      <c r="J31" s="211">
        <f t="shared" ref="J31:M31" si="74">J29*J24/1000</f>
        <v>2150.9361539816605</v>
      </c>
      <c r="K31" s="93">
        <f t="shared" si="74"/>
        <v>2346.7586862733001</v>
      </c>
      <c r="L31" s="93">
        <f t="shared" si="74"/>
        <v>1848.549627145165</v>
      </c>
      <c r="M31" s="224">
        <f t="shared" si="74"/>
        <v>2022.0980078933972</v>
      </c>
      <c r="N31" s="93"/>
      <c r="O31" s="32" t="s">
        <v>229</v>
      </c>
      <c r="P31" s="186"/>
      <c r="Q31" s="128" t="s">
        <v>326</v>
      </c>
      <c r="S31" s="15" t="s">
        <v>53</v>
      </c>
      <c r="T31" s="14">
        <v>19970</v>
      </c>
      <c r="U31" s="14"/>
      <c r="V31" s="15" t="s">
        <v>363</v>
      </c>
      <c r="W31" s="11"/>
      <c r="X31" s="15" t="s">
        <v>455</v>
      </c>
      <c r="Y31" s="19">
        <f>Y29*Y30</f>
        <v>100</v>
      </c>
      <c r="Z31" s="13" t="s">
        <v>67</v>
      </c>
      <c r="AA31" s="11"/>
      <c r="AB31" s="16" t="s">
        <v>53</v>
      </c>
      <c r="AC31" s="23">
        <v>12000</v>
      </c>
      <c r="AD31" s="16" t="s">
        <v>382</v>
      </c>
      <c r="AE31" s="11"/>
      <c r="AF31" s="27" t="s">
        <v>456</v>
      </c>
      <c r="AG31" s="34">
        <f>AG29*AG30</f>
        <v>1.2399</v>
      </c>
      <c r="AH31" s="32" t="s">
        <v>10</v>
      </c>
    </row>
    <row r="32" spans="2:34" ht="14.4" customHeight="1">
      <c r="B32" s="89" t="s">
        <v>234</v>
      </c>
      <c r="C32" s="93">
        <f t="shared" ref="C32" si="75">((C30)^2+(C31)^2)^0.5</f>
        <v>1193.4064778322975</v>
      </c>
      <c r="D32" s="93">
        <f t="shared" ref="D32" si="76">((D30)^2+(D31)^2)^0.5</f>
        <v>880.78844908389897</v>
      </c>
      <c r="E32" s="93"/>
      <c r="F32" s="93">
        <f t="shared" ref="F32" si="77">((F30)^2+(F31)^2)^0.5</f>
        <v>798.40617136656044</v>
      </c>
      <c r="G32" s="93">
        <f t="shared" ref="G32:H32" si="78">((G30)^2+(G31)^2)^0.5</f>
        <v>1130.7255498525294</v>
      </c>
      <c r="H32" s="93">
        <f t="shared" si="78"/>
        <v>1297.9052248807</v>
      </c>
      <c r="I32" s="93"/>
      <c r="J32" s="211">
        <f t="shared" ref="J32:M32" si="79">((J30)^2+(J31)^2)^0.5</f>
        <v>2158.6461799719241</v>
      </c>
      <c r="K32" s="93">
        <f t="shared" si="79"/>
        <v>2352.7376989859695</v>
      </c>
      <c r="L32" s="93">
        <f t="shared" si="79"/>
        <v>1855.2892937597217</v>
      </c>
      <c r="M32" s="224">
        <f t="shared" si="79"/>
        <v>2027.249858301441</v>
      </c>
      <c r="N32" s="93"/>
      <c r="O32" s="32" t="s">
        <v>0</v>
      </c>
      <c r="P32" s="186"/>
      <c r="Q32" s="32"/>
      <c r="S32" s="15" t="s">
        <v>457</v>
      </c>
      <c r="T32" s="14">
        <v>50</v>
      </c>
      <c r="U32" s="14"/>
      <c r="V32" s="15" t="s">
        <v>360</v>
      </c>
      <c r="W32" s="11"/>
      <c r="X32" s="13"/>
      <c r="Y32" s="13"/>
      <c r="Z32" s="13"/>
      <c r="AA32" s="11"/>
      <c r="AB32" s="16" t="s">
        <v>187</v>
      </c>
      <c r="AC32" s="24">
        <f>503.3*SQRT((AC28/100000000)/(AC30*AC31))*1000</f>
        <v>0.63673334823551386</v>
      </c>
      <c r="AD32" s="16" t="s">
        <v>188</v>
      </c>
      <c r="AE32" s="11"/>
      <c r="AF32" s="11"/>
      <c r="AG32" s="12"/>
      <c r="AH32" s="12"/>
    </row>
    <row r="33" spans="2:34" ht="14.4" customHeight="1">
      <c r="B33" s="89" t="s">
        <v>705</v>
      </c>
      <c r="C33" s="97">
        <f t="shared" ref="C33" si="80">C29/C45</f>
        <v>2156.2600789453627</v>
      </c>
      <c r="D33" s="97">
        <f t="shared" ref="D33" si="81">D29/D45</f>
        <v>1692.420604198795</v>
      </c>
      <c r="E33" s="97"/>
      <c r="F33" s="97">
        <f t="shared" ref="F33" si="82">F29/F45</f>
        <v>1559.5674971362685</v>
      </c>
      <c r="G33" s="97">
        <f t="shared" ref="G33:H33" si="83">G29/G45</f>
        <v>2112.7749261484628</v>
      </c>
      <c r="H33" s="97">
        <f t="shared" si="83"/>
        <v>2346.8989990446034</v>
      </c>
      <c r="I33" s="97"/>
      <c r="J33" s="214">
        <f t="shared" ref="J33:M33" si="84">J29/J45</f>
        <v>2830.0707931442812</v>
      </c>
      <c r="K33" s="97">
        <f t="shared" si="84"/>
        <v>3093.3130456575013</v>
      </c>
      <c r="L33" s="97">
        <f t="shared" si="84"/>
        <v>2255.5275142348778</v>
      </c>
      <c r="M33" s="229">
        <f t="shared" si="84"/>
        <v>2467.2844192594293</v>
      </c>
      <c r="N33" s="97"/>
      <c r="O33" s="32" t="s">
        <v>1</v>
      </c>
      <c r="P33" s="186"/>
      <c r="Q33" s="32" t="s">
        <v>335</v>
      </c>
      <c r="S33" s="15" t="s">
        <v>458</v>
      </c>
      <c r="T33" s="14">
        <v>1864</v>
      </c>
      <c r="U33" s="14"/>
      <c r="V33" s="15" t="s">
        <v>355</v>
      </c>
      <c r="W33" s="11"/>
      <c r="X33" s="36" t="s">
        <v>459</v>
      </c>
      <c r="Y33" s="271" t="s">
        <v>460</v>
      </c>
      <c r="Z33" s="271"/>
      <c r="AA33" s="11"/>
      <c r="AB33" s="16" t="s">
        <v>55</v>
      </c>
      <c r="AC33" s="25">
        <v>6126</v>
      </c>
      <c r="AD33" s="16" t="s">
        <v>393</v>
      </c>
      <c r="AE33" s="11"/>
      <c r="AF33" s="270" t="s">
        <v>461</v>
      </c>
      <c r="AG33" s="270"/>
      <c r="AH33" s="270"/>
    </row>
    <row r="34" spans="2:34" ht="14.4" customHeight="1">
      <c r="B34" s="89" t="s">
        <v>706</v>
      </c>
      <c r="C34" s="93">
        <f t="shared" ref="C34" si="85">C33*C26/1000</f>
        <v>207.30337882925045</v>
      </c>
      <c r="D34" s="93">
        <f t="shared" ref="D34" si="86">D33*D26/1000</f>
        <v>144.17219891713114</v>
      </c>
      <c r="E34" s="93"/>
      <c r="F34" s="93">
        <f t="shared" ref="F34" si="87">F33*F26/1000</f>
        <v>153.88881881720178</v>
      </c>
      <c r="G34" s="93">
        <f t="shared" ref="G34:H34" si="88">G33*G26/1000</f>
        <v>141.99335494145262</v>
      </c>
      <c r="H34" s="93">
        <f t="shared" si="88"/>
        <v>212.19490067648002</v>
      </c>
      <c r="I34" s="93"/>
      <c r="J34" s="211">
        <f t="shared" ref="J34:M34" si="89">J33*J26/1000</f>
        <v>441.6850642139654</v>
      </c>
      <c r="K34" s="93">
        <f t="shared" si="89"/>
        <v>404.09747786593817</v>
      </c>
      <c r="L34" s="93">
        <f t="shared" si="89"/>
        <v>416.75394960494089</v>
      </c>
      <c r="M34" s="224">
        <f t="shared" si="89"/>
        <v>380.98566693909851</v>
      </c>
      <c r="N34" s="93"/>
      <c r="O34" s="32" t="s">
        <v>239</v>
      </c>
      <c r="P34" s="186"/>
      <c r="Q34" s="128"/>
      <c r="S34" s="15" t="s">
        <v>462</v>
      </c>
      <c r="T34" s="14">
        <v>754</v>
      </c>
      <c r="U34" s="14"/>
      <c r="V34" s="15" t="s">
        <v>463</v>
      </c>
      <c r="W34" s="11"/>
      <c r="X34" s="15" t="s">
        <v>464</v>
      </c>
      <c r="Y34" s="14">
        <v>30</v>
      </c>
      <c r="Z34" s="13" t="s">
        <v>465</v>
      </c>
      <c r="AA34" s="11"/>
      <c r="AB34" s="16" t="s">
        <v>466</v>
      </c>
      <c r="AC34" s="25">
        <v>1.5</v>
      </c>
      <c r="AD34" s="16" t="s">
        <v>393</v>
      </c>
      <c r="AE34" s="11"/>
      <c r="AF34" s="13" t="s">
        <v>467</v>
      </c>
      <c r="AG34" s="14">
        <v>440</v>
      </c>
      <c r="AH34" s="13" t="s">
        <v>364</v>
      </c>
    </row>
    <row r="35" spans="2:34" ht="14.4" customHeight="1">
      <c r="B35" s="89" t="s">
        <v>237</v>
      </c>
      <c r="C35" s="93">
        <f t="shared" ref="C35" si="90">C33*C23*1000*C15/1000000</f>
        <v>1188.6694446626543</v>
      </c>
      <c r="D35" s="93">
        <f t="shared" ref="D35" si="91">D33*D23*1000*D15/1000000</f>
        <v>877.18427009884499</v>
      </c>
      <c r="E35" s="93"/>
      <c r="F35" s="93">
        <f t="shared" ref="F35" si="92">F33*F23*1000*F15/1000000</f>
        <v>793.46869986863703</v>
      </c>
      <c r="G35" s="93">
        <f t="shared" ref="G35:H35" si="93">G33*G23*1000*G15/1000000</f>
        <v>1128.0201360203946</v>
      </c>
      <c r="H35" s="93">
        <f t="shared" si="93"/>
        <v>1293.067783384191</v>
      </c>
      <c r="I35" s="93"/>
      <c r="J35" s="211">
        <f t="shared" ref="J35:M35" si="94">J33*J23*1000*J15/1000000</f>
        <v>2150.9361539816605</v>
      </c>
      <c r="K35" s="93">
        <f t="shared" si="94"/>
        <v>2346.7586862733001</v>
      </c>
      <c r="L35" s="93">
        <f t="shared" si="94"/>
        <v>1848.549627145165</v>
      </c>
      <c r="M35" s="224">
        <f t="shared" si="94"/>
        <v>2022.0980078933976</v>
      </c>
      <c r="N35" s="93"/>
      <c r="O35" s="32" t="s">
        <v>239</v>
      </c>
      <c r="P35" s="186"/>
      <c r="Q35" s="128"/>
      <c r="S35" s="15" t="s">
        <v>468</v>
      </c>
      <c r="T35" s="14">
        <v>5</v>
      </c>
      <c r="U35" s="14"/>
      <c r="V35" s="15" t="s">
        <v>380</v>
      </c>
      <c r="W35" s="11"/>
      <c r="X35" s="15" t="s">
        <v>469</v>
      </c>
      <c r="Y35" s="37">
        <f>Y29*SQRT(2)*SIN(Y34*PI()/180)</f>
        <v>70.710678118654741</v>
      </c>
      <c r="Z35" s="13" t="s">
        <v>470</v>
      </c>
      <c r="AA35" s="11"/>
      <c r="AB35" s="16" t="s">
        <v>397</v>
      </c>
      <c r="AC35" s="26">
        <f>MIN(AC32,AC34)</f>
        <v>0.63673334823551386</v>
      </c>
      <c r="AD35" s="16" t="s">
        <v>393</v>
      </c>
      <c r="AE35" s="11"/>
      <c r="AF35" s="13" t="s">
        <v>471</v>
      </c>
      <c r="AG35" s="14">
        <v>567</v>
      </c>
      <c r="AH35" s="13" t="s">
        <v>1</v>
      </c>
    </row>
    <row r="36" spans="2:34" ht="14.4" customHeight="1">
      <c r="B36" s="89" t="s">
        <v>235</v>
      </c>
      <c r="C36" s="98">
        <f t="shared" ref="C36" si="95">C37/(C23*C17/1000)</f>
        <v>1188.6694446626543</v>
      </c>
      <c r="D36" s="98">
        <f t="shared" ref="D36" si="96">D37/(D23*D17/1000)</f>
        <v>877.18427009884499</v>
      </c>
      <c r="E36" s="98"/>
      <c r="F36" s="98">
        <f t="shared" ref="F36" si="97">F37/(F23*F17/1000)</f>
        <v>793.4686998686376</v>
      </c>
      <c r="G36" s="98">
        <f t="shared" ref="G36:H36" si="98">G37/(G23*G17/1000)</f>
        <v>1128.0201360203946</v>
      </c>
      <c r="H36" s="98">
        <f t="shared" si="98"/>
        <v>1293.067783384191</v>
      </c>
      <c r="I36" s="98"/>
      <c r="J36" s="216">
        <f t="shared" ref="J36:M36" si="99">J37/(J23*J17/1000)</f>
        <v>2150.9361539816618</v>
      </c>
      <c r="K36" s="98">
        <f t="shared" si="99"/>
        <v>2346.7586862733001</v>
      </c>
      <c r="L36" s="98">
        <f t="shared" si="99"/>
        <v>1848.5496271451645</v>
      </c>
      <c r="M36" s="231">
        <f t="shared" si="99"/>
        <v>2022.0980078933969</v>
      </c>
      <c r="N36" s="98"/>
      <c r="O36" s="32" t="s">
        <v>240</v>
      </c>
      <c r="P36" s="186"/>
      <c r="Q36" s="128" t="s">
        <v>333</v>
      </c>
      <c r="S36" s="15" t="s">
        <v>472</v>
      </c>
      <c r="T36" s="19">
        <f>(T33*T35)/(2*3.1415*T31*(T32/1000000))</f>
        <v>1485.5962122397345</v>
      </c>
      <c r="U36" s="19"/>
      <c r="V36" s="15" t="s">
        <v>473</v>
      </c>
      <c r="W36" s="11"/>
      <c r="X36" s="15" t="s">
        <v>474</v>
      </c>
      <c r="Y36" s="38">
        <f>Y23*Y27/Y35</f>
        <v>769.10590376098412</v>
      </c>
      <c r="Z36" s="13" t="s">
        <v>475</v>
      </c>
      <c r="AA36" s="11"/>
      <c r="AB36" s="16" t="s">
        <v>476</v>
      </c>
      <c r="AC36" s="25">
        <v>12.7</v>
      </c>
      <c r="AD36" s="16" t="s">
        <v>188</v>
      </c>
      <c r="AE36" s="11"/>
      <c r="AF36" s="13" t="s">
        <v>477</v>
      </c>
      <c r="AG36" s="21">
        <f>AG34</f>
        <v>440</v>
      </c>
      <c r="AH36" s="13" t="s">
        <v>478</v>
      </c>
    </row>
    <row r="37" spans="2:34" ht="14.4" customHeight="1">
      <c r="B37" s="89" t="s">
        <v>232</v>
      </c>
      <c r="C37" s="98">
        <f t="shared" ref="C37" si="100">C29+C33</f>
        <v>6364.2676309688386</v>
      </c>
      <c r="D37" s="98">
        <f t="shared" ref="D37" si="101">D29+D33</f>
        <v>4757.7742495588573</v>
      </c>
      <c r="E37" s="98"/>
      <c r="F37" s="98">
        <f t="shared" ref="F37" si="102">F29+F33</f>
        <v>4266.6686094493471</v>
      </c>
      <c r="G37" s="98">
        <f t="shared" ref="G37:H37" si="103">G29+G33</f>
        <v>5950.4723765437375</v>
      </c>
      <c r="H37" s="98">
        <f t="shared" si="103"/>
        <v>6795.1576857982427</v>
      </c>
      <c r="I37" s="98"/>
      <c r="J37" s="216">
        <f t="shared" ref="J37:M37" si="104">J29+J33</f>
        <v>9687.5500226861932</v>
      </c>
      <c r="K37" s="98">
        <f t="shared" si="104"/>
        <v>10550.406995010406</v>
      </c>
      <c r="L37" s="98">
        <f t="shared" si="104"/>
        <v>8205.0567227013671</v>
      </c>
      <c r="M37" s="231">
        <f t="shared" si="104"/>
        <v>8975.3764843468016</v>
      </c>
      <c r="N37" s="98"/>
      <c r="O37" s="32" t="s">
        <v>1</v>
      </c>
      <c r="P37" s="186"/>
      <c r="Q37" s="128" t="s">
        <v>334</v>
      </c>
      <c r="S37" s="15" t="s">
        <v>479</v>
      </c>
      <c r="T37" s="19">
        <f>T33*T35</f>
        <v>9320</v>
      </c>
      <c r="U37" s="19"/>
      <c r="V37" s="15"/>
      <c r="W37" s="11"/>
      <c r="X37" s="13"/>
      <c r="Y37" s="13"/>
      <c r="Z37" s="13"/>
      <c r="AA37" s="11"/>
      <c r="AB37" s="16" t="s">
        <v>480</v>
      </c>
      <c r="AC37" s="24">
        <f>(PI()*(AC36/2)^2)-(PI()*(AC36/2-AC35)^2)</f>
        <v>24.130837586994687</v>
      </c>
      <c r="AD37" s="16" t="s">
        <v>189</v>
      </c>
      <c r="AE37" s="11"/>
      <c r="AF37" s="13" t="s">
        <v>481</v>
      </c>
      <c r="AG37" s="21">
        <f>AG35*1.25</f>
        <v>708.75</v>
      </c>
      <c r="AH37" s="13" t="s">
        <v>482</v>
      </c>
    </row>
    <row r="38" spans="2:34" ht="14.4" customHeight="1">
      <c r="B38" s="89" t="s">
        <v>209</v>
      </c>
      <c r="C38" s="103">
        <f t="shared" ref="C38" si="105">ROUNDUP(COS(PI()*C19/180),3)</f>
        <v>0.86699999999999999</v>
      </c>
      <c r="D38" s="103">
        <f t="shared" ref="D38" si="106">ROUNDUP(COS(PI()*D19/180),3)</f>
        <v>0.86699999999999999</v>
      </c>
      <c r="E38" s="103"/>
      <c r="F38" s="103">
        <f t="shared" ref="F38" si="107">ROUNDUP(COS(PI()*F19/180),3)</f>
        <v>0.86699999999999999</v>
      </c>
      <c r="G38" s="103">
        <f t="shared" ref="G38:H38" si="108">ROUNDUP(COS(PI()*G19/180),3)</f>
        <v>0.86699999999999999</v>
      </c>
      <c r="H38" s="103">
        <f t="shared" si="108"/>
        <v>0.86699999999999999</v>
      </c>
      <c r="I38" s="103"/>
      <c r="J38" s="217">
        <f t="shared" ref="J38:M38" si="109">ROUNDUP(COS(PI()*J19/180),3)</f>
        <v>0.86699999999999999</v>
      </c>
      <c r="K38" s="103">
        <f t="shared" si="109"/>
        <v>0.86699999999999999</v>
      </c>
      <c r="L38" s="103">
        <f t="shared" si="109"/>
        <v>0.86699999999999999</v>
      </c>
      <c r="M38" s="232">
        <f t="shared" si="109"/>
        <v>0.86699999999999999</v>
      </c>
      <c r="N38" s="103"/>
      <c r="O38" s="32"/>
      <c r="P38" s="186"/>
      <c r="Q38" s="32"/>
      <c r="S38" s="15" t="s">
        <v>483</v>
      </c>
      <c r="T38" s="19">
        <f>T36*T37/1000</f>
        <v>13845.756698074327</v>
      </c>
      <c r="U38" s="19"/>
      <c r="V38" s="15" t="s">
        <v>484</v>
      </c>
      <c r="W38" s="11"/>
      <c r="X38" s="36" t="s">
        <v>485</v>
      </c>
      <c r="Y38" s="15"/>
      <c r="Z38" s="15"/>
      <c r="AA38" s="11"/>
      <c r="AB38" s="16" t="s">
        <v>412</v>
      </c>
      <c r="AC38" s="25">
        <v>1200</v>
      </c>
      <c r="AD38" s="29" t="s">
        <v>414</v>
      </c>
      <c r="AE38" s="11"/>
      <c r="AF38" s="11"/>
      <c r="AG38" s="12"/>
      <c r="AH38" s="12"/>
    </row>
    <row r="39" spans="2:34" ht="14.4" customHeight="1">
      <c r="B39" s="89" t="s">
        <v>210</v>
      </c>
      <c r="C39" s="99">
        <f t="shared" ref="C39" si="110">C37*C36/C3/1000</f>
        <v>16.923960784313728</v>
      </c>
      <c r="D39" s="99">
        <f t="shared" ref="D39" si="111">D37*D36/D3/1000</f>
        <v>17.104281690140844</v>
      </c>
      <c r="E39" s="99"/>
      <c r="F39" s="99">
        <f t="shared" ref="F39" si="112">F37*F36/F3/1000</f>
        <v>14.106116642958755</v>
      </c>
      <c r="G39" s="99">
        <f t="shared" ref="G39:H39" si="113">G37*G36/G3/1000</f>
        <v>22.37417553191489</v>
      </c>
      <c r="H39" s="99">
        <f t="shared" si="113"/>
        <v>17.643774069319644</v>
      </c>
      <c r="I39" s="99"/>
      <c r="J39" s="218">
        <f t="shared" ref="J39:M39" si="114">J37*J36/J3/1000</f>
        <v>16.669841269841278</v>
      </c>
      <c r="K39" s="99">
        <f t="shared" si="114"/>
        <v>19.807407407407403</v>
      </c>
      <c r="L39" s="99">
        <f t="shared" si="114"/>
        <v>16.135589941972913</v>
      </c>
      <c r="M39" s="233">
        <f t="shared" si="114"/>
        <v>19.307543520309476</v>
      </c>
      <c r="N39" s="99"/>
      <c r="O39" s="32"/>
      <c r="P39" s="186"/>
      <c r="Q39" s="128" t="s">
        <v>327</v>
      </c>
      <c r="S39" s="15" t="s">
        <v>486</v>
      </c>
      <c r="T39" s="21">
        <f>T38/T34</f>
        <v>18.363072543865155</v>
      </c>
      <c r="U39" s="21"/>
      <c r="V39" s="15"/>
      <c r="W39" s="11"/>
      <c r="X39" s="15" t="s">
        <v>487</v>
      </c>
      <c r="Y39" s="37">
        <f>Y23*Y27/Y28/1000</f>
        <v>54.384</v>
      </c>
      <c r="Z39" s="13" t="s">
        <v>470</v>
      </c>
      <c r="AA39" s="11"/>
      <c r="AB39" s="16" t="s">
        <v>488</v>
      </c>
      <c r="AC39" s="30">
        <f>AC38/AC37</f>
        <v>49.728899615433981</v>
      </c>
      <c r="AD39" s="29" t="s">
        <v>414</v>
      </c>
      <c r="AE39" s="11"/>
      <c r="AF39" s="270" t="s">
        <v>489</v>
      </c>
      <c r="AG39" s="270"/>
      <c r="AH39" s="270"/>
    </row>
    <row r="40" spans="2:34" ht="14.4" customHeight="1">
      <c r="B40" s="89"/>
      <c r="C40" s="94"/>
      <c r="D40" s="94"/>
      <c r="E40" s="94"/>
      <c r="F40" s="94"/>
      <c r="G40" s="94"/>
      <c r="H40" s="94"/>
      <c r="I40" s="94"/>
      <c r="J40" s="212"/>
      <c r="K40" s="94"/>
      <c r="L40" s="94"/>
      <c r="M40" s="225"/>
      <c r="N40" s="94"/>
      <c r="O40" s="32"/>
      <c r="P40" s="186"/>
      <c r="Q40" s="32"/>
      <c r="S40" s="11"/>
      <c r="T40" s="11"/>
      <c r="U40" s="11"/>
      <c r="V40" s="11"/>
      <c r="W40" s="11"/>
      <c r="X40" s="15" t="s">
        <v>490</v>
      </c>
      <c r="Y40" s="37">
        <f>Y39/SIN(Y34*PI()/180)/SQRT(2)</f>
        <v>76.910590376098412</v>
      </c>
      <c r="Z40" s="13" t="s">
        <v>67</v>
      </c>
      <c r="AA40" s="11"/>
      <c r="AB40" s="16" t="s">
        <v>419</v>
      </c>
      <c r="AC40" s="30">
        <f>AC28/100000000*(AC38^2)/(AC37/1000000)*AC33/1000</f>
        <v>7021.1728618700126</v>
      </c>
      <c r="AD40" s="29" t="s">
        <v>420</v>
      </c>
      <c r="AE40" s="11"/>
      <c r="AF40" s="13" t="s">
        <v>381</v>
      </c>
      <c r="AG40" s="14">
        <v>0.09</v>
      </c>
      <c r="AH40" s="13" t="s">
        <v>13</v>
      </c>
    </row>
    <row r="41" spans="2:34" ht="14.4" customHeight="1">
      <c r="B41" s="89" t="s">
        <v>211</v>
      </c>
      <c r="C41" s="93">
        <v>1</v>
      </c>
      <c r="D41" s="93">
        <v>1</v>
      </c>
      <c r="E41" s="93"/>
      <c r="F41" s="93">
        <v>1</v>
      </c>
      <c r="G41" s="93">
        <v>1</v>
      </c>
      <c r="H41" s="93">
        <v>1</v>
      </c>
      <c r="I41" s="93"/>
      <c r="J41" s="211">
        <v>1</v>
      </c>
      <c r="K41" s="93">
        <v>1</v>
      </c>
      <c r="L41" s="93">
        <v>1</v>
      </c>
      <c r="M41" s="224">
        <v>1</v>
      </c>
      <c r="N41" s="93"/>
      <c r="O41" s="32"/>
      <c r="P41" s="186"/>
      <c r="Q41" s="32" t="s">
        <v>332</v>
      </c>
      <c r="S41" s="269" t="s">
        <v>491</v>
      </c>
      <c r="T41" s="269"/>
      <c r="U41" s="269"/>
      <c r="V41" s="269"/>
      <c r="W41" s="11"/>
      <c r="X41" s="15" t="s">
        <v>455</v>
      </c>
      <c r="Y41" s="38">
        <f>Y40*Y30</f>
        <v>76.910590376098412</v>
      </c>
      <c r="Z41" s="13" t="s">
        <v>449</v>
      </c>
      <c r="AA41" s="11"/>
      <c r="AB41" s="11"/>
      <c r="AC41" s="11"/>
      <c r="AD41" s="11"/>
      <c r="AE41" s="11"/>
      <c r="AF41" s="13" t="s">
        <v>386</v>
      </c>
      <c r="AG41" s="14">
        <v>90</v>
      </c>
      <c r="AH41" s="13" t="s">
        <v>349</v>
      </c>
    </row>
    <row r="42" spans="2:34" ht="14.4" customHeight="1">
      <c r="B42" s="89" t="s">
        <v>212</v>
      </c>
      <c r="C42" s="93">
        <f t="shared" ref="C42:D42" si="115">C10/C41*4/PI()/2^0.5*C38</f>
        <v>451.71831622282167</v>
      </c>
      <c r="D42" s="93">
        <f t="shared" si="115"/>
        <v>451.71831622282167</v>
      </c>
      <c r="E42" s="93"/>
      <c r="F42" s="93">
        <f t="shared" ref="F42" si="116">F10/F41*4/PI()/2^0.5*F38</f>
        <v>451.71831622282167</v>
      </c>
      <c r="G42" s="93">
        <f t="shared" ref="G42:H42" si="117">G10/G41*4/PI()/2^0.5*G38</f>
        <v>451.71831622282167</v>
      </c>
      <c r="H42" s="93">
        <f t="shared" si="117"/>
        <v>451.71831622282167</v>
      </c>
      <c r="I42" s="93"/>
      <c r="J42" s="211">
        <f t="shared" ref="J42:M42" si="118">J10/J41*4/PI()/2^0.5*J38</f>
        <v>472.2474188954676</v>
      </c>
      <c r="K42" s="93">
        <f t="shared" si="118"/>
        <v>472.2474188954676</v>
      </c>
      <c r="L42" s="93">
        <f t="shared" si="118"/>
        <v>472.2474188954676</v>
      </c>
      <c r="M42" s="224">
        <f t="shared" si="118"/>
        <v>472.2474188954676</v>
      </c>
      <c r="N42" s="93"/>
      <c r="O42" s="32" t="s">
        <v>0</v>
      </c>
      <c r="P42" s="186"/>
      <c r="Q42" s="32" t="s">
        <v>331</v>
      </c>
      <c r="S42" s="27" t="s">
        <v>492</v>
      </c>
      <c r="T42" s="28">
        <v>40</v>
      </c>
      <c r="U42" s="28"/>
      <c r="V42" s="27" t="s">
        <v>493</v>
      </c>
      <c r="W42" s="11"/>
      <c r="X42" s="15" t="s">
        <v>494</v>
      </c>
      <c r="Y42" s="37">
        <f>Y41/Y31*100</f>
        <v>76.910590376098412</v>
      </c>
      <c r="Z42" s="39" t="s">
        <v>495</v>
      </c>
      <c r="AA42" s="11"/>
      <c r="AB42" s="270" t="s">
        <v>496</v>
      </c>
      <c r="AC42" s="270"/>
      <c r="AD42" s="270"/>
      <c r="AE42" s="11"/>
      <c r="AF42" s="13" t="s">
        <v>497</v>
      </c>
      <c r="AG42" s="21">
        <f>1/(2*3.14*SQRT((AG40/1000000)*(AG41/1000000)))</f>
        <v>55949.710901775994</v>
      </c>
      <c r="AH42" s="13" t="s">
        <v>392</v>
      </c>
    </row>
    <row r="43" spans="2:34" ht="14.4" customHeight="1">
      <c r="B43" s="89" t="s">
        <v>213</v>
      </c>
      <c r="C43" s="100">
        <v>1</v>
      </c>
      <c r="D43" s="100">
        <v>1</v>
      </c>
      <c r="E43" s="100"/>
      <c r="F43" s="100">
        <v>1</v>
      </c>
      <c r="G43" s="100">
        <v>1</v>
      </c>
      <c r="H43" s="100">
        <v>1</v>
      </c>
      <c r="I43" s="100"/>
      <c r="J43" s="208">
        <v>1</v>
      </c>
      <c r="K43" s="100">
        <v>1</v>
      </c>
      <c r="L43" s="96">
        <v>1</v>
      </c>
      <c r="M43" s="226">
        <v>1</v>
      </c>
      <c r="N43" s="100"/>
      <c r="O43" s="32" t="s">
        <v>223</v>
      </c>
      <c r="P43" s="186">
        <v>8</v>
      </c>
      <c r="Q43" s="127" t="s">
        <v>338</v>
      </c>
      <c r="S43" s="27" t="s">
        <v>498</v>
      </c>
      <c r="T43" s="28">
        <v>127</v>
      </c>
      <c r="U43" s="28"/>
      <c r="V43" s="27" t="s">
        <v>1</v>
      </c>
      <c r="W43" s="11"/>
      <c r="X43" s="15" t="s">
        <v>499</v>
      </c>
      <c r="Y43" s="37">
        <f>Y42*Y42/100</f>
        <v>59.152389120000016</v>
      </c>
      <c r="Z43" s="39" t="s">
        <v>500</v>
      </c>
      <c r="AA43" s="11"/>
      <c r="AB43" s="13" t="s">
        <v>42</v>
      </c>
      <c r="AC43" s="65" t="s">
        <v>347</v>
      </c>
      <c r="AD43" s="65"/>
      <c r="AE43" s="11"/>
      <c r="AF43" s="11"/>
      <c r="AG43" s="12"/>
      <c r="AH43" s="12"/>
    </row>
    <row r="44" spans="2:34" ht="14.4" customHeight="1">
      <c r="B44" s="89" t="s">
        <v>707</v>
      </c>
      <c r="C44" s="93">
        <f t="shared" ref="C44" si="119">C34*C43</f>
        <v>207.30337882925045</v>
      </c>
      <c r="D44" s="93">
        <f t="shared" ref="D44" si="120">D34*D43</f>
        <v>144.17219891713114</v>
      </c>
      <c r="E44" s="93"/>
      <c r="F44" s="93">
        <f t="shared" ref="F44" si="121">F34*F43</f>
        <v>153.88881881720178</v>
      </c>
      <c r="G44" s="93">
        <f t="shared" ref="G44:H44" si="122">G34*G43</f>
        <v>141.99335494145262</v>
      </c>
      <c r="H44" s="93">
        <f t="shared" si="122"/>
        <v>212.19490067648002</v>
      </c>
      <c r="I44" s="93"/>
      <c r="J44" s="211">
        <f t="shared" ref="J44:M44" si="123">J34*J43</f>
        <v>441.6850642139654</v>
      </c>
      <c r="K44" s="93">
        <f t="shared" si="123"/>
        <v>404.09747786593817</v>
      </c>
      <c r="L44" s="93">
        <f t="shared" si="123"/>
        <v>416.75394960494089</v>
      </c>
      <c r="M44" s="224">
        <f t="shared" si="123"/>
        <v>380.98566693909851</v>
      </c>
      <c r="N44" s="93"/>
      <c r="O44" s="32" t="s">
        <v>0</v>
      </c>
      <c r="P44" s="186"/>
      <c r="Q44" s="32" t="s">
        <v>328</v>
      </c>
      <c r="S44" s="27" t="s">
        <v>501</v>
      </c>
      <c r="T44" s="28">
        <v>401</v>
      </c>
      <c r="U44" s="28"/>
      <c r="V44" s="27" t="s">
        <v>364</v>
      </c>
      <c r="W44" s="11"/>
      <c r="X44" s="11"/>
      <c r="Y44" s="11"/>
      <c r="Z44" s="11"/>
      <c r="AA44" s="11"/>
      <c r="AB44" s="16" t="s">
        <v>353</v>
      </c>
      <c r="AC44" s="17">
        <v>1.75</v>
      </c>
      <c r="AD44" s="16" t="s">
        <v>369</v>
      </c>
      <c r="AE44" s="11"/>
      <c r="AF44" s="270" t="s">
        <v>502</v>
      </c>
      <c r="AG44" s="270"/>
      <c r="AH44" s="270"/>
    </row>
    <row r="45" spans="2:34" ht="14.4" customHeight="1">
      <c r="B45" s="89" t="s">
        <v>228</v>
      </c>
      <c r="C45" s="173">
        <f t="shared" ref="C45" si="124">C15/C14</f>
        <v>1.9515306122448981</v>
      </c>
      <c r="D45" s="173">
        <f t="shared" ref="D45" si="125">D15/D14</f>
        <v>1.8112244897959182</v>
      </c>
      <c r="E45" s="173"/>
      <c r="F45" s="173">
        <f t="shared" ref="F45" si="126">F15/F14</f>
        <v>1.7358024691358027</v>
      </c>
      <c r="G45" s="173">
        <f t="shared" ref="G45:H45" si="127">G15/G14</f>
        <v>1.8164251207729469</v>
      </c>
      <c r="H45" s="173">
        <f t="shared" si="127"/>
        <v>1.8953771289537711</v>
      </c>
      <c r="I45" s="173"/>
      <c r="J45" s="219">
        <f t="shared" ref="J45:M45" si="128">J15/J14</f>
        <v>2.4230769230769229</v>
      </c>
      <c r="K45" s="173">
        <f t="shared" si="128"/>
        <v>2.4107142857142856</v>
      </c>
      <c r="L45" s="173">
        <f t="shared" si="128"/>
        <v>2.6377551020408165</v>
      </c>
      <c r="M45" s="234">
        <f t="shared" si="128"/>
        <v>2.6377551020408165</v>
      </c>
      <c r="N45" s="173"/>
      <c r="O45" s="32"/>
      <c r="P45" s="186"/>
      <c r="Q45" s="32"/>
      <c r="S45" s="27" t="s">
        <v>503</v>
      </c>
      <c r="T45" s="28">
        <v>1</v>
      </c>
      <c r="U45" s="28"/>
      <c r="V45" s="27"/>
      <c r="W45" s="11"/>
      <c r="X45" s="270" t="s">
        <v>504</v>
      </c>
      <c r="Y45" s="270"/>
      <c r="Z45" s="270"/>
      <c r="AA45" s="11"/>
      <c r="AB45" s="16" t="s">
        <v>439</v>
      </c>
      <c r="AC45" s="18">
        <v>3.8999999999999998E-3</v>
      </c>
      <c r="AD45" s="16" t="s">
        <v>48</v>
      </c>
      <c r="AE45" s="11"/>
      <c r="AF45" s="13" t="s">
        <v>346</v>
      </c>
      <c r="AG45" s="14">
        <v>3</v>
      </c>
      <c r="AH45" s="13" t="s">
        <v>0</v>
      </c>
    </row>
    <row r="46" spans="2:34" ht="14.4" customHeight="1">
      <c r="B46" s="89" t="s">
        <v>233</v>
      </c>
      <c r="C46" s="173">
        <f t="shared" ref="C46" si="129">C29/C49</f>
        <v>1.9515306122448981</v>
      </c>
      <c r="D46" s="173">
        <f t="shared" ref="D46" si="130">D29/D49</f>
        <v>1.8112244897959182</v>
      </c>
      <c r="E46" s="173"/>
      <c r="F46" s="173">
        <f t="shared" ref="F46" si="131">F29/F49</f>
        <v>1.7358024691358027</v>
      </c>
      <c r="G46" s="173">
        <f t="shared" ref="G46:H46" si="132">G29/G49</f>
        <v>1.8164251207729467</v>
      </c>
      <c r="H46" s="173">
        <f t="shared" si="132"/>
        <v>1.8953771289537709</v>
      </c>
      <c r="I46" s="173"/>
      <c r="J46" s="219">
        <f t="shared" ref="J46:M46" si="133">J29/J49</f>
        <v>2.4230769230769229</v>
      </c>
      <c r="K46" s="173">
        <f t="shared" si="133"/>
        <v>2.4107142857142856</v>
      </c>
      <c r="L46" s="173">
        <f t="shared" si="133"/>
        <v>2.6377551020408165</v>
      </c>
      <c r="M46" s="234">
        <f t="shared" si="133"/>
        <v>2.6377551020408161</v>
      </c>
      <c r="N46" s="173"/>
      <c r="O46" s="32"/>
      <c r="P46" s="186"/>
      <c r="Q46" s="32"/>
      <c r="S46" s="27" t="s">
        <v>473</v>
      </c>
      <c r="T46" s="35">
        <f>T44*0.9/T45</f>
        <v>360.90000000000003</v>
      </c>
      <c r="U46" s="35"/>
      <c r="V46" s="27" t="s">
        <v>0</v>
      </c>
      <c r="W46" s="11"/>
      <c r="X46" s="15" t="s">
        <v>505</v>
      </c>
      <c r="Y46" s="14">
        <v>5808</v>
      </c>
      <c r="Z46" s="15" t="s">
        <v>63</v>
      </c>
      <c r="AA46" s="11"/>
      <c r="AB46" s="16" t="s">
        <v>443</v>
      </c>
      <c r="AC46" s="20">
        <v>45</v>
      </c>
      <c r="AD46" s="16" t="s">
        <v>50</v>
      </c>
      <c r="AE46" s="11"/>
      <c r="AF46" s="13" t="s">
        <v>351</v>
      </c>
      <c r="AG46" s="14">
        <v>0.5</v>
      </c>
      <c r="AH46" s="13" t="s">
        <v>44</v>
      </c>
    </row>
    <row r="47" spans="2:34" ht="14.4" customHeight="1">
      <c r="B47" s="89" t="s">
        <v>214</v>
      </c>
      <c r="C47" s="101">
        <f t="shared" ref="C47" si="134">C44/C42*100</f>
        <v>45.892179126735414</v>
      </c>
      <c r="D47" s="101">
        <f t="shared" ref="D47" si="135">D44/D42*100</f>
        <v>31.916394296930502</v>
      </c>
      <c r="E47" s="101"/>
      <c r="F47" s="101">
        <f t="shared" ref="F47" si="136">F44/F42*100</f>
        <v>34.067429477730578</v>
      </c>
      <c r="G47" s="101">
        <f t="shared" ref="G47:H47" si="137">G44/G42*100</f>
        <v>31.434048574512698</v>
      </c>
      <c r="H47" s="101">
        <f t="shared" si="137"/>
        <v>46.975049063941306</v>
      </c>
      <c r="I47" s="101"/>
      <c r="J47" s="220">
        <f t="shared" ref="J47:M47" si="138">J44/J42*100</f>
        <v>93.528317263653022</v>
      </c>
      <c r="K47" s="101">
        <f t="shared" si="138"/>
        <v>85.56901778543876</v>
      </c>
      <c r="L47" s="101">
        <f t="shared" si="138"/>
        <v>88.249068799503533</v>
      </c>
      <c r="M47" s="235">
        <f t="shared" si="138"/>
        <v>80.675013074752243</v>
      </c>
      <c r="N47" s="101"/>
      <c r="O47" s="32" t="s">
        <v>2</v>
      </c>
      <c r="P47" s="186"/>
      <c r="Q47" s="129" t="s">
        <v>329</v>
      </c>
      <c r="S47" s="27" t="s">
        <v>506</v>
      </c>
      <c r="T47" s="35">
        <f>(T42*1000)/(T43*T44*0.9/T45)</f>
        <v>0.87270886650390644</v>
      </c>
      <c r="U47" s="35"/>
      <c r="V47" s="27"/>
      <c r="W47" s="11"/>
      <c r="X47" s="15" t="s">
        <v>507</v>
      </c>
      <c r="Y47" s="14">
        <v>680</v>
      </c>
      <c r="Z47" s="15" t="s">
        <v>508</v>
      </c>
      <c r="AA47" s="11"/>
      <c r="AB47" s="16" t="s">
        <v>368</v>
      </c>
      <c r="AC47" s="18">
        <f>AC44*(1+AC45*(AC46-20))</f>
        <v>1.9206249999999998</v>
      </c>
      <c r="AD47" s="16" t="s">
        <v>186</v>
      </c>
      <c r="AE47" s="11"/>
      <c r="AF47" s="13" t="s">
        <v>46</v>
      </c>
      <c r="AG47" s="14">
        <v>1</v>
      </c>
      <c r="AH47" s="13" t="s">
        <v>358</v>
      </c>
    </row>
    <row r="48" spans="2:34" ht="14.4" customHeight="1">
      <c r="B48" s="89" t="s">
        <v>756</v>
      </c>
      <c r="C48" s="94">
        <f t="shared" ref="C48:D48" si="139">C49/3</f>
        <v>718.75335964845419</v>
      </c>
      <c r="D48" s="94">
        <f t="shared" si="139"/>
        <v>564.14020139959837</v>
      </c>
      <c r="E48" s="94"/>
      <c r="F48" s="94">
        <f>F49/3</f>
        <v>519.85583237875619</v>
      </c>
      <c r="G48" s="94">
        <f t="shared" ref="G48:H48" si="140">G49/3</f>
        <v>704.25830871615426</v>
      </c>
      <c r="H48" s="94">
        <f t="shared" si="140"/>
        <v>782.29966634820119</v>
      </c>
      <c r="I48" s="94"/>
      <c r="J48" s="212">
        <f>J49/3</f>
        <v>943.35693104809377</v>
      </c>
      <c r="K48" s="94">
        <f>K49/3</f>
        <v>1031.1043485525004</v>
      </c>
      <c r="L48" s="94">
        <f>L49/2</f>
        <v>1127.7637571174389</v>
      </c>
      <c r="M48" s="225">
        <f>M49/2</f>
        <v>1233.6422096297147</v>
      </c>
      <c r="N48" s="94"/>
      <c r="O48" s="32"/>
      <c r="P48" s="186"/>
      <c r="Q48" s="32"/>
      <c r="S48" s="27" t="s">
        <v>509</v>
      </c>
      <c r="T48" s="134">
        <f>DEGREES(ACOS(T47))</f>
        <v>29.225030363895115</v>
      </c>
      <c r="U48" s="134"/>
      <c r="V48" s="27"/>
      <c r="W48" s="11"/>
      <c r="X48" s="15" t="s">
        <v>510</v>
      </c>
      <c r="Y48" s="14">
        <v>300</v>
      </c>
      <c r="Z48" s="15" t="s">
        <v>470</v>
      </c>
      <c r="AA48" s="11"/>
      <c r="AB48" s="16" t="s">
        <v>372</v>
      </c>
      <c r="AC48" s="22">
        <f>1/(AC47/100000000)</f>
        <v>52066384.64041654</v>
      </c>
      <c r="AD48" s="16" t="s">
        <v>373</v>
      </c>
      <c r="AE48" s="11"/>
      <c r="AF48" s="13" t="s">
        <v>362</v>
      </c>
      <c r="AG48" s="14">
        <v>600</v>
      </c>
      <c r="AH48" s="13" t="s">
        <v>363</v>
      </c>
    </row>
    <row r="49" spans="2:34" ht="14.4" customHeight="1">
      <c r="B49" s="89" t="s">
        <v>215</v>
      </c>
      <c r="C49" s="97">
        <f t="shared" ref="C49" si="141">C29/C43/C45</f>
        <v>2156.2600789453627</v>
      </c>
      <c r="D49" s="97">
        <f t="shared" ref="D49" si="142">D29/D43/D45</f>
        <v>1692.420604198795</v>
      </c>
      <c r="E49" s="97"/>
      <c r="F49" s="97">
        <f t="shared" ref="F49" si="143">F29/F43/F45</f>
        <v>1559.5674971362685</v>
      </c>
      <c r="G49" s="97">
        <f t="shared" ref="G49:H49" si="144">G29/G43/G45</f>
        <v>2112.7749261484628</v>
      </c>
      <c r="H49" s="97">
        <f t="shared" si="144"/>
        <v>2346.8989990446034</v>
      </c>
      <c r="I49" s="97"/>
      <c r="J49" s="214">
        <f t="shared" ref="J49:M49" si="145">J29/J43/J45</f>
        <v>2830.0707931442812</v>
      </c>
      <c r="K49" s="97">
        <f t="shared" si="145"/>
        <v>3093.3130456575013</v>
      </c>
      <c r="L49" s="97">
        <f t="shared" si="145"/>
        <v>2255.5275142348778</v>
      </c>
      <c r="M49" s="229">
        <f t="shared" si="145"/>
        <v>2467.2844192594293</v>
      </c>
      <c r="N49" s="97"/>
      <c r="O49" s="32" t="s">
        <v>45</v>
      </c>
      <c r="P49" s="186"/>
      <c r="Q49" s="128" t="s">
        <v>330</v>
      </c>
      <c r="S49" s="11"/>
      <c r="T49" s="11"/>
      <c r="U49" s="11"/>
      <c r="V49" s="11"/>
      <c r="W49" s="11"/>
      <c r="X49" s="15" t="s">
        <v>511</v>
      </c>
      <c r="Y49" s="21">
        <f>Y46*Y47/Y48</f>
        <v>13164.8</v>
      </c>
      <c r="Z49" s="15" t="s">
        <v>512</v>
      </c>
      <c r="AA49" s="11"/>
      <c r="AB49" s="16" t="s">
        <v>376</v>
      </c>
      <c r="AC49" s="65">
        <v>1</v>
      </c>
      <c r="AD49" s="16" t="s">
        <v>377</v>
      </c>
      <c r="AE49" s="11"/>
      <c r="AF49" s="13" t="s">
        <v>366</v>
      </c>
      <c r="AG49" s="21">
        <f>(5000*AG45)/(AG46*AG47*AG48)</f>
        <v>50</v>
      </c>
      <c r="AH49" s="13" t="s">
        <v>513</v>
      </c>
    </row>
    <row r="50" spans="2:34" ht="14.4" customHeight="1">
      <c r="B50" s="89" t="s">
        <v>216</v>
      </c>
      <c r="C50" s="93">
        <f t="shared" ref="C50" si="146">ROUND(C49*2^0.5*2/PI(),0)</f>
        <v>1941</v>
      </c>
      <c r="D50" s="93">
        <f t="shared" ref="D50" si="147">ROUND(D49*2^0.5*2/PI(),0)</f>
        <v>1524</v>
      </c>
      <c r="E50" s="93"/>
      <c r="F50" s="93">
        <f t="shared" ref="F50" si="148">ROUND(F49*2^0.5*2/PI(),0)</f>
        <v>1404</v>
      </c>
      <c r="G50" s="93">
        <f t="shared" ref="G50:H50" si="149">ROUND(G49*2^0.5*2/PI(),0)</f>
        <v>1902</v>
      </c>
      <c r="H50" s="93">
        <f t="shared" si="149"/>
        <v>2113</v>
      </c>
      <c r="I50" s="93"/>
      <c r="J50" s="211">
        <f t="shared" ref="J50:M50" si="150">ROUND(J49*2^0.5*2/PI(),0)</f>
        <v>2548</v>
      </c>
      <c r="K50" s="93">
        <f t="shared" si="150"/>
        <v>2785</v>
      </c>
      <c r="L50" s="93">
        <f t="shared" si="150"/>
        <v>2031</v>
      </c>
      <c r="M50" s="224">
        <f t="shared" si="150"/>
        <v>2221</v>
      </c>
      <c r="N50" s="93"/>
      <c r="O50" s="32" t="s">
        <v>45</v>
      </c>
      <c r="P50" s="186"/>
      <c r="Q50" s="32"/>
      <c r="S50" s="269" t="s">
        <v>514</v>
      </c>
      <c r="T50" s="269"/>
      <c r="U50" s="269"/>
      <c r="V50" s="269"/>
      <c r="W50" s="11"/>
      <c r="X50" s="11"/>
      <c r="Y50" s="11"/>
      <c r="Z50" s="11"/>
      <c r="AA50" s="11"/>
      <c r="AB50" s="16" t="s">
        <v>515</v>
      </c>
      <c r="AC50" s="23">
        <v>12000</v>
      </c>
      <c r="AD50" s="16" t="s">
        <v>382</v>
      </c>
      <c r="AE50" s="11"/>
      <c r="AF50" s="11"/>
      <c r="AG50" s="12"/>
      <c r="AH50" s="12"/>
    </row>
    <row r="51" spans="2:34" ht="14.4" customHeight="1">
      <c r="B51" s="89" t="s">
        <v>217</v>
      </c>
      <c r="C51" s="93">
        <f t="shared" ref="C51" si="151">C50/C41</f>
        <v>1941</v>
      </c>
      <c r="D51" s="93">
        <f t="shared" ref="D51" si="152">D50/D41</f>
        <v>1524</v>
      </c>
      <c r="E51" s="93"/>
      <c r="F51" s="93">
        <f t="shared" ref="F51" si="153">F50/F41</f>
        <v>1404</v>
      </c>
      <c r="G51" s="93">
        <f t="shared" ref="G51:H51" si="154">G50/G41</f>
        <v>1902</v>
      </c>
      <c r="H51" s="93">
        <f t="shared" si="154"/>
        <v>2113</v>
      </c>
      <c r="I51" s="93"/>
      <c r="J51" s="211">
        <f t="shared" ref="J51:M51" si="155">J50/J41</f>
        <v>2548</v>
      </c>
      <c r="K51" s="93">
        <f t="shared" si="155"/>
        <v>2785</v>
      </c>
      <c r="L51" s="93">
        <f t="shared" si="155"/>
        <v>2031</v>
      </c>
      <c r="M51" s="224">
        <f t="shared" si="155"/>
        <v>2221</v>
      </c>
      <c r="N51" s="93"/>
      <c r="O51" s="32" t="s">
        <v>45</v>
      </c>
      <c r="P51" s="186"/>
      <c r="Q51" s="32"/>
      <c r="S51" s="106" t="s">
        <v>516</v>
      </c>
      <c r="T51" s="135">
        <v>300</v>
      </c>
      <c r="U51" s="135"/>
      <c r="V51" s="106" t="s">
        <v>350</v>
      </c>
      <c r="W51" s="11"/>
      <c r="X51" s="270" t="s">
        <v>517</v>
      </c>
      <c r="Y51" s="270"/>
      <c r="Z51" s="270"/>
      <c r="AA51" s="11"/>
      <c r="AB51" s="16" t="s">
        <v>388</v>
      </c>
      <c r="AC51" s="24">
        <f>503.3*SQRT((AC47/100000000)/(AC49*AC50))*1000</f>
        <v>0.63673334823551386</v>
      </c>
      <c r="AD51" s="16" t="s">
        <v>393</v>
      </c>
      <c r="AE51" s="11"/>
      <c r="AF51" s="11"/>
      <c r="AG51" s="12"/>
      <c r="AH51" s="12"/>
    </row>
    <row r="52" spans="2:34" ht="14.4" customHeight="1" thickBot="1">
      <c r="B52" s="89" t="s">
        <v>218</v>
      </c>
      <c r="C52" s="93">
        <f t="shared" ref="C52" si="156">ROUND(C51/C11,3)</f>
        <v>2.5129999999999999</v>
      </c>
      <c r="D52" s="93">
        <f t="shared" ref="D52" si="157">ROUND(D51/D11,3)</f>
        <v>3.6150000000000002</v>
      </c>
      <c r="E52" s="93"/>
      <c r="F52" s="93">
        <f t="shared" ref="F52" si="158">ROUND(F51/F11,3)</f>
        <v>3.3860000000000001</v>
      </c>
      <c r="G52" s="93">
        <f t="shared" ref="G52:H52" si="159">ROUND(G51/G11,3)</f>
        <v>3.669</v>
      </c>
      <c r="H52" s="93">
        <f t="shared" si="159"/>
        <v>2.456</v>
      </c>
      <c r="I52" s="93"/>
      <c r="J52" s="221">
        <f t="shared" ref="J52:M52" si="160">ROUND(J51/J11,3)</f>
        <v>1.2330000000000001</v>
      </c>
      <c r="K52" s="237">
        <f t="shared" si="160"/>
        <v>1.3480000000000001</v>
      </c>
      <c r="L52" s="237">
        <f t="shared" si="160"/>
        <v>1.3069999999999999</v>
      </c>
      <c r="M52" s="236">
        <f t="shared" si="160"/>
        <v>1.429</v>
      </c>
      <c r="N52" s="93"/>
      <c r="O52" s="32"/>
      <c r="P52" s="186"/>
      <c r="Q52" s="32"/>
      <c r="S52" s="106" t="s">
        <v>518</v>
      </c>
      <c r="T52" s="135">
        <v>1</v>
      </c>
      <c r="U52" s="135"/>
      <c r="V52" s="106" t="s">
        <v>350</v>
      </c>
      <c r="W52" s="11"/>
      <c r="X52" s="27" t="s">
        <v>519</v>
      </c>
      <c r="Y52" s="28">
        <v>15.4</v>
      </c>
      <c r="Z52" s="27" t="s">
        <v>350</v>
      </c>
      <c r="AA52" s="11"/>
      <c r="AB52" s="16" t="s">
        <v>520</v>
      </c>
      <c r="AC52" s="25">
        <v>16000</v>
      </c>
      <c r="AD52" s="16" t="s">
        <v>393</v>
      </c>
      <c r="AE52" s="11"/>
      <c r="AF52" s="270" t="s">
        <v>521</v>
      </c>
      <c r="AG52" s="270"/>
      <c r="AH52" s="270"/>
    </row>
    <row r="53" spans="2:34" ht="14.4" customHeight="1">
      <c r="P53" s="187"/>
      <c r="S53" s="106" t="s">
        <v>522</v>
      </c>
      <c r="T53" s="135">
        <v>100</v>
      </c>
      <c r="U53" s="135"/>
      <c r="V53" s="106" t="s">
        <v>350</v>
      </c>
      <c r="W53" s="11"/>
      <c r="X53" s="27" t="s">
        <v>523</v>
      </c>
      <c r="Y53" s="28">
        <v>2</v>
      </c>
      <c r="Z53" s="27" t="s">
        <v>350</v>
      </c>
      <c r="AA53" s="11"/>
      <c r="AB53" s="16" t="s">
        <v>466</v>
      </c>
      <c r="AC53" s="25">
        <v>2.5</v>
      </c>
      <c r="AD53" s="16" t="s">
        <v>393</v>
      </c>
      <c r="AE53" s="11"/>
      <c r="AF53" s="13" t="s">
        <v>58</v>
      </c>
      <c r="AG53" s="14">
        <v>884.4</v>
      </c>
      <c r="AH53" s="13" t="s">
        <v>11</v>
      </c>
    </row>
    <row r="54" spans="2:34" ht="14.4" customHeight="1">
      <c r="B54" s="105" t="s">
        <v>242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P54" s="187"/>
      <c r="S54" s="106" t="s">
        <v>524</v>
      </c>
      <c r="T54" s="136">
        <f>12.5*(T52/10)*(T53/10)/(T51/10)</f>
        <v>0.41666666666666669</v>
      </c>
      <c r="U54" s="136"/>
      <c r="V54" s="106" t="s">
        <v>525</v>
      </c>
      <c r="W54" s="11"/>
      <c r="X54" s="27" t="s">
        <v>526</v>
      </c>
      <c r="Y54" s="35">
        <f>Y52+Y53*2</f>
        <v>19.399999999999999</v>
      </c>
      <c r="Z54" s="27" t="s">
        <v>6</v>
      </c>
      <c r="AA54" s="11"/>
      <c r="AB54" s="16" t="s">
        <v>57</v>
      </c>
      <c r="AC54" s="26">
        <f>MIN(AC51,AC53)</f>
        <v>0.63673334823551386</v>
      </c>
      <c r="AD54" s="16" t="s">
        <v>188</v>
      </c>
      <c r="AE54" s="11"/>
      <c r="AF54" s="13" t="s">
        <v>527</v>
      </c>
      <c r="AG54" s="14">
        <v>0.96</v>
      </c>
      <c r="AH54" s="13" t="s">
        <v>405</v>
      </c>
    </row>
    <row r="55" spans="2:34" ht="14.4" customHeight="1">
      <c r="B55" s="106" t="s">
        <v>243</v>
      </c>
      <c r="C55" s="107">
        <v>1</v>
      </c>
      <c r="D55" s="107">
        <v>1</v>
      </c>
      <c r="E55" s="107"/>
      <c r="F55" s="107">
        <v>1</v>
      </c>
      <c r="G55" s="107">
        <v>1</v>
      </c>
      <c r="H55" s="107">
        <v>1</v>
      </c>
      <c r="I55" s="107"/>
      <c r="J55" s="107">
        <v>1</v>
      </c>
      <c r="K55" s="107">
        <v>1</v>
      </c>
      <c r="L55" s="107">
        <v>1</v>
      </c>
      <c r="M55" s="107">
        <v>1</v>
      </c>
      <c r="N55" s="107"/>
      <c r="O55" s="106" t="s">
        <v>287</v>
      </c>
      <c r="P55" s="186">
        <v>9</v>
      </c>
      <c r="Q55" s="125" t="s">
        <v>298</v>
      </c>
      <c r="S55" s="12"/>
      <c r="T55" s="12"/>
      <c r="U55" s="12"/>
      <c r="V55" s="12"/>
      <c r="W55" s="12"/>
      <c r="X55" s="40" t="s">
        <v>528</v>
      </c>
      <c r="Y55" s="41">
        <v>8.8539999999999992E-12</v>
      </c>
      <c r="Z55" s="32"/>
      <c r="AA55" s="12"/>
      <c r="AB55" s="16" t="s">
        <v>68</v>
      </c>
      <c r="AC55" s="25">
        <v>30</v>
      </c>
      <c r="AD55" s="16" t="s">
        <v>188</v>
      </c>
      <c r="AE55" s="12"/>
      <c r="AF55" s="13" t="s">
        <v>416</v>
      </c>
      <c r="AG55" s="14">
        <v>1456</v>
      </c>
      <c r="AH55" s="13" t="s">
        <v>0</v>
      </c>
    </row>
    <row r="56" spans="2:34" ht="14.4" customHeight="1">
      <c r="B56" s="106" t="s">
        <v>244</v>
      </c>
      <c r="C56" s="108">
        <f t="shared" ref="C56:M56" si="161">C49/C55</f>
        <v>2156.2600789453627</v>
      </c>
      <c r="D56" s="108">
        <f t="shared" si="161"/>
        <v>1692.420604198795</v>
      </c>
      <c r="E56" s="108"/>
      <c r="F56" s="108">
        <f t="shared" si="161"/>
        <v>1559.5674971362685</v>
      </c>
      <c r="G56" s="108">
        <f t="shared" si="161"/>
        <v>2112.7749261484628</v>
      </c>
      <c r="H56" s="108">
        <f t="shared" si="161"/>
        <v>2346.8989990446034</v>
      </c>
      <c r="I56" s="108"/>
      <c r="J56" s="108">
        <f t="shared" si="161"/>
        <v>2830.0707931442812</v>
      </c>
      <c r="K56" s="108">
        <f t="shared" si="161"/>
        <v>3093.3130456575013</v>
      </c>
      <c r="L56" s="108">
        <f t="shared" si="161"/>
        <v>2255.5275142348778</v>
      </c>
      <c r="M56" s="108">
        <f t="shared" si="161"/>
        <v>2467.2844192594293</v>
      </c>
      <c r="N56" s="108"/>
      <c r="O56" s="106" t="s">
        <v>1</v>
      </c>
      <c r="P56" s="186"/>
      <c r="Q56" s="106" t="s">
        <v>299</v>
      </c>
      <c r="S56" s="269" t="s">
        <v>529</v>
      </c>
      <c r="T56" s="269"/>
      <c r="U56" s="269"/>
      <c r="V56" s="269"/>
      <c r="W56" s="12"/>
      <c r="X56" s="40" t="s">
        <v>530</v>
      </c>
      <c r="Y56" s="33">
        <v>2.1</v>
      </c>
      <c r="Z56" s="32" t="s">
        <v>531</v>
      </c>
      <c r="AA56" s="12"/>
      <c r="AB56" s="16" t="s">
        <v>532</v>
      </c>
      <c r="AC56" s="25">
        <v>20</v>
      </c>
      <c r="AD56" s="16" t="s">
        <v>393</v>
      </c>
      <c r="AE56" s="12"/>
      <c r="AF56" s="13" t="s">
        <v>411</v>
      </c>
      <c r="AG56" s="42">
        <f>(AG55)*(2*3.14*AG54*1000*(AG53/1000000))</f>
        <v>7763.2037683200006</v>
      </c>
      <c r="AH56" s="13" t="s">
        <v>355</v>
      </c>
    </row>
    <row r="57" spans="2:34" ht="14.4" customHeight="1">
      <c r="B57" s="106" t="s">
        <v>245</v>
      </c>
      <c r="C57" s="109">
        <v>3.6</v>
      </c>
      <c r="D57" s="109">
        <v>3.6</v>
      </c>
      <c r="E57" s="109"/>
      <c r="F57" s="109">
        <v>3.6</v>
      </c>
      <c r="G57" s="109">
        <v>3.6</v>
      </c>
      <c r="H57" s="109">
        <v>3.6</v>
      </c>
      <c r="I57" s="109"/>
      <c r="J57" s="109">
        <v>3.6</v>
      </c>
      <c r="K57" s="109">
        <v>3.6</v>
      </c>
      <c r="L57" s="109">
        <v>3.6</v>
      </c>
      <c r="M57" s="109">
        <v>3.6</v>
      </c>
      <c r="N57" s="109"/>
      <c r="O57" s="106" t="s">
        <v>288</v>
      </c>
      <c r="P57" s="186">
        <v>10</v>
      </c>
      <c r="Q57" s="125" t="s">
        <v>311</v>
      </c>
      <c r="S57" s="106" t="s">
        <v>533</v>
      </c>
      <c r="T57" s="135">
        <v>3000</v>
      </c>
      <c r="U57" s="135"/>
      <c r="V57" s="106" t="s">
        <v>185</v>
      </c>
      <c r="W57" s="12"/>
      <c r="X57" s="32" t="s">
        <v>534</v>
      </c>
      <c r="Y57" s="41">
        <f>2*PI()*Y55*Y56/(LN(Y54/Y52))*1000000000</f>
        <v>0.50594615125588516</v>
      </c>
      <c r="Z57" s="32" t="s">
        <v>536</v>
      </c>
      <c r="AA57" s="12"/>
      <c r="AB57" s="16" t="s">
        <v>61</v>
      </c>
      <c r="AC57" s="24">
        <f>(AC55*AC56)-((AC55-2*AC54)*(AC56-2*AC54))</f>
        <v>62.051617396530673</v>
      </c>
      <c r="AD57" s="16" t="s">
        <v>189</v>
      </c>
      <c r="AE57" s="12"/>
      <c r="AF57" s="12"/>
      <c r="AG57" s="12"/>
      <c r="AH57" s="12"/>
    </row>
    <row r="58" spans="2:34" ht="14.4" customHeight="1">
      <c r="B58" s="106" t="s">
        <v>246</v>
      </c>
      <c r="C58" s="109">
        <v>25</v>
      </c>
      <c r="D58" s="109">
        <v>25</v>
      </c>
      <c r="E58" s="109"/>
      <c r="F58" s="109">
        <v>25</v>
      </c>
      <c r="G58" s="109">
        <v>25</v>
      </c>
      <c r="H58" s="109">
        <v>25</v>
      </c>
      <c r="I58" s="109"/>
      <c r="J58" s="109">
        <v>25</v>
      </c>
      <c r="K58" s="109">
        <v>25</v>
      </c>
      <c r="L58" s="109">
        <v>25</v>
      </c>
      <c r="M58" s="109">
        <v>25</v>
      </c>
      <c r="N58" s="109"/>
      <c r="O58" s="106" t="s">
        <v>0</v>
      </c>
      <c r="P58" s="186">
        <v>11</v>
      </c>
      <c r="Q58" s="125" t="s">
        <v>301</v>
      </c>
      <c r="S58" s="106" t="s">
        <v>518</v>
      </c>
      <c r="T58" s="135">
        <v>1</v>
      </c>
      <c r="U58" s="135"/>
      <c r="V58" s="106" t="s">
        <v>6</v>
      </c>
      <c r="W58" s="12"/>
      <c r="X58" s="32" t="s">
        <v>537</v>
      </c>
      <c r="Y58" s="33">
        <v>10</v>
      </c>
      <c r="Z58" s="32" t="s">
        <v>454</v>
      </c>
      <c r="AA58" s="12"/>
      <c r="AB58" s="16" t="s">
        <v>413</v>
      </c>
      <c r="AC58" s="25">
        <v>3000</v>
      </c>
      <c r="AD58" s="29" t="s">
        <v>414</v>
      </c>
      <c r="AE58" s="12"/>
      <c r="AF58" s="12"/>
      <c r="AG58" s="12"/>
      <c r="AH58" s="12"/>
    </row>
    <row r="59" spans="2:34" ht="14.4" customHeight="1">
      <c r="B59" s="106" t="s">
        <v>247</v>
      </c>
      <c r="C59" s="110">
        <f t="shared" ref="C59:M59" si="162">C58*C57/1000000*C60*1000</f>
        <v>1.0321936015244983</v>
      </c>
      <c r="D59" s="110">
        <f t="shared" si="162"/>
        <v>1.0456511600220069</v>
      </c>
      <c r="E59" s="110"/>
      <c r="F59" s="110">
        <f t="shared" si="162"/>
        <v>1.0366518815471093</v>
      </c>
      <c r="G59" s="110">
        <f t="shared" si="162"/>
        <v>1.016970648333319</v>
      </c>
      <c r="H59" s="110">
        <f t="shared" si="162"/>
        <v>1.0130994395987332</v>
      </c>
      <c r="I59" s="110"/>
      <c r="J59" s="110">
        <f t="shared" si="162"/>
        <v>1.1520227422967166</v>
      </c>
      <c r="K59" s="110">
        <f t="shared" si="162"/>
        <v>1.1499405627293144</v>
      </c>
      <c r="L59" s="110">
        <f t="shared" si="162"/>
        <v>1.1353377736678154</v>
      </c>
      <c r="M59" s="110">
        <f t="shared" si="162"/>
        <v>1.1353377736678154</v>
      </c>
      <c r="N59" s="110"/>
      <c r="O59" s="106" t="s">
        <v>289</v>
      </c>
      <c r="P59" s="186"/>
      <c r="Q59" s="106"/>
      <c r="S59" s="106" t="s">
        <v>538</v>
      </c>
      <c r="T59" s="135">
        <v>2.1</v>
      </c>
      <c r="U59" s="135"/>
      <c r="V59" s="106" t="s">
        <v>539</v>
      </c>
      <c r="W59" s="43"/>
      <c r="X59" s="32" t="s">
        <v>540</v>
      </c>
      <c r="Y59" s="44">
        <f>Y57*Y58</f>
        <v>5.0594615125588511</v>
      </c>
      <c r="Z59" s="32" t="s">
        <v>535</v>
      </c>
      <c r="AA59" s="12"/>
      <c r="AB59" s="16" t="s">
        <v>488</v>
      </c>
      <c r="AC59" s="30">
        <f>AC58/AC57</f>
        <v>48.346846155983215</v>
      </c>
      <c r="AD59" s="29" t="s">
        <v>414</v>
      </c>
      <c r="AE59" s="12"/>
      <c r="AF59" s="12"/>
      <c r="AG59" s="12"/>
      <c r="AH59" s="12"/>
    </row>
    <row r="60" spans="2:34" ht="14.4" customHeight="1">
      <c r="B60" s="106" t="s">
        <v>248</v>
      </c>
      <c r="C60" s="108">
        <f>C22</f>
        <v>11.468817794716648</v>
      </c>
      <c r="D60" s="108">
        <f t="shared" ref="D60:M60" si="163">D22</f>
        <v>11.618346222466741</v>
      </c>
      <c r="E60" s="108"/>
      <c r="F60" s="108">
        <f t="shared" si="163"/>
        <v>11.518354239412327</v>
      </c>
      <c r="G60" s="108">
        <f t="shared" si="163"/>
        <v>11.29967387037021</v>
      </c>
      <c r="H60" s="108">
        <f t="shared" si="163"/>
        <v>11.256660439985925</v>
      </c>
      <c r="I60" s="108"/>
      <c r="J60" s="108">
        <f t="shared" si="163"/>
        <v>12.80025269218574</v>
      </c>
      <c r="K60" s="108">
        <f t="shared" si="163"/>
        <v>12.777117363659048</v>
      </c>
      <c r="L60" s="108">
        <f t="shared" si="163"/>
        <v>12.614864151864616</v>
      </c>
      <c r="M60" s="108">
        <f t="shared" si="163"/>
        <v>12.614864151864616</v>
      </c>
      <c r="N60" s="108"/>
      <c r="O60" s="106" t="s">
        <v>14</v>
      </c>
      <c r="P60" s="186"/>
      <c r="Q60" s="106" t="s">
        <v>302</v>
      </c>
      <c r="S60" s="106" t="s">
        <v>541</v>
      </c>
      <c r="T60" s="136">
        <f>8.854/1000000000000*T59*(T57/1000000)/(T58/1000)*1000000000</f>
        <v>5.5780200000000002E-2</v>
      </c>
      <c r="U60" s="136"/>
      <c r="V60" s="106" t="s">
        <v>535</v>
      </c>
      <c r="W60" s="12"/>
      <c r="X60" s="12"/>
      <c r="Y60" s="12"/>
      <c r="Z60" s="12"/>
      <c r="AA60" s="12"/>
      <c r="AB60" s="16" t="s">
        <v>542</v>
      </c>
      <c r="AC60" s="30">
        <f>AC47/100000000*(AC58^2)/(AC57/1000000)*AC52/1000</f>
        <v>44570.957471200913</v>
      </c>
      <c r="AD60" s="29" t="s">
        <v>420</v>
      </c>
      <c r="AE60" s="12"/>
      <c r="AF60" s="12"/>
      <c r="AG60" s="12"/>
      <c r="AH60" s="12"/>
    </row>
    <row r="61" spans="2:34" ht="14.4" customHeight="1">
      <c r="B61" s="106" t="s">
        <v>249</v>
      </c>
      <c r="C61" s="111">
        <f t="shared" ref="C61:M61" si="164">C56*1.414</f>
        <v>3048.9517516287428</v>
      </c>
      <c r="D61" s="111">
        <f t="shared" si="164"/>
        <v>2393.0827343370961</v>
      </c>
      <c r="E61" s="111"/>
      <c r="F61" s="111">
        <f t="shared" si="164"/>
        <v>2205.2284409506833</v>
      </c>
      <c r="G61" s="111">
        <f t="shared" si="164"/>
        <v>2987.4637455739262</v>
      </c>
      <c r="H61" s="111">
        <f t="shared" si="164"/>
        <v>3318.5151846490689</v>
      </c>
      <c r="I61" s="111"/>
      <c r="J61" s="111">
        <f t="shared" si="164"/>
        <v>4001.7201015060132</v>
      </c>
      <c r="K61" s="111">
        <f t="shared" si="164"/>
        <v>4373.9446465597066</v>
      </c>
      <c r="L61" s="111">
        <f t="shared" si="164"/>
        <v>3189.3159051281168</v>
      </c>
      <c r="M61" s="111">
        <f t="shared" si="164"/>
        <v>3488.7401688328328</v>
      </c>
      <c r="N61" s="111"/>
      <c r="O61" s="106" t="s">
        <v>1</v>
      </c>
      <c r="P61" s="186"/>
      <c r="Q61" s="106" t="s">
        <v>312</v>
      </c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2:34" ht="14.4" customHeight="1">
      <c r="B62" s="106" t="s">
        <v>250</v>
      </c>
      <c r="C62" s="109">
        <v>25</v>
      </c>
      <c r="D62" s="109">
        <v>25</v>
      </c>
      <c r="E62" s="109"/>
      <c r="F62" s="109">
        <v>25</v>
      </c>
      <c r="G62" s="109">
        <v>25</v>
      </c>
      <c r="H62" s="109">
        <v>25</v>
      </c>
      <c r="I62" s="109"/>
      <c r="J62" s="109">
        <v>25</v>
      </c>
      <c r="K62" s="109">
        <v>25</v>
      </c>
      <c r="L62" s="109">
        <v>25</v>
      </c>
      <c r="M62" s="109">
        <v>25</v>
      </c>
      <c r="N62" s="109"/>
      <c r="O62" s="106" t="s">
        <v>290</v>
      </c>
      <c r="P62" s="186">
        <v>12</v>
      </c>
      <c r="Q62" s="125" t="s">
        <v>303</v>
      </c>
      <c r="S62" s="272" t="s">
        <v>543</v>
      </c>
      <c r="T62" s="272"/>
      <c r="U62" s="272"/>
      <c r="V62" s="272"/>
      <c r="X62" s="12"/>
      <c r="Y62" s="12"/>
      <c r="Z62" s="12"/>
      <c r="AA62" s="12"/>
      <c r="AB62" s="270" t="s">
        <v>544</v>
      </c>
      <c r="AC62" s="270"/>
      <c r="AD62" s="270"/>
      <c r="AE62" s="12"/>
      <c r="AF62" s="12"/>
      <c r="AG62" s="12"/>
      <c r="AH62" s="12"/>
    </row>
    <row r="63" spans="2:34" ht="14.4" customHeight="1">
      <c r="B63" s="106" t="s">
        <v>251</v>
      </c>
      <c r="C63" s="110">
        <v>0</v>
      </c>
      <c r="D63" s="110">
        <v>0</v>
      </c>
      <c r="E63" s="110"/>
      <c r="F63" s="110">
        <v>0</v>
      </c>
      <c r="G63" s="110">
        <v>0</v>
      </c>
      <c r="H63" s="110">
        <v>0</v>
      </c>
      <c r="I63" s="110"/>
      <c r="J63" s="110">
        <v>0</v>
      </c>
      <c r="K63" s="110">
        <v>0</v>
      </c>
      <c r="L63" s="110">
        <v>0</v>
      </c>
      <c r="M63" s="110">
        <v>0</v>
      </c>
      <c r="N63" s="110"/>
      <c r="O63" s="106" t="s">
        <v>290</v>
      </c>
      <c r="P63" s="186"/>
      <c r="Q63" s="106"/>
      <c r="S63" s="137"/>
      <c r="T63" s="138" t="s">
        <v>545</v>
      </c>
      <c r="U63" s="138"/>
      <c r="V63" s="138" t="s">
        <v>546</v>
      </c>
      <c r="W63" s="138" t="s">
        <v>547</v>
      </c>
      <c r="X63" s="12"/>
      <c r="Y63" s="12"/>
      <c r="Z63" s="12"/>
      <c r="AA63" s="12"/>
      <c r="AB63" s="13" t="s">
        <v>434</v>
      </c>
      <c r="AC63" s="65" t="s">
        <v>347</v>
      </c>
      <c r="AD63" s="65"/>
      <c r="AE63" s="12"/>
      <c r="AF63" s="12"/>
      <c r="AG63" s="12"/>
      <c r="AH63" s="12"/>
    </row>
    <row r="64" spans="2:34" ht="14.4" customHeight="1">
      <c r="B64" s="106" t="s">
        <v>252</v>
      </c>
      <c r="C64" s="110">
        <v>0</v>
      </c>
      <c r="D64" s="110">
        <v>0</v>
      </c>
      <c r="E64" s="110"/>
      <c r="F64" s="110">
        <v>0</v>
      </c>
      <c r="G64" s="110">
        <v>0</v>
      </c>
      <c r="H64" s="110">
        <v>0</v>
      </c>
      <c r="I64" s="110"/>
      <c r="J64" s="110">
        <v>0</v>
      </c>
      <c r="K64" s="110">
        <v>0</v>
      </c>
      <c r="L64" s="110">
        <v>0</v>
      </c>
      <c r="M64" s="110">
        <v>0</v>
      </c>
      <c r="N64" s="110"/>
      <c r="O64" s="106" t="s">
        <v>290</v>
      </c>
      <c r="P64" s="186"/>
      <c r="Q64" s="106"/>
      <c r="S64" s="138" t="s">
        <v>548</v>
      </c>
      <c r="T64" s="138" t="s">
        <v>549</v>
      </c>
      <c r="U64" s="138"/>
      <c r="V64" s="138" t="s">
        <v>550</v>
      </c>
      <c r="W64" s="138" t="s">
        <v>551</v>
      </c>
      <c r="X64" s="12"/>
      <c r="Y64" s="12"/>
      <c r="Z64" s="12"/>
      <c r="AA64" s="12"/>
      <c r="AB64" s="16" t="s">
        <v>353</v>
      </c>
      <c r="AC64" s="17">
        <v>1.75</v>
      </c>
      <c r="AD64" s="16" t="s">
        <v>369</v>
      </c>
      <c r="AE64" s="12"/>
      <c r="AF64" s="12"/>
      <c r="AG64" s="12"/>
      <c r="AH64" s="12"/>
    </row>
    <row r="65" spans="2:34" ht="14.4" customHeight="1">
      <c r="B65" s="106" t="s">
        <v>253</v>
      </c>
      <c r="C65" s="112">
        <f t="shared" ref="C65:M65" si="165">C62*C60+C63*C60</f>
        <v>286.72044486791617</v>
      </c>
      <c r="D65" s="112">
        <f t="shared" si="165"/>
        <v>290.45865556166854</v>
      </c>
      <c r="E65" s="112"/>
      <c r="F65" s="112">
        <f t="shared" si="165"/>
        <v>287.95885598530816</v>
      </c>
      <c r="G65" s="112">
        <f t="shared" si="165"/>
        <v>282.49184675925522</v>
      </c>
      <c r="H65" s="112">
        <f t="shared" si="165"/>
        <v>281.41651099964815</v>
      </c>
      <c r="I65" s="112"/>
      <c r="J65" s="112">
        <f t="shared" si="165"/>
        <v>320.00631730464352</v>
      </c>
      <c r="K65" s="112">
        <f t="shared" si="165"/>
        <v>319.42793409147623</v>
      </c>
      <c r="L65" s="112">
        <f t="shared" si="165"/>
        <v>315.37160379661537</v>
      </c>
      <c r="M65" s="112">
        <f t="shared" si="165"/>
        <v>315.37160379661537</v>
      </c>
      <c r="N65" s="112"/>
      <c r="O65" s="106" t="s">
        <v>289</v>
      </c>
      <c r="P65" s="186"/>
      <c r="Q65" s="106"/>
      <c r="S65" s="139">
        <v>0.5</v>
      </c>
      <c r="T65" s="139"/>
      <c r="U65" s="139"/>
      <c r="V65" s="139">
        <v>2.5</v>
      </c>
      <c r="W65" s="139"/>
      <c r="X65" s="12"/>
      <c r="Y65" s="12"/>
      <c r="Z65" s="12"/>
      <c r="AA65" s="12"/>
      <c r="AB65" s="16" t="s">
        <v>47</v>
      </c>
      <c r="AC65" s="18">
        <v>3.8999999999999998E-3</v>
      </c>
      <c r="AD65" s="16" t="s">
        <v>552</v>
      </c>
      <c r="AE65" s="12"/>
      <c r="AF65" s="12"/>
      <c r="AG65" s="12"/>
      <c r="AH65" s="12"/>
    </row>
    <row r="66" spans="2:34" ht="14.4" customHeight="1">
      <c r="B66" s="106" t="s">
        <v>254</v>
      </c>
      <c r="C66" s="110">
        <f t="shared" ref="C66:M66" si="166">C60*C64</f>
        <v>0</v>
      </c>
      <c r="D66" s="110">
        <f t="shared" si="166"/>
        <v>0</v>
      </c>
      <c r="E66" s="110"/>
      <c r="F66" s="110">
        <f t="shared" si="166"/>
        <v>0</v>
      </c>
      <c r="G66" s="110">
        <f t="shared" si="166"/>
        <v>0</v>
      </c>
      <c r="H66" s="110">
        <f t="shared" si="166"/>
        <v>0</v>
      </c>
      <c r="I66" s="110"/>
      <c r="J66" s="110">
        <f t="shared" si="166"/>
        <v>0</v>
      </c>
      <c r="K66" s="110">
        <f t="shared" si="166"/>
        <v>0</v>
      </c>
      <c r="L66" s="110">
        <f t="shared" si="166"/>
        <v>0</v>
      </c>
      <c r="M66" s="110">
        <f t="shared" si="166"/>
        <v>0</v>
      </c>
      <c r="N66" s="110"/>
      <c r="O66" s="106" t="s">
        <v>289</v>
      </c>
      <c r="P66" s="186"/>
      <c r="Q66" s="106"/>
      <c r="S66" s="139">
        <v>0.8</v>
      </c>
      <c r="T66" s="139">
        <v>1.9</v>
      </c>
      <c r="U66" s="139"/>
      <c r="V66" s="139">
        <v>1.42</v>
      </c>
      <c r="W66" s="139"/>
      <c r="X66" s="12"/>
      <c r="Y66" s="12"/>
      <c r="Z66" s="12"/>
      <c r="AA66" s="12"/>
      <c r="AB66" s="16" t="s">
        <v>49</v>
      </c>
      <c r="AC66" s="20">
        <v>45</v>
      </c>
      <c r="AD66" s="16" t="s">
        <v>50</v>
      </c>
      <c r="AE66" s="12"/>
      <c r="AF66" s="12"/>
      <c r="AG66" s="12"/>
      <c r="AH66" s="12"/>
    </row>
    <row r="67" spans="2:34" ht="14.4" customHeight="1">
      <c r="B67" s="106" t="s">
        <v>255</v>
      </c>
      <c r="C67" s="109">
        <v>100</v>
      </c>
      <c r="D67" s="109">
        <v>102</v>
      </c>
      <c r="E67" s="109"/>
      <c r="F67" s="109">
        <v>105</v>
      </c>
      <c r="G67" s="109">
        <v>106</v>
      </c>
      <c r="H67" s="109">
        <v>107</v>
      </c>
      <c r="I67" s="109"/>
      <c r="J67" s="109">
        <v>109</v>
      </c>
      <c r="K67" s="109">
        <v>110</v>
      </c>
      <c r="L67" s="109">
        <v>111</v>
      </c>
      <c r="M67" s="109">
        <v>112</v>
      </c>
      <c r="N67" s="109"/>
      <c r="O67" s="106" t="s">
        <v>2</v>
      </c>
      <c r="P67" s="186">
        <v>13</v>
      </c>
      <c r="Q67" s="125" t="s">
        <v>304</v>
      </c>
      <c r="S67" s="139">
        <v>1</v>
      </c>
      <c r="T67" s="139">
        <v>1.9</v>
      </c>
      <c r="U67" s="139"/>
      <c r="V67" s="140">
        <v>1.1000000000000001</v>
      </c>
      <c r="W67" s="139"/>
      <c r="X67" s="12"/>
      <c r="Y67" s="12"/>
      <c r="Z67" s="12"/>
      <c r="AA67" s="12"/>
      <c r="AB67" s="16" t="s">
        <v>52</v>
      </c>
      <c r="AC67" s="18">
        <f>AC64*(1+AC65*(AC66-20))</f>
        <v>1.9206249999999998</v>
      </c>
      <c r="AD67" s="16" t="s">
        <v>369</v>
      </c>
      <c r="AE67" s="12"/>
      <c r="AF67" s="12"/>
      <c r="AG67" s="12"/>
      <c r="AH67" s="12"/>
    </row>
    <row r="68" spans="2:34" ht="14.4" customHeight="1">
      <c r="B68" s="106" t="s">
        <v>256</v>
      </c>
      <c r="C68" s="113">
        <f t="shared" ref="C68:M68" si="167">C65*C67/100</f>
        <v>286.72044486791617</v>
      </c>
      <c r="D68" s="113">
        <f t="shared" si="167"/>
        <v>296.26782867290194</v>
      </c>
      <c r="E68" s="113"/>
      <c r="F68" s="113">
        <f t="shared" si="167"/>
        <v>302.35679878457358</v>
      </c>
      <c r="G68" s="113">
        <f t="shared" si="167"/>
        <v>299.44135756481052</v>
      </c>
      <c r="H68" s="113">
        <f t="shared" si="167"/>
        <v>301.11566676962354</v>
      </c>
      <c r="I68" s="113"/>
      <c r="J68" s="113">
        <f t="shared" si="167"/>
        <v>348.80688586206145</v>
      </c>
      <c r="K68" s="113">
        <f t="shared" si="167"/>
        <v>351.37072750062384</v>
      </c>
      <c r="L68" s="113">
        <f t="shared" si="167"/>
        <v>350.06248021424307</v>
      </c>
      <c r="M68" s="113">
        <f t="shared" si="167"/>
        <v>353.21619625220922</v>
      </c>
      <c r="N68" s="113"/>
      <c r="O68" s="106" t="s">
        <v>289</v>
      </c>
      <c r="P68" s="186"/>
      <c r="Q68" s="106"/>
      <c r="S68" s="139">
        <v>1.2</v>
      </c>
      <c r="T68" s="139"/>
      <c r="U68" s="139"/>
      <c r="V68" s="139">
        <v>1.04</v>
      </c>
      <c r="W68" s="139"/>
      <c r="X68" s="12"/>
      <c r="Y68" s="12"/>
      <c r="Z68" s="12"/>
      <c r="AA68" s="12"/>
      <c r="AB68" s="16" t="s">
        <v>372</v>
      </c>
      <c r="AC68" s="22">
        <f>1/(AC67/100000000)</f>
        <v>52066384.64041654</v>
      </c>
      <c r="AD68" s="16" t="s">
        <v>373</v>
      </c>
      <c r="AE68" s="12"/>
      <c r="AF68" s="12"/>
      <c r="AG68" s="12"/>
      <c r="AH68" s="12"/>
    </row>
    <row r="69" spans="2:34" ht="14.4" customHeight="1">
      <c r="B69" s="106" t="s">
        <v>257</v>
      </c>
      <c r="C69" s="111">
        <f t="shared" ref="C69:M69" si="168">C56*0.9</f>
        <v>1940.6340710508264</v>
      </c>
      <c r="D69" s="111">
        <f t="shared" si="168"/>
        <v>1523.1785437789156</v>
      </c>
      <c r="E69" s="111"/>
      <c r="F69" s="111">
        <f t="shared" si="168"/>
        <v>1403.6107474226417</v>
      </c>
      <c r="G69" s="111">
        <f t="shared" si="168"/>
        <v>1901.4974335336165</v>
      </c>
      <c r="H69" s="111">
        <f t="shared" si="168"/>
        <v>2112.2090991401433</v>
      </c>
      <c r="I69" s="111"/>
      <c r="J69" s="111">
        <f t="shared" si="168"/>
        <v>2547.063713829853</v>
      </c>
      <c r="K69" s="111">
        <f t="shared" si="168"/>
        <v>2783.9817410917512</v>
      </c>
      <c r="L69" s="111">
        <f t="shared" si="168"/>
        <v>2029.9747628113901</v>
      </c>
      <c r="M69" s="111">
        <f t="shared" si="168"/>
        <v>2220.5559773334867</v>
      </c>
      <c r="N69" s="111"/>
      <c r="O69" s="106" t="s">
        <v>1</v>
      </c>
      <c r="P69" s="186"/>
      <c r="Q69" s="106"/>
      <c r="S69" s="139">
        <v>2</v>
      </c>
      <c r="T69" s="139">
        <v>1.1200000000000001</v>
      </c>
      <c r="U69" s="139"/>
      <c r="V69" s="139">
        <v>0.75</v>
      </c>
      <c r="W69" s="139"/>
      <c r="X69" s="12"/>
      <c r="Y69" s="12"/>
      <c r="Z69" s="12"/>
      <c r="AA69" s="12"/>
      <c r="AB69" s="16" t="s">
        <v>376</v>
      </c>
      <c r="AC69" s="65">
        <v>1</v>
      </c>
      <c r="AD69" s="16" t="s">
        <v>377</v>
      </c>
      <c r="AE69" s="12"/>
      <c r="AF69" s="12"/>
      <c r="AG69" s="12"/>
      <c r="AH69" s="12"/>
    </row>
    <row r="70" spans="2:34" ht="14.4" customHeight="1">
      <c r="B70" s="106" t="s">
        <v>258</v>
      </c>
      <c r="C70" s="114">
        <v>1.35</v>
      </c>
      <c r="D70" s="114">
        <v>1.35</v>
      </c>
      <c r="E70" s="114"/>
      <c r="F70" s="114">
        <v>1.35</v>
      </c>
      <c r="G70" s="114">
        <v>1.35</v>
      </c>
      <c r="H70" s="114">
        <v>1.35</v>
      </c>
      <c r="I70" s="114"/>
      <c r="J70" s="114">
        <v>1.35</v>
      </c>
      <c r="K70" s="114">
        <v>1.35</v>
      </c>
      <c r="L70" s="114">
        <v>1.35</v>
      </c>
      <c r="M70" s="114">
        <v>1.35</v>
      </c>
      <c r="N70" s="114"/>
      <c r="O70" s="106" t="s">
        <v>291</v>
      </c>
      <c r="P70" s="186">
        <v>14</v>
      </c>
      <c r="Q70" s="125" t="s">
        <v>305</v>
      </c>
      <c r="S70" s="139">
        <v>3</v>
      </c>
      <c r="T70" s="139">
        <v>0.71</v>
      </c>
      <c r="U70" s="139"/>
      <c r="V70" s="139">
        <v>0.57999999999999996</v>
      </c>
      <c r="W70" s="139"/>
      <c r="X70" s="12"/>
      <c r="Y70" s="12"/>
      <c r="Z70" s="12"/>
      <c r="AA70" s="12"/>
      <c r="AB70" s="16" t="s">
        <v>520</v>
      </c>
      <c r="AC70" s="25">
        <v>6126</v>
      </c>
      <c r="AD70" s="16" t="s">
        <v>393</v>
      </c>
      <c r="AE70" s="12"/>
      <c r="AF70" s="12"/>
      <c r="AG70" s="12"/>
      <c r="AH70" s="12"/>
    </row>
    <row r="71" spans="2:34" ht="14.4" customHeight="1">
      <c r="B71" s="106" t="s">
        <v>259</v>
      </c>
      <c r="C71" s="109">
        <v>1.2</v>
      </c>
      <c r="D71" s="109">
        <v>1.2</v>
      </c>
      <c r="E71" s="109"/>
      <c r="F71" s="109">
        <v>1.2</v>
      </c>
      <c r="G71" s="109">
        <v>1.2</v>
      </c>
      <c r="H71" s="109">
        <v>1.2</v>
      </c>
      <c r="I71" s="109"/>
      <c r="J71" s="109">
        <v>1.2</v>
      </c>
      <c r="K71" s="109">
        <v>1.2</v>
      </c>
      <c r="L71" s="109">
        <v>1.2</v>
      </c>
      <c r="M71" s="109">
        <v>1.2</v>
      </c>
      <c r="N71" s="109"/>
      <c r="O71" s="106" t="s">
        <v>291</v>
      </c>
      <c r="P71" s="186">
        <v>15</v>
      </c>
      <c r="Q71" s="125" t="s">
        <v>313</v>
      </c>
      <c r="S71" s="139">
        <v>5</v>
      </c>
      <c r="T71" s="139">
        <v>0.43</v>
      </c>
      <c r="U71" s="139"/>
      <c r="V71" s="139">
        <v>0.36</v>
      </c>
      <c r="W71" s="139"/>
      <c r="X71" s="12"/>
      <c r="Y71" s="12"/>
      <c r="Z71" s="12"/>
      <c r="AA71" s="12"/>
      <c r="AB71" s="16" t="s">
        <v>553</v>
      </c>
      <c r="AC71" s="25">
        <v>2</v>
      </c>
      <c r="AD71" s="16" t="s">
        <v>393</v>
      </c>
      <c r="AE71" s="12"/>
      <c r="AF71" s="12"/>
      <c r="AG71" s="12"/>
      <c r="AH71" s="12"/>
    </row>
    <row r="72" spans="2:34" ht="14.4" customHeight="1">
      <c r="B72" s="106" t="s">
        <v>214</v>
      </c>
      <c r="C72" s="110">
        <f t="shared" ref="C72:M72" si="169">C47</f>
        <v>45.892179126735414</v>
      </c>
      <c r="D72" s="110">
        <f t="shared" si="169"/>
        <v>31.916394296930502</v>
      </c>
      <c r="E72" s="110"/>
      <c r="F72" s="110">
        <f t="shared" si="169"/>
        <v>34.067429477730578</v>
      </c>
      <c r="G72" s="110">
        <f t="shared" si="169"/>
        <v>31.434048574512698</v>
      </c>
      <c r="H72" s="110">
        <f t="shared" si="169"/>
        <v>46.975049063941306</v>
      </c>
      <c r="I72" s="110"/>
      <c r="J72" s="110">
        <f t="shared" si="169"/>
        <v>93.528317263653022</v>
      </c>
      <c r="K72" s="110">
        <f t="shared" si="169"/>
        <v>85.56901778543876</v>
      </c>
      <c r="L72" s="110">
        <f t="shared" si="169"/>
        <v>88.249068799503533</v>
      </c>
      <c r="M72" s="110">
        <f t="shared" si="169"/>
        <v>80.675013074752243</v>
      </c>
      <c r="N72" s="110"/>
      <c r="O72" s="106" t="s">
        <v>2</v>
      </c>
      <c r="P72" s="186"/>
      <c r="Q72" s="125"/>
      <c r="S72" s="139">
        <v>6</v>
      </c>
      <c r="T72" s="139"/>
      <c r="U72" s="139"/>
      <c r="V72" s="139">
        <v>0.34</v>
      </c>
      <c r="W72" s="139">
        <v>0.62</v>
      </c>
      <c r="X72" s="12"/>
      <c r="Y72" s="12"/>
      <c r="Z72" s="12"/>
      <c r="AA72" s="12"/>
      <c r="AB72" s="16" t="s">
        <v>402</v>
      </c>
      <c r="AC72" s="25">
        <v>60</v>
      </c>
      <c r="AD72" s="16" t="s">
        <v>188</v>
      </c>
      <c r="AE72" s="12"/>
      <c r="AF72" s="12"/>
      <c r="AG72" s="12"/>
      <c r="AH72" s="12"/>
    </row>
    <row r="73" spans="2:34" ht="14.4" customHeight="1">
      <c r="B73" s="106" t="s">
        <v>260</v>
      </c>
      <c r="C73" s="110">
        <f>C19</f>
        <v>30</v>
      </c>
      <c r="D73" s="110">
        <f t="shared" ref="D73:M73" si="170">D19</f>
        <v>30</v>
      </c>
      <c r="E73" s="110"/>
      <c r="F73" s="110">
        <f t="shared" si="170"/>
        <v>30</v>
      </c>
      <c r="G73" s="110">
        <f t="shared" si="170"/>
        <v>30</v>
      </c>
      <c r="H73" s="110">
        <f t="shared" si="170"/>
        <v>30</v>
      </c>
      <c r="I73" s="110"/>
      <c r="J73" s="110">
        <f t="shared" si="170"/>
        <v>30</v>
      </c>
      <c r="K73" s="110">
        <f t="shared" si="170"/>
        <v>30</v>
      </c>
      <c r="L73" s="110">
        <f t="shared" si="170"/>
        <v>30</v>
      </c>
      <c r="M73" s="110">
        <f t="shared" si="170"/>
        <v>30</v>
      </c>
      <c r="N73" s="110"/>
      <c r="O73" s="106" t="s">
        <v>221</v>
      </c>
      <c r="P73" s="186"/>
      <c r="Q73" s="106"/>
      <c r="S73" s="139">
        <v>8</v>
      </c>
      <c r="T73" s="139">
        <v>0.3</v>
      </c>
      <c r="U73" s="139"/>
      <c r="V73" s="139">
        <v>0.25</v>
      </c>
      <c r="W73" s="139"/>
      <c r="X73" s="12"/>
      <c r="Y73" s="12"/>
      <c r="Z73" s="12"/>
      <c r="AA73" s="12"/>
      <c r="AB73" s="16" t="s">
        <v>406</v>
      </c>
      <c r="AC73" s="24">
        <f>AC71*AC72</f>
        <v>120</v>
      </c>
      <c r="AD73" s="16" t="s">
        <v>189</v>
      </c>
      <c r="AE73" s="12"/>
      <c r="AF73" s="12"/>
      <c r="AG73" s="12"/>
      <c r="AH73" s="12"/>
    </row>
    <row r="74" spans="2:34" ht="14.4" customHeight="1">
      <c r="B74" s="106" t="s">
        <v>261</v>
      </c>
      <c r="C74" s="110">
        <f t="shared" ref="C74:M74" si="171">ROUNDUP((C69*C70*((C72*180/100-C73)/180))/2,0)</f>
        <v>383</v>
      </c>
      <c r="D74" s="110">
        <f t="shared" si="171"/>
        <v>157</v>
      </c>
      <c r="E74" s="110"/>
      <c r="F74" s="110">
        <f t="shared" si="171"/>
        <v>165</v>
      </c>
      <c r="G74" s="110">
        <f t="shared" si="171"/>
        <v>190</v>
      </c>
      <c r="H74" s="110">
        <f t="shared" si="171"/>
        <v>433</v>
      </c>
      <c r="I74" s="110"/>
      <c r="J74" s="110">
        <f t="shared" si="171"/>
        <v>1322</v>
      </c>
      <c r="K74" s="110">
        <f t="shared" si="171"/>
        <v>1295</v>
      </c>
      <c r="L74" s="110">
        <f t="shared" si="171"/>
        <v>981</v>
      </c>
      <c r="M74" s="110">
        <f t="shared" si="171"/>
        <v>960</v>
      </c>
      <c r="N74" s="110"/>
      <c r="O74" s="106" t="s">
        <v>289</v>
      </c>
      <c r="P74" s="186"/>
      <c r="Q74" s="106"/>
      <c r="S74" s="139">
        <v>10</v>
      </c>
      <c r="T74" s="139"/>
      <c r="U74" s="139"/>
      <c r="V74" s="139"/>
      <c r="W74" s="139">
        <v>0.45</v>
      </c>
      <c r="X74" s="12"/>
      <c r="Y74" s="12"/>
      <c r="Z74" s="12"/>
      <c r="AA74" s="12"/>
      <c r="AB74" s="16" t="s">
        <v>413</v>
      </c>
      <c r="AC74" s="25">
        <v>850</v>
      </c>
      <c r="AD74" s="29" t="s">
        <v>414</v>
      </c>
      <c r="AE74" s="12"/>
      <c r="AF74" s="12"/>
      <c r="AG74" s="12"/>
      <c r="AH74" s="12"/>
    </row>
    <row r="75" spans="2:34" ht="14.4" customHeight="1">
      <c r="B75" s="106" t="s">
        <v>262</v>
      </c>
      <c r="C75" s="110">
        <f t="shared" ref="C75:M75" si="172">ROUNDUP((C69*C71*(1-(C72*180/100-C73)/180))/2,0)</f>
        <v>825</v>
      </c>
      <c r="D75" s="110">
        <f t="shared" si="172"/>
        <v>775</v>
      </c>
      <c r="E75" s="110"/>
      <c r="F75" s="110">
        <f t="shared" si="172"/>
        <v>696</v>
      </c>
      <c r="G75" s="110">
        <f t="shared" si="172"/>
        <v>973</v>
      </c>
      <c r="H75" s="110">
        <f t="shared" si="172"/>
        <v>884</v>
      </c>
      <c r="I75" s="110"/>
      <c r="J75" s="110">
        <f t="shared" si="172"/>
        <v>354</v>
      </c>
      <c r="K75" s="110">
        <f t="shared" si="172"/>
        <v>520</v>
      </c>
      <c r="L75" s="110">
        <f t="shared" si="172"/>
        <v>347</v>
      </c>
      <c r="M75" s="110">
        <f t="shared" si="172"/>
        <v>480</v>
      </c>
      <c r="N75" s="110"/>
      <c r="O75" s="106" t="s">
        <v>289</v>
      </c>
      <c r="P75" s="186"/>
      <c r="Q75" s="106"/>
      <c r="S75" s="139">
        <v>15</v>
      </c>
      <c r="T75" s="139"/>
      <c r="U75" s="139"/>
      <c r="V75" s="139"/>
      <c r="W75" s="139">
        <v>0.4</v>
      </c>
      <c r="X75" s="12"/>
      <c r="Y75" s="12"/>
      <c r="Z75" s="12"/>
      <c r="AA75" s="12"/>
      <c r="AB75" s="16" t="s">
        <v>488</v>
      </c>
      <c r="AC75" s="30">
        <f>AC74/AC73</f>
        <v>7.083333333333333</v>
      </c>
      <c r="AD75" s="29" t="s">
        <v>414</v>
      </c>
      <c r="AE75" s="12"/>
      <c r="AF75" s="12"/>
      <c r="AG75" s="12"/>
      <c r="AH75" s="12"/>
    </row>
    <row r="76" spans="2:34" ht="14.4" customHeight="1">
      <c r="B76" s="106" t="s">
        <v>263</v>
      </c>
      <c r="C76" s="113">
        <f t="shared" ref="C76:M76" si="173">ROUNDUP(((C69*C70*(((C72*180/100-C73)/180))+(C69*C71*(1-(C72*180/100-C73)/180))))/2,0)</f>
        <v>1207</v>
      </c>
      <c r="D76" s="113">
        <f t="shared" si="173"/>
        <v>932</v>
      </c>
      <c r="E76" s="113"/>
      <c r="F76" s="113">
        <f t="shared" si="173"/>
        <v>861</v>
      </c>
      <c r="G76" s="113">
        <f t="shared" si="173"/>
        <v>1162</v>
      </c>
      <c r="H76" s="113">
        <f t="shared" si="173"/>
        <v>1316</v>
      </c>
      <c r="I76" s="113"/>
      <c r="J76" s="113">
        <f t="shared" si="173"/>
        <v>1676</v>
      </c>
      <c r="K76" s="113">
        <f t="shared" si="173"/>
        <v>1815</v>
      </c>
      <c r="L76" s="113">
        <f t="shared" si="173"/>
        <v>1327</v>
      </c>
      <c r="M76" s="113">
        <f t="shared" si="173"/>
        <v>1439</v>
      </c>
      <c r="N76" s="113"/>
      <c r="O76" s="106" t="s">
        <v>289</v>
      </c>
      <c r="P76" s="186"/>
      <c r="Q76" s="106"/>
      <c r="S76" s="139">
        <v>20</v>
      </c>
      <c r="T76" s="139"/>
      <c r="U76" s="139"/>
      <c r="V76" s="139"/>
      <c r="W76" s="139">
        <v>0.35</v>
      </c>
      <c r="X76" s="12"/>
      <c r="Y76" s="12"/>
      <c r="Z76" s="12"/>
      <c r="AA76" s="12"/>
      <c r="AB76" s="16" t="s">
        <v>419</v>
      </c>
      <c r="AC76" s="30">
        <f>AC67/100000000*(AC74^2)/(AC73/1000000)*AC70/1000</f>
        <v>708.39612265624987</v>
      </c>
      <c r="AD76" s="29" t="s">
        <v>420</v>
      </c>
      <c r="AE76" s="12"/>
      <c r="AF76" s="12"/>
      <c r="AG76" s="12"/>
      <c r="AH76" s="12"/>
    </row>
    <row r="77" spans="2:34" ht="14.4" customHeight="1">
      <c r="B77" s="106" t="s">
        <v>264</v>
      </c>
      <c r="C77" s="110">
        <f t="shared" ref="C77:M77" si="174">C68+C74</f>
        <v>669.72044486791617</v>
      </c>
      <c r="D77" s="110">
        <f t="shared" si="174"/>
        <v>453.26782867290194</v>
      </c>
      <c r="E77" s="110"/>
      <c r="F77" s="110">
        <f t="shared" si="174"/>
        <v>467.35679878457358</v>
      </c>
      <c r="G77" s="110">
        <f t="shared" si="174"/>
        <v>489.44135756481052</v>
      </c>
      <c r="H77" s="110">
        <f t="shared" si="174"/>
        <v>734.11566676962354</v>
      </c>
      <c r="I77" s="110"/>
      <c r="J77" s="110">
        <f t="shared" si="174"/>
        <v>1670.8068858620613</v>
      </c>
      <c r="K77" s="110">
        <f t="shared" si="174"/>
        <v>1646.3707275006238</v>
      </c>
      <c r="L77" s="110">
        <f t="shared" si="174"/>
        <v>1331.0624802142431</v>
      </c>
      <c r="M77" s="110">
        <f t="shared" si="174"/>
        <v>1313.2161962522091</v>
      </c>
      <c r="N77" s="110"/>
      <c r="O77" s="106" t="s">
        <v>289</v>
      </c>
      <c r="P77" s="186"/>
      <c r="Q77" s="106"/>
      <c r="S77" s="139">
        <v>30</v>
      </c>
      <c r="T77" s="139"/>
      <c r="U77" s="139"/>
      <c r="V77" s="139"/>
      <c r="W77" s="139">
        <v>0.28939999999999999</v>
      </c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spans="2:34" ht="14.4" customHeight="1">
      <c r="B78" s="106" t="s">
        <v>265</v>
      </c>
      <c r="C78" s="110">
        <f t="shared" ref="C78:M78" si="175">C75+C66</f>
        <v>825</v>
      </c>
      <c r="D78" s="110">
        <f t="shared" si="175"/>
        <v>775</v>
      </c>
      <c r="E78" s="110"/>
      <c r="F78" s="110">
        <f t="shared" si="175"/>
        <v>696</v>
      </c>
      <c r="G78" s="110">
        <f t="shared" si="175"/>
        <v>973</v>
      </c>
      <c r="H78" s="110">
        <f t="shared" si="175"/>
        <v>884</v>
      </c>
      <c r="I78" s="110"/>
      <c r="J78" s="110">
        <f t="shared" si="175"/>
        <v>354</v>
      </c>
      <c r="K78" s="110">
        <f t="shared" si="175"/>
        <v>520</v>
      </c>
      <c r="L78" s="110">
        <f t="shared" si="175"/>
        <v>347</v>
      </c>
      <c r="M78" s="110">
        <f t="shared" si="175"/>
        <v>480</v>
      </c>
      <c r="N78" s="110"/>
      <c r="O78" s="106" t="s">
        <v>289</v>
      </c>
      <c r="P78" s="186"/>
      <c r="Q78" s="106"/>
      <c r="S78" s="139">
        <v>50</v>
      </c>
      <c r="T78" s="139"/>
      <c r="U78" s="139"/>
      <c r="V78" s="139"/>
      <c r="W78" s="139">
        <v>0.224</v>
      </c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 spans="2:34" ht="14.4" customHeight="1">
      <c r="B79" s="106" t="s">
        <v>266</v>
      </c>
      <c r="C79" s="113">
        <f t="shared" ref="C79:M79" si="176">ROUNDUP((C59+C68+C76),0)</f>
        <v>1495</v>
      </c>
      <c r="D79" s="113">
        <f t="shared" si="176"/>
        <v>1230</v>
      </c>
      <c r="E79" s="113"/>
      <c r="F79" s="113">
        <f t="shared" si="176"/>
        <v>1165</v>
      </c>
      <c r="G79" s="113">
        <f t="shared" si="176"/>
        <v>1463</v>
      </c>
      <c r="H79" s="113">
        <f t="shared" si="176"/>
        <v>1619</v>
      </c>
      <c r="I79" s="113"/>
      <c r="J79" s="113">
        <f t="shared" si="176"/>
        <v>2026</v>
      </c>
      <c r="K79" s="113">
        <f t="shared" si="176"/>
        <v>2168</v>
      </c>
      <c r="L79" s="113">
        <f t="shared" si="176"/>
        <v>1679</v>
      </c>
      <c r="M79" s="113">
        <f t="shared" si="176"/>
        <v>1794</v>
      </c>
      <c r="N79" s="113"/>
      <c r="O79" s="106" t="s">
        <v>289</v>
      </c>
      <c r="P79" s="186"/>
      <c r="Q79" s="106"/>
      <c r="S79" s="139">
        <v>100</v>
      </c>
      <c r="T79" s="139"/>
      <c r="U79" s="139"/>
      <c r="V79" s="139"/>
      <c r="W79" s="139">
        <v>0.161</v>
      </c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spans="2:34" ht="14.4" customHeight="1">
      <c r="B80" s="106" t="s">
        <v>267</v>
      </c>
      <c r="C80" s="115">
        <v>2</v>
      </c>
      <c r="D80" s="115">
        <v>4</v>
      </c>
      <c r="E80" s="115"/>
      <c r="F80" s="115">
        <v>7</v>
      </c>
      <c r="G80" s="115">
        <v>8</v>
      </c>
      <c r="H80" s="115">
        <v>9</v>
      </c>
      <c r="I80" s="115"/>
      <c r="J80" s="115">
        <v>11</v>
      </c>
      <c r="K80" s="115">
        <v>12</v>
      </c>
      <c r="L80" s="115">
        <v>13</v>
      </c>
      <c r="M80" s="115">
        <v>14</v>
      </c>
      <c r="N80" s="115"/>
      <c r="O80" s="106"/>
      <c r="P80" s="186">
        <v>16</v>
      </c>
      <c r="Q80" s="125" t="s">
        <v>306</v>
      </c>
      <c r="S80" s="139">
        <v>200</v>
      </c>
      <c r="T80" s="139"/>
      <c r="U80" s="139"/>
      <c r="V80" s="139"/>
      <c r="W80" s="139">
        <v>7.7600000000000002E-2</v>
      </c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 spans="2:34" ht="14.4" customHeight="1">
      <c r="B81" s="106" t="s">
        <v>268</v>
      </c>
      <c r="C81" s="116">
        <f t="shared" ref="C81:M81" si="177">C79*C80</f>
        <v>2990</v>
      </c>
      <c r="D81" s="116">
        <f t="shared" si="177"/>
        <v>4920</v>
      </c>
      <c r="E81" s="116"/>
      <c r="F81" s="116">
        <f t="shared" si="177"/>
        <v>8155</v>
      </c>
      <c r="G81" s="116">
        <f t="shared" si="177"/>
        <v>11704</v>
      </c>
      <c r="H81" s="116">
        <f t="shared" si="177"/>
        <v>14571</v>
      </c>
      <c r="I81" s="116"/>
      <c r="J81" s="116">
        <f t="shared" si="177"/>
        <v>22286</v>
      </c>
      <c r="K81" s="116">
        <f t="shared" si="177"/>
        <v>26016</v>
      </c>
      <c r="L81" s="116">
        <f t="shared" si="177"/>
        <v>21827</v>
      </c>
      <c r="M81" s="116">
        <f t="shared" si="177"/>
        <v>25116</v>
      </c>
      <c r="N81" s="116"/>
      <c r="O81" s="106" t="s">
        <v>292</v>
      </c>
      <c r="P81" s="186"/>
      <c r="Q81" s="106"/>
      <c r="S81" s="139">
        <v>300</v>
      </c>
      <c r="T81" s="139"/>
      <c r="U81" s="139"/>
      <c r="V81" s="139"/>
      <c r="W81" s="139">
        <v>5.2400000000000002E-2</v>
      </c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spans="2:34" ht="14.4" customHeight="1">
      <c r="B82" s="106" t="s">
        <v>269</v>
      </c>
      <c r="C82" s="117">
        <v>2400</v>
      </c>
      <c r="D82" s="117">
        <v>2402</v>
      </c>
      <c r="E82" s="117"/>
      <c r="F82" s="117">
        <v>2405</v>
      </c>
      <c r="G82" s="117">
        <v>2406</v>
      </c>
      <c r="H82" s="117">
        <v>2407</v>
      </c>
      <c r="I82" s="117"/>
      <c r="J82" s="117">
        <v>2409</v>
      </c>
      <c r="K82" s="117">
        <v>2410</v>
      </c>
      <c r="L82" s="117">
        <v>2411</v>
      </c>
      <c r="M82" s="117">
        <v>2412</v>
      </c>
      <c r="N82" s="117"/>
      <c r="O82" s="106" t="s">
        <v>289</v>
      </c>
      <c r="P82" s="186">
        <v>17</v>
      </c>
      <c r="Q82" s="125" t="s">
        <v>300</v>
      </c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 spans="2:34" ht="14.4" customHeight="1">
      <c r="B83" s="106" t="s">
        <v>270</v>
      </c>
      <c r="C83" s="116">
        <f t="shared" ref="C83:M83" si="178">ROUNDUP(C81/C82*100,0)</f>
        <v>125</v>
      </c>
      <c r="D83" s="116">
        <f t="shared" si="178"/>
        <v>205</v>
      </c>
      <c r="E83" s="116"/>
      <c r="F83" s="116">
        <f t="shared" si="178"/>
        <v>340</v>
      </c>
      <c r="G83" s="116">
        <f t="shared" si="178"/>
        <v>487</v>
      </c>
      <c r="H83" s="116">
        <f t="shared" si="178"/>
        <v>606</v>
      </c>
      <c r="I83" s="116"/>
      <c r="J83" s="116">
        <f t="shared" si="178"/>
        <v>926</v>
      </c>
      <c r="K83" s="116">
        <f t="shared" si="178"/>
        <v>1080</v>
      </c>
      <c r="L83" s="116">
        <f t="shared" si="178"/>
        <v>906</v>
      </c>
      <c r="M83" s="116">
        <f t="shared" si="178"/>
        <v>1042</v>
      </c>
      <c r="N83" s="116"/>
      <c r="O83" s="106" t="s">
        <v>293</v>
      </c>
      <c r="P83" s="186"/>
      <c r="Q83" s="125" t="s">
        <v>307</v>
      </c>
      <c r="S83" s="272" t="s">
        <v>554</v>
      </c>
      <c r="T83" s="272"/>
      <c r="U83" s="272"/>
      <c r="V83" s="272"/>
      <c r="W83" s="12"/>
      <c r="X83" s="272" t="s">
        <v>555</v>
      </c>
      <c r="Y83" s="272"/>
      <c r="Z83" s="272"/>
      <c r="AA83" s="12"/>
      <c r="AB83" s="12"/>
      <c r="AC83" s="12"/>
      <c r="AD83" s="12"/>
      <c r="AE83" s="12"/>
      <c r="AF83" s="12"/>
      <c r="AG83" s="12"/>
      <c r="AH83" s="12"/>
    </row>
    <row r="84" spans="2:34" ht="14.4" customHeight="1">
      <c r="B84" s="106" t="s">
        <v>271</v>
      </c>
      <c r="C84" s="118">
        <v>6.4000000000000001E-2</v>
      </c>
      <c r="D84" s="118">
        <v>6.4000000000000001E-2</v>
      </c>
      <c r="E84" s="118"/>
      <c r="F84" s="118">
        <v>6.4000000000000001E-2</v>
      </c>
      <c r="G84" s="118">
        <v>6.4000000000000001E-2</v>
      </c>
      <c r="H84" s="118">
        <v>6.4000000000000001E-2</v>
      </c>
      <c r="I84" s="118"/>
      <c r="J84" s="118">
        <v>6.4000000000000001E-2</v>
      </c>
      <c r="K84" s="118">
        <v>6.4000000000000001E-2</v>
      </c>
      <c r="L84" s="118">
        <v>6.4000000000000001E-2</v>
      </c>
      <c r="M84" s="118">
        <v>6.4000000000000001E-2</v>
      </c>
      <c r="N84" s="118"/>
      <c r="O84" s="106" t="s">
        <v>294</v>
      </c>
      <c r="P84" s="186">
        <v>18</v>
      </c>
      <c r="Q84" s="126" t="s">
        <v>300</v>
      </c>
      <c r="S84" s="141" t="s">
        <v>556</v>
      </c>
      <c r="T84" s="141" t="s">
        <v>557</v>
      </c>
      <c r="U84" s="141"/>
      <c r="V84" s="141"/>
      <c r="W84" s="12"/>
      <c r="X84" s="141" t="s">
        <v>558</v>
      </c>
      <c r="Y84" s="141" t="s">
        <v>559</v>
      </c>
      <c r="Z84" s="141" t="s">
        <v>560</v>
      </c>
      <c r="AA84" s="12"/>
      <c r="AB84" s="12"/>
      <c r="AC84" s="12"/>
      <c r="AD84" s="12"/>
      <c r="AE84" s="12"/>
      <c r="AF84" s="12"/>
      <c r="AG84" s="12"/>
      <c r="AH84" s="12"/>
    </row>
    <row r="85" spans="2:34" ht="14.4" customHeight="1">
      <c r="B85" s="106" t="s">
        <v>272</v>
      </c>
      <c r="C85" s="118">
        <v>0.1</v>
      </c>
      <c r="D85" s="118">
        <v>0.1</v>
      </c>
      <c r="E85" s="118"/>
      <c r="F85" s="118">
        <v>0.1</v>
      </c>
      <c r="G85" s="118">
        <v>0.1</v>
      </c>
      <c r="H85" s="118">
        <v>0.1</v>
      </c>
      <c r="I85" s="118"/>
      <c r="J85" s="118">
        <v>0.1</v>
      </c>
      <c r="K85" s="118">
        <v>0.1</v>
      </c>
      <c r="L85" s="118">
        <v>0.1</v>
      </c>
      <c r="M85" s="118">
        <v>0.1</v>
      </c>
      <c r="N85" s="118"/>
      <c r="O85" s="106" t="s">
        <v>295</v>
      </c>
      <c r="P85" s="186">
        <v>19</v>
      </c>
      <c r="Q85" s="126" t="s">
        <v>300</v>
      </c>
      <c r="S85" s="32" t="s">
        <v>561</v>
      </c>
      <c r="T85" s="32">
        <v>183</v>
      </c>
      <c r="U85" s="32"/>
      <c r="V85" s="32" t="s">
        <v>562</v>
      </c>
      <c r="W85" s="12"/>
      <c r="X85" s="142" t="s">
        <v>563</v>
      </c>
      <c r="Y85" s="142" t="s">
        <v>564</v>
      </c>
      <c r="Z85" s="143" t="s">
        <v>565</v>
      </c>
      <c r="AA85" s="12"/>
      <c r="AB85" s="12"/>
      <c r="AC85" s="12"/>
      <c r="AD85" s="12"/>
      <c r="AE85" s="12"/>
      <c r="AF85" s="12"/>
      <c r="AG85" s="12"/>
      <c r="AH85" s="12"/>
    </row>
    <row r="86" spans="2:34" ht="14.4" customHeight="1">
      <c r="B86" s="106" t="s">
        <v>273</v>
      </c>
      <c r="C86" s="119">
        <f t="shared" ref="C86:M87" si="179">125-C84*C77</f>
        <v>82.137891528453366</v>
      </c>
      <c r="D86" s="119">
        <f t="shared" si="179"/>
        <v>95.990858964934276</v>
      </c>
      <c r="E86" s="119"/>
      <c r="F86" s="119">
        <f t="shared" si="179"/>
        <v>95.089164877787283</v>
      </c>
      <c r="G86" s="119">
        <f t="shared" si="179"/>
        <v>93.675753115852132</v>
      </c>
      <c r="H86" s="119">
        <f t="shared" si="179"/>
        <v>78.01659732674409</v>
      </c>
      <c r="I86" s="119"/>
      <c r="J86" s="119">
        <f t="shared" si="179"/>
        <v>18.068359304828078</v>
      </c>
      <c r="K86" s="119">
        <f t="shared" si="179"/>
        <v>19.632273439960073</v>
      </c>
      <c r="L86" s="119">
        <f t="shared" si="179"/>
        <v>39.812001266288433</v>
      </c>
      <c r="M86" s="119">
        <f t="shared" si="179"/>
        <v>40.954163439858618</v>
      </c>
      <c r="N86" s="119"/>
      <c r="O86" s="124" t="s">
        <v>296</v>
      </c>
      <c r="P86" s="186"/>
      <c r="Q86" s="125" t="s">
        <v>308</v>
      </c>
      <c r="S86" s="32" t="s">
        <v>566</v>
      </c>
      <c r="T86" s="32">
        <v>75</v>
      </c>
      <c r="U86" s="32"/>
      <c r="V86" s="32" t="s">
        <v>562</v>
      </c>
      <c r="W86" s="12"/>
      <c r="X86" s="142" t="s">
        <v>567</v>
      </c>
      <c r="Y86" s="142" t="s">
        <v>568</v>
      </c>
      <c r="Z86" s="143" t="s">
        <v>569</v>
      </c>
      <c r="AA86" s="12"/>
      <c r="AB86" s="12"/>
      <c r="AC86" s="12"/>
      <c r="AD86" s="12"/>
      <c r="AE86" s="12"/>
      <c r="AF86" s="12"/>
      <c r="AG86" s="12"/>
      <c r="AH86" s="12"/>
    </row>
    <row r="87" spans="2:34" ht="14.4" customHeight="1">
      <c r="B87" s="106" t="s">
        <v>274</v>
      </c>
      <c r="C87" s="108">
        <f t="shared" si="179"/>
        <v>42.5</v>
      </c>
      <c r="D87" s="108">
        <f t="shared" ref="D87:M87" si="180">125-D85*D78</f>
        <v>47.5</v>
      </c>
      <c r="E87" s="108"/>
      <c r="F87" s="108">
        <f t="shared" si="180"/>
        <v>55.399999999999991</v>
      </c>
      <c r="G87" s="108">
        <f t="shared" si="180"/>
        <v>27.699999999999989</v>
      </c>
      <c r="H87" s="108">
        <f t="shared" si="180"/>
        <v>36.599999999999994</v>
      </c>
      <c r="I87" s="108"/>
      <c r="J87" s="108">
        <f t="shared" si="180"/>
        <v>89.6</v>
      </c>
      <c r="K87" s="108">
        <f t="shared" si="180"/>
        <v>73</v>
      </c>
      <c r="L87" s="108">
        <f t="shared" si="180"/>
        <v>90.3</v>
      </c>
      <c r="M87" s="108">
        <f t="shared" si="180"/>
        <v>77</v>
      </c>
      <c r="N87" s="108"/>
      <c r="O87" s="124" t="s">
        <v>296</v>
      </c>
      <c r="P87" s="186"/>
      <c r="Q87" s="106"/>
      <c r="S87" s="32" t="s">
        <v>570</v>
      </c>
      <c r="T87" s="32">
        <v>9</v>
      </c>
      <c r="U87" s="32"/>
      <c r="V87" s="32" t="s">
        <v>173</v>
      </c>
      <c r="W87" s="12"/>
      <c r="X87" s="142" t="s">
        <v>571</v>
      </c>
      <c r="Y87" s="142" t="s">
        <v>572</v>
      </c>
      <c r="Z87" s="143" t="s">
        <v>573</v>
      </c>
      <c r="AA87" s="12"/>
      <c r="AB87" s="12"/>
      <c r="AC87" s="12"/>
      <c r="AD87" s="12"/>
      <c r="AE87" s="12"/>
      <c r="AF87" s="12"/>
      <c r="AG87" s="12"/>
      <c r="AH87" s="12"/>
    </row>
    <row r="88" spans="2:34" ht="14.4" customHeight="1">
      <c r="B88" s="106" t="s">
        <v>275</v>
      </c>
      <c r="C88" s="108">
        <f t="shared" ref="C88:M89" si="181">C84*C77</f>
        <v>42.862108471546634</v>
      </c>
      <c r="D88" s="108">
        <f t="shared" si="181"/>
        <v>29.009141035065724</v>
      </c>
      <c r="E88" s="108"/>
      <c r="F88" s="108">
        <f t="shared" si="181"/>
        <v>29.91083512221271</v>
      </c>
      <c r="G88" s="108">
        <f t="shared" si="181"/>
        <v>31.324246884147875</v>
      </c>
      <c r="H88" s="108">
        <f t="shared" si="181"/>
        <v>46.98340267325591</v>
      </c>
      <c r="I88" s="108"/>
      <c r="J88" s="108">
        <f t="shared" si="181"/>
        <v>106.93164069517192</v>
      </c>
      <c r="K88" s="108">
        <f t="shared" si="181"/>
        <v>105.36772656003993</v>
      </c>
      <c r="L88" s="108">
        <f t="shared" si="181"/>
        <v>85.187998733711567</v>
      </c>
      <c r="M88" s="108">
        <f t="shared" si="181"/>
        <v>84.045836560141382</v>
      </c>
      <c r="N88" s="108"/>
      <c r="O88" s="124" t="s">
        <v>296</v>
      </c>
      <c r="P88" s="186"/>
      <c r="Q88" s="106"/>
      <c r="S88" s="32" t="s">
        <v>574</v>
      </c>
      <c r="T88" s="32">
        <v>6</v>
      </c>
      <c r="U88" s="32"/>
      <c r="V88" s="32" t="s">
        <v>562</v>
      </c>
      <c r="W88" s="12"/>
      <c r="X88" s="142" t="s">
        <v>575</v>
      </c>
      <c r="Y88" s="142" t="s">
        <v>576</v>
      </c>
      <c r="Z88" s="143" t="s">
        <v>577</v>
      </c>
      <c r="AA88" s="12"/>
      <c r="AB88" s="12"/>
      <c r="AC88" s="12"/>
      <c r="AD88" s="12"/>
      <c r="AE88" s="12"/>
      <c r="AF88" s="12"/>
      <c r="AG88" s="12"/>
      <c r="AH88" s="12"/>
    </row>
    <row r="89" spans="2:34" ht="14.4" customHeight="1">
      <c r="B89" s="106" t="s">
        <v>276</v>
      </c>
      <c r="C89" s="108">
        <f t="shared" si="181"/>
        <v>82.5</v>
      </c>
      <c r="D89" s="108">
        <f t="shared" ref="D89:M89" si="182">D85*D78</f>
        <v>77.5</v>
      </c>
      <c r="E89" s="108"/>
      <c r="F89" s="108">
        <f t="shared" si="182"/>
        <v>69.600000000000009</v>
      </c>
      <c r="G89" s="108">
        <f t="shared" si="182"/>
        <v>97.300000000000011</v>
      </c>
      <c r="H89" s="108">
        <f t="shared" si="182"/>
        <v>88.4</v>
      </c>
      <c r="I89" s="108"/>
      <c r="J89" s="108">
        <f t="shared" si="182"/>
        <v>35.4</v>
      </c>
      <c r="K89" s="108">
        <f t="shared" si="182"/>
        <v>52</v>
      </c>
      <c r="L89" s="108">
        <f t="shared" si="182"/>
        <v>34.700000000000003</v>
      </c>
      <c r="M89" s="108">
        <f t="shared" si="182"/>
        <v>48</v>
      </c>
      <c r="N89" s="108"/>
      <c r="O89" s="124" t="s">
        <v>296</v>
      </c>
      <c r="P89" s="186"/>
      <c r="Q89" s="106"/>
      <c r="S89" s="32" t="s">
        <v>578</v>
      </c>
      <c r="T89" s="32">
        <v>12</v>
      </c>
      <c r="U89" s="32"/>
      <c r="V89" s="32" t="s">
        <v>562</v>
      </c>
      <c r="W89" s="12"/>
      <c r="X89" s="142" t="s">
        <v>579</v>
      </c>
      <c r="Y89" s="142" t="s">
        <v>580</v>
      </c>
      <c r="Z89" s="143" t="s">
        <v>581</v>
      </c>
      <c r="AA89" s="12"/>
      <c r="AB89" s="12"/>
      <c r="AC89" s="12"/>
      <c r="AD89" s="12"/>
      <c r="AE89" s="12"/>
      <c r="AF89" s="12"/>
      <c r="AG89" s="12"/>
      <c r="AH89" s="12"/>
    </row>
    <row r="90" spans="2:34" ht="14.4" customHeight="1">
      <c r="B90" s="106" t="s">
        <v>277</v>
      </c>
      <c r="C90" s="118">
        <v>0.03</v>
      </c>
      <c r="D90" s="118">
        <v>0.03</v>
      </c>
      <c r="E90" s="118"/>
      <c r="F90" s="118">
        <v>0.03</v>
      </c>
      <c r="G90" s="118">
        <v>0.03</v>
      </c>
      <c r="H90" s="118">
        <v>0.03</v>
      </c>
      <c r="I90" s="118"/>
      <c r="J90" s="118">
        <v>0.03</v>
      </c>
      <c r="K90" s="118">
        <v>0.03</v>
      </c>
      <c r="L90" s="118">
        <v>0.03</v>
      </c>
      <c r="M90" s="118">
        <v>0.03</v>
      </c>
      <c r="N90" s="118"/>
      <c r="O90" s="106" t="s">
        <v>295</v>
      </c>
      <c r="P90" s="186">
        <v>20</v>
      </c>
      <c r="Q90" s="106" t="s">
        <v>300</v>
      </c>
      <c r="S90" s="32" t="s">
        <v>582</v>
      </c>
      <c r="T90" s="32">
        <v>78.540000000000006</v>
      </c>
      <c r="U90" s="32"/>
      <c r="V90" s="32" t="s">
        <v>562</v>
      </c>
      <c r="W90" s="12"/>
      <c r="X90" s="142" t="s">
        <v>583</v>
      </c>
      <c r="Y90" s="142" t="s">
        <v>584</v>
      </c>
      <c r="Z90" s="143" t="s">
        <v>585</v>
      </c>
      <c r="AA90" s="12"/>
      <c r="AB90" s="12"/>
      <c r="AC90" s="12"/>
      <c r="AD90" s="12"/>
      <c r="AE90" s="12"/>
      <c r="AF90" s="12"/>
      <c r="AG90" s="12"/>
      <c r="AH90" s="12"/>
    </row>
    <row r="91" spans="2:34" ht="14.4" customHeight="1">
      <c r="B91" s="106" t="s">
        <v>278</v>
      </c>
      <c r="C91" s="118">
        <v>0.06</v>
      </c>
      <c r="D91" s="118">
        <v>0.06</v>
      </c>
      <c r="E91" s="118"/>
      <c r="F91" s="118">
        <v>0.06</v>
      </c>
      <c r="G91" s="118">
        <v>0.06</v>
      </c>
      <c r="H91" s="118">
        <v>0.06</v>
      </c>
      <c r="I91" s="118"/>
      <c r="J91" s="118">
        <v>0.06</v>
      </c>
      <c r="K91" s="118">
        <v>0.06</v>
      </c>
      <c r="L91" s="118">
        <v>0.06</v>
      </c>
      <c r="M91" s="118">
        <v>0.06</v>
      </c>
      <c r="N91" s="118"/>
      <c r="O91" s="106" t="s">
        <v>295</v>
      </c>
      <c r="P91" s="186">
        <v>21</v>
      </c>
      <c r="Q91" s="106" t="s">
        <v>300</v>
      </c>
    </row>
    <row r="92" spans="2:34" ht="14.4" customHeight="1">
      <c r="B92" s="106" t="s">
        <v>279</v>
      </c>
      <c r="C92" s="120">
        <f t="shared" ref="C92:M93" si="183">C86-C90*C77</f>
        <v>62.046278182415882</v>
      </c>
      <c r="D92" s="120">
        <f t="shared" si="183"/>
        <v>82.39282410474722</v>
      </c>
      <c r="E92" s="120"/>
      <c r="F92" s="120">
        <f t="shared" si="183"/>
        <v>81.068460914250082</v>
      </c>
      <c r="G92" s="120">
        <f t="shared" si="183"/>
        <v>78.992512388907812</v>
      </c>
      <c r="H92" s="120">
        <f t="shared" si="183"/>
        <v>55.993127323655386</v>
      </c>
      <c r="I92" s="120"/>
      <c r="J92" s="120">
        <f t="shared" si="183"/>
        <v>-32.055847271033763</v>
      </c>
      <c r="K92" s="120">
        <f t="shared" si="183"/>
        <v>-29.758848385058641</v>
      </c>
      <c r="L92" s="120">
        <f t="shared" si="183"/>
        <v>-0.11987314013885708</v>
      </c>
      <c r="M92" s="120">
        <f t="shared" si="183"/>
        <v>1.5576775522923469</v>
      </c>
      <c r="N92" s="120"/>
      <c r="O92" s="124" t="s">
        <v>296</v>
      </c>
      <c r="P92" s="186"/>
      <c r="Q92" s="106" t="s">
        <v>308</v>
      </c>
    </row>
    <row r="93" spans="2:34" ht="14.4" customHeight="1">
      <c r="B93" s="106" t="s">
        <v>280</v>
      </c>
      <c r="C93" s="108">
        <f t="shared" si="183"/>
        <v>-7</v>
      </c>
      <c r="D93" s="108">
        <f t="shared" ref="D93:M93" si="184">D87-D91*D78</f>
        <v>1</v>
      </c>
      <c r="E93" s="108"/>
      <c r="F93" s="108">
        <f t="shared" si="184"/>
        <v>13.639999999999993</v>
      </c>
      <c r="G93" s="108">
        <f t="shared" si="184"/>
        <v>-30.680000000000007</v>
      </c>
      <c r="H93" s="108">
        <f t="shared" si="184"/>
        <v>-16.440000000000005</v>
      </c>
      <c r="I93" s="108"/>
      <c r="J93" s="108">
        <f t="shared" si="184"/>
        <v>68.36</v>
      </c>
      <c r="K93" s="108">
        <f t="shared" si="184"/>
        <v>41.8</v>
      </c>
      <c r="L93" s="108">
        <f t="shared" si="184"/>
        <v>69.47999999999999</v>
      </c>
      <c r="M93" s="108">
        <f t="shared" si="184"/>
        <v>48.2</v>
      </c>
      <c r="N93" s="108"/>
      <c r="O93" s="124" t="s">
        <v>296</v>
      </c>
      <c r="P93" s="186"/>
      <c r="Q93" s="106"/>
    </row>
    <row r="94" spans="2:34" ht="14.4" customHeight="1">
      <c r="B94" s="106" t="s">
        <v>281</v>
      </c>
      <c r="C94" s="108">
        <f t="shared" ref="C94:M95" si="185">C90*C77</f>
        <v>20.091613346037484</v>
      </c>
      <c r="D94" s="108">
        <f t="shared" si="185"/>
        <v>13.598034860187058</v>
      </c>
      <c r="E94" s="108"/>
      <c r="F94" s="108">
        <f t="shared" si="185"/>
        <v>14.020703963537207</v>
      </c>
      <c r="G94" s="108">
        <f t="shared" si="185"/>
        <v>14.683240726944314</v>
      </c>
      <c r="H94" s="108">
        <f t="shared" si="185"/>
        <v>22.023470003088704</v>
      </c>
      <c r="I94" s="108"/>
      <c r="J94" s="108">
        <f t="shared" si="185"/>
        <v>50.124206575861841</v>
      </c>
      <c r="K94" s="108">
        <f t="shared" si="185"/>
        <v>49.391121825018715</v>
      </c>
      <c r="L94" s="108">
        <f t="shared" si="185"/>
        <v>39.931874406427291</v>
      </c>
      <c r="M94" s="108">
        <f t="shared" si="185"/>
        <v>39.396485887566271</v>
      </c>
      <c r="N94" s="108"/>
      <c r="O94" s="124" t="s">
        <v>296</v>
      </c>
      <c r="P94" s="186"/>
      <c r="Q94" s="106"/>
    </row>
    <row r="95" spans="2:34" ht="14.4" customHeight="1">
      <c r="B95" s="106" t="s">
        <v>282</v>
      </c>
      <c r="C95" s="108">
        <f t="shared" si="185"/>
        <v>49.5</v>
      </c>
      <c r="D95" s="108">
        <f t="shared" ref="D95:M95" si="186">D91*D78</f>
        <v>46.5</v>
      </c>
      <c r="E95" s="108"/>
      <c r="F95" s="108">
        <f t="shared" si="186"/>
        <v>41.76</v>
      </c>
      <c r="G95" s="108">
        <f t="shared" si="186"/>
        <v>58.379999999999995</v>
      </c>
      <c r="H95" s="108">
        <f t="shared" si="186"/>
        <v>53.04</v>
      </c>
      <c r="I95" s="108"/>
      <c r="J95" s="108">
        <f t="shared" si="186"/>
        <v>21.24</v>
      </c>
      <c r="K95" s="108">
        <f t="shared" si="186"/>
        <v>31.2</v>
      </c>
      <c r="L95" s="108">
        <f t="shared" si="186"/>
        <v>20.82</v>
      </c>
      <c r="M95" s="108">
        <f t="shared" si="186"/>
        <v>28.799999999999997</v>
      </c>
      <c r="N95" s="108"/>
      <c r="O95" s="124" t="s">
        <v>296</v>
      </c>
      <c r="P95" s="186"/>
      <c r="Q95" s="106"/>
    </row>
    <row r="96" spans="2:34" ht="14.4" customHeight="1">
      <c r="B96" s="106" t="s">
        <v>283</v>
      </c>
      <c r="C96" s="108">
        <v>60</v>
      </c>
      <c r="D96" s="108">
        <v>60</v>
      </c>
      <c r="E96" s="108"/>
      <c r="F96" s="108">
        <v>60</v>
      </c>
      <c r="G96" s="108">
        <v>60</v>
      </c>
      <c r="H96" s="108">
        <v>60</v>
      </c>
      <c r="I96" s="108"/>
      <c r="J96" s="108">
        <v>60</v>
      </c>
      <c r="K96" s="108">
        <v>60</v>
      </c>
      <c r="L96" s="108">
        <v>60</v>
      </c>
      <c r="M96" s="108">
        <v>60</v>
      </c>
      <c r="N96" s="108"/>
      <c r="O96" s="124" t="s">
        <v>296</v>
      </c>
      <c r="P96" s="186"/>
      <c r="Q96" s="106" t="s">
        <v>309</v>
      </c>
    </row>
    <row r="97" spans="2:17" ht="14.4" customHeight="1">
      <c r="B97" s="106" t="s">
        <v>284</v>
      </c>
      <c r="C97" s="121">
        <v>8</v>
      </c>
      <c r="D97" s="121">
        <v>8</v>
      </c>
      <c r="E97" s="121"/>
      <c r="F97" s="121">
        <v>8</v>
      </c>
      <c r="G97" s="121">
        <v>8</v>
      </c>
      <c r="H97" s="121">
        <v>8</v>
      </c>
      <c r="I97" s="121"/>
      <c r="J97" s="121">
        <v>8</v>
      </c>
      <c r="K97" s="121">
        <v>8</v>
      </c>
      <c r="L97" s="121">
        <v>8</v>
      </c>
      <c r="M97" s="121">
        <v>8</v>
      </c>
      <c r="N97" s="121"/>
      <c r="O97" s="124" t="s">
        <v>297</v>
      </c>
      <c r="P97" s="186"/>
      <c r="Q97" s="106" t="s">
        <v>310</v>
      </c>
    </row>
    <row r="98" spans="2:17" ht="14.4" customHeight="1">
      <c r="B98" s="106" t="s">
        <v>285</v>
      </c>
      <c r="C98" s="122">
        <f t="shared" ref="C98:M98" si="187">C96-(C81/1000*860/C97/60)</f>
        <v>54.642916666666665</v>
      </c>
      <c r="D98" s="122">
        <f t="shared" si="187"/>
        <v>51.185000000000002</v>
      </c>
      <c r="E98" s="122"/>
      <c r="F98" s="122">
        <f t="shared" si="187"/>
        <v>45.388958333333335</v>
      </c>
      <c r="G98" s="122">
        <f t="shared" si="187"/>
        <v>39.030333333333331</v>
      </c>
      <c r="H98" s="122">
        <f t="shared" si="187"/>
        <v>33.893625</v>
      </c>
      <c r="I98" s="122"/>
      <c r="J98" s="122">
        <f t="shared" si="187"/>
        <v>20.070916666666662</v>
      </c>
      <c r="K98" s="122">
        <f t="shared" si="187"/>
        <v>13.388000000000005</v>
      </c>
      <c r="L98" s="122">
        <f t="shared" si="187"/>
        <v>20.893291666666663</v>
      </c>
      <c r="M98" s="122">
        <f t="shared" si="187"/>
        <v>15.000500000000002</v>
      </c>
      <c r="N98" s="122"/>
      <c r="O98" s="124" t="s">
        <v>296</v>
      </c>
      <c r="P98" s="186"/>
      <c r="Q98" s="106"/>
    </row>
  </sheetData>
  <mergeCells count="31">
    <mergeCell ref="S83:V83"/>
    <mergeCell ref="X83:Z83"/>
    <mergeCell ref="X45:Z45"/>
    <mergeCell ref="S50:V50"/>
    <mergeCell ref="X51:Z51"/>
    <mergeCell ref="S62:V62"/>
    <mergeCell ref="AB62:AD62"/>
    <mergeCell ref="Y33:Z33"/>
    <mergeCell ref="AF33:AH33"/>
    <mergeCell ref="AF39:AH39"/>
    <mergeCell ref="S41:V41"/>
    <mergeCell ref="AB42:AD42"/>
    <mergeCell ref="AF44:AH44"/>
    <mergeCell ref="AF19:AH19"/>
    <mergeCell ref="X22:Z22"/>
    <mergeCell ref="AB23:AD23"/>
    <mergeCell ref="AF52:AH52"/>
    <mergeCell ref="S56:V56"/>
    <mergeCell ref="S30:V30"/>
    <mergeCell ref="X10:Z10"/>
    <mergeCell ref="AF10:AH10"/>
    <mergeCell ref="X15:Z15"/>
    <mergeCell ref="S16:V16"/>
    <mergeCell ref="S3:V3"/>
    <mergeCell ref="X3:Z3"/>
    <mergeCell ref="AB3:AD3"/>
    <mergeCell ref="C1:H1"/>
    <mergeCell ref="J2:K2"/>
    <mergeCell ref="L2:M2"/>
    <mergeCell ref="J1:M1"/>
    <mergeCell ref="AF3:AH3"/>
  </mergeCells>
  <phoneticPr fontId="8" type="noConversion"/>
  <pageMargins left="0.7" right="0.7" top="0.75" bottom="0.75" header="0.3" footer="0.3"/>
  <pageSetup paperSize="9" scale="17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S51"/>
  <sheetViews>
    <sheetView zoomScale="84" zoomScaleNormal="84" workbookViewId="0">
      <selection activeCell="H56" sqref="H56"/>
    </sheetView>
  </sheetViews>
  <sheetFormatPr defaultRowHeight="14.4"/>
  <cols>
    <col min="2" max="2" width="21.19921875" bestFit="1" customWidth="1"/>
    <col min="7" max="7" width="24" bestFit="1" customWidth="1"/>
    <col min="13" max="13" width="11.69921875" bestFit="1" customWidth="1"/>
    <col min="17" max="17" width="17.59765625" bestFit="1" customWidth="1"/>
  </cols>
  <sheetData>
    <row r="2" spans="2:19">
      <c r="B2" s="273" t="s">
        <v>792</v>
      </c>
      <c r="C2" s="273"/>
      <c r="E2" s="238"/>
      <c r="F2" s="238"/>
    </row>
    <row r="3" spans="2:19">
      <c r="E3" s="238"/>
      <c r="F3" s="238"/>
    </row>
    <row r="4" spans="2:19">
      <c r="B4" t="s">
        <v>793</v>
      </c>
      <c r="C4" s="239">
        <v>1500</v>
      </c>
      <c r="D4" t="s">
        <v>794</v>
      </c>
      <c r="E4" s="238"/>
      <c r="F4" s="238"/>
    </row>
    <row r="5" spans="2:19">
      <c r="B5" s="240" t="s">
        <v>795</v>
      </c>
      <c r="C5" s="241">
        <v>460</v>
      </c>
      <c r="D5" s="240" t="s">
        <v>796</v>
      </c>
      <c r="E5" s="238"/>
      <c r="F5" s="238"/>
      <c r="G5" t="s">
        <v>797</v>
      </c>
      <c r="I5" s="242"/>
    </row>
    <row r="6" spans="2:19" ht="17.399999999999999">
      <c r="B6" s="240" t="s">
        <v>798</v>
      </c>
      <c r="C6" s="243">
        <v>0.03</v>
      </c>
      <c r="D6" s="240"/>
      <c r="E6" s="238"/>
      <c r="F6" s="238"/>
      <c r="G6" t="s">
        <v>799</v>
      </c>
      <c r="H6" s="75">
        <v>120</v>
      </c>
      <c r="I6" s="242" t="s">
        <v>800</v>
      </c>
      <c r="M6" s="244" t="s">
        <v>801</v>
      </c>
      <c r="N6" s="245" t="s">
        <v>802</v>
      </c>
      <c r="O6" s="245"/>
      <c r="Q6" s="270" t="s">
        <v>803</v>
      </c>
      <c r="R6" s="270"/>
      <c r="S6" s="270"/>
    </row>
    <row r="7" spans="2:19" ht="17.399999999999999">
      <c r="B7" s="240" t="s">
        <v>804</v>
      </c>
      <c r="C7" s="246">
        <f>C5*C6</f>
        <v>13.799999999999999</v>
      </c>
      <c r="D7" s="240" t="s">
        <v>796</v>
      </c>
      <c r="E7" s="238"/>
      <c r="F7" s="238"/>
      <c r="G7" t="s">
        <v>805</v>
      </c>
      <c r="H7" s="75">
        <v>190</v>
      </c>
      <c r="I7" s="242" t="s">
        <v>806</v>
      </c>
      <c r="M7" s="244" t="s">
        <v>807</v>
      </c>
      <c r="N7" s="244">
        <v>176.7</v>
      </c>
      <c r="O7" s="244" t="s">
        <v>808</v>
      </c>
      <c r="Q7" s="13" t="s">
        <v>809</v>
      </c>
      <c r="R7" s="65" t="s">
        <v>810</v>
      </c>
      <c r="S7" s="65"/>
    </row>
    <row r="8" spans="2:19" ht="17.399999999999999">
      <c r="B8" s="240" t="s">
        <v>811</v>
      </c>
      <c r="C8" s="246">
        <f>(0.30137/(PI()/6))*100</f>
        <v>57.557430239525409</v>
      </c>
      <c r="D8" s="240" t="s">
        <v>812</v>
      </c>
      <c r="E8" s="238"/>
      <c r="F8" s="238"/>
      <c r="G8" t="s">
        <v>813</v>
      </c>
      <c r="H8" s="75">
        <v>200</v>
      </c>
      <c r="I8" s="242" t="s">
        <v>800</v>
      </c>
      <c r="M8" s="244" t="s">
        <v>814</v>
      </c>
      <c r="N8" s="244">
        <v>6</v>
      </c>
      <c r="O8" s="244" t="s">
        <v>815</v>
      </c>
      <c r="Q8" s="16" t="s">
        <v>816</v>
      </c>
      <c r="R8" s="17">
        <v>1.75</v>
      </c>
      <c r="S8" s="16" t="s">
        <v>817</v>
      </c>
    </row>
    <row r="9" spans="2:19" ht="17.399999999999999">
      <c r="B9" s="240" t="s">
        <v>818</v>
      </c>
      <c r="C9" s="241">
        <v>360</v>
      </c>
      <c r="D9" s="240" t="s">
        <v>819</v>
      </c>
      <c r="E9" s="238"/>
      <c r="F9" s="238"/>
      <c r="G9" t="s">
        <v>820</v>
      </c>
      <c r="H9" s="75">
        <v>210</v>
      </c>
      <c r="I9" s="242" t="s">
        <v>800</v>
      </c>
      <c r="M9" s="244" t="s">
        <v>821</v>
      </c>
      <c r="N9" s="244">
        <v>4</v>
      </c>
      <c r="O9" s="244" t="s">
        <v>822</v>
      </c>
      <c r="Q9" s="16" t="s">
        <v>823</v>
      </c>
      <c r="R9" s="18">
        <v>3.8999999999999998E-3</v>
      </c>
      <c r="S9" s="16" t="s">
        <v>824</v>
      </c>
    </row>
    <row r="10" spans="2:19" ht="17.399999999999999">
      <c r="B10" s="240" t="s">
        <v>825</v>
      </c>
      <c r="C10" s="246">
        <f>C8/100*1000/C9</f>
        <v>1.5988175066534835</v>
      </c>
      <c r="D10" s="240" t="s">
        <v>826</v>
      </c>
      <c r="E10" s="238"/>
      <c r="F10" s="238"/>
      <c r="G10" t="s">
        <v>827</v>
      </c>
      <c r="H10" s="247">
        <f>2*H6+H7</f>
        <v>430</v>
      </c>
      <c r="I10" s="242" t="s">
        <v>6</v>
      </c>
      <c r="M10" s="244" t="s">
        <v>828</v>
      </c>
      <c r="N10" s="248">
        <f>C14/N7</f>
        <v>15.183363469014481</v>
      </c>
      <c r="O10" s="244" t="s">
        <v>829</v>
      </c>
      <c r="Q10" s="16" t="s">
        <v>830</v>
      </c>
      <c r="R10" s="20">
        <v>45</v>
      </c>
      <c r="S10" s="16" t="s">
        <v>50</v>
      </c>
    </row>
    <row r="11" spans="2:19" ht="17.399999999999999">
      <c r="B11" s="240" t="s">
        <v>831</v>
      </c>
      <c r="C11" s="241">
        <v>90</v>
      </c>
      <c r="D11" s="240" t="s">
        <v>812</v>
      </c>
      <c r="E11" s="238"/>
      <c r="F11" s="238"/>
      <c r="H11" s="247"/>
      <c r="I11" s="242"/>
      <c r="Q11" s="16" t="s">
        <v>832</v>
      </c>
      <c r="R11" s="18">
        <f>R8*(1+R9*(R10-20))</f>
        <v>1.9206249999999998</v>
      </c>
      <c r="S11" s="16" t="s">
        <v>833</v>
      </c>
    </row>
    <row r="12" spans="2:19" ht="17.399999999999999">
      <c r="B12" s="240" t="s">
        <v>834</v>
      </c>
      <c r="C12" s="246">
        <f>C5*C11/100</f>
        <v>414</v>
      </c>
      <c r="D12" s="240" t="s">
        <v>835</v>
      </c>
      <c r="E12" s="238"/>
      <c r="F12" s="238"/>
      <c r="G12" t="s">
        <v>836</v>
      </c>
      <c r="H12" s="249">
        <f>H8+E34*4</f>
        <v>236</v>
      </c>
      <c r="I12" s="242" t="s">
        <v>806</v>
      </c>
      <c r="M12" s="71" t="s">
        <v>837</v>
      </c>
      <c r="N12" s="71"/>
      <c r="O12" s="71"/>
      <c r="Q12" s="16" t="s">
        <v>838</v>
      </c>
      <c r="R12" s="22">
        <f>1/(R11/100000000)</f>
        <v>52066384.64041654</v>
      </c>
      <c r="S12" s="16" t="s">
        <v>839</v>
      </c>
    </row>
    <row r="13" spans="2:19" ht="17.399999999999999">
      <c r="B13" s="240" t="s">
        <v>840</v>
      </c>
      <c r="C13" s="246">
        <f>C12*2^0.5*3/PI()</f>
        <v>559.09643233356292</v>
      </c>
      <c r="D13" s="240" t="s">
        <v>796</v>
      </c>
      <c r="E13" s="238"/>
      <c r="F13" s="238"/>
      <c r="I13" s="242"/>
      <c r="M13" s="71" t="s">
        <v>841</v>
      </c>
      <c r="N13" s="250">
        <f>C7*C10</f>
        <v>22.063681591818071</v>
      </c>
      <c r="O13" s="71" t="s">
        <v>842</v>
      </c>
      <c r="Q13" s="16" t="s">
        <v>843</v>
      </c>
      <c r="R13" s="65">
        <v>1</v>
      </c>
      <c r="S13" s="16" t="s">
        <v>844</v>
      </c>
    </row>
    <row r="14" spans="2:19" ht="17.399999999999999">
      <c r="B14" s="240" t="s">
        <v>845</v>
      </c>
      <c r="C14" s="246">
        <f>C4/C13*1000</f>
        <v>2682.9003249748584</v>
      </c>
      <c r="D14" s="240" t="s">
        <v>846</v>
      </c>
      <c r="E14" s="238"/>
      <c r="F14" s="238"/>
      <c r="G14" t="s">
        <v>847</v>
      </c>
      <c r="H14" s="249">
        <f>2*H6+H8+E34*2</f>
        <v>458</v>
      </c>
      <c r="I14" s="242" t="s">
        <v>800</v>
      </c>
      <c r="Q14" s="16" t="s">
        <v>848</v>
      </c>
      <c r="R14" s="23">
        <v>1E-3</v>
      </c>
      <c r="S14" s="16" t="s">
        <v>849</v>
      </c>
    </row>
    <row r="15" spans="2:19" ht="17.399999999999999">
      <c r="B15" s="240" t="s">
        <v>850</v>
      </c>
      <c r="C15" s="241">
        <v>3.5</v>
      </c>
      <c r="D15" s="240" t="s">
        <v>812</v>
      </c>
      <c r="E15" s="238"/>
      <c r="F15" s="238"/>
      <c r="G15" t="s">
        <v>851</v>
      </c>
      <c r="H15">
        <v>77</v>
      </c>
      <c r="I15" s="242" t="s">
        <v>852</v>
      </c>
      <c r="Q15" s="16" t="s">
        <v>853</v>
      </c>
      <c r="R15" s="24">
        <f>503.3*SQRT((R11/100000000)/(R13*R14))*1000</f>
        <v>2205.7090200347143</v>
      </c>
      <c r="S15" s="16" t="s">
        <v>854</v>
      </c>
    </row>
    <row r="16" spans="2:19" ht="17.399999999999999">
      <c r="B16" s="240" t="s">
        <v>855</v>
      </c>
      <c r="C16" s="246">
        <f>C14*C15/100</f>
        <v>93.901511374120048</v>
      </c>
      <c r="D16" s="240" t="s">
        <v>846</v>
      </c>
      <c r="E16" s="238"/>
      <c r="F16" s="238"/>
      <c r="G16" t="s">
        <v>856</v>
      </c>
      <c r="H16">
        <f>H6*H9/100</f>
        <v>252</v>
      </c>
      <c r="I16" s="242" t="s">
        <v>857</v>
      </c>
      <c r="J16" s="251" t="s">
        <v>858</v>
      </c>
      <c r="Q16" s="16" t="s">
        <v>859</v>
      </c>
      <c r="R16" s="25">
        <v>31200</v>
      </c>
      <c r="S16" s="16" t="s">
        <v>854</v>
      </c>
    </row>
    <row r="17" spans="2:19" ht="17.399999999999999">
      <c r="B17" s="240" t="s">
        <v>860</v>
      </c>
      <c r="C17" s="246">
        <f>C7*C10/C16</f>
        <v>0.23496620308817506</v>
      </c>
      <c r="D17" s="240" t="s">
        <v>861</v>
      </c>
      <c r="E17" s="238"/>
      <c r="F17" s="238"/>
      <c r="G17" t="s">
        <v>862</v>
      </c>
      <c r="H17">
        <f>(H10*H14*H9-H8*H7*H9)/1000*7.83/1000</f>
        <v>261.34504200000003</v>
      </c>
      <c r="I17" s="242" t="s">
        <v>863</v>
      </c>
      <c r="J17" s="252">
        <f>H17*2000/10000</f>
        <v>52.269008400000011</v>
      </c>
      <c r="K17" t="s">
        <v>864</v>
      </c>
      <c r="Q17" s="16" t="s">
        <v>865</v>
      </c>
      <c r="R17" s="25">
        <v>2.5</v>
      </c>
      <c r="S17" s="16" t="s">
        <v>854</v>
      </c>
    </row>
    <row r="18" spans="2:19" ht="17.399999999999999">
      <c r="B18" s="240" t="s">
        <v>866</v>
      </c>
      <c r="C18" s="241">
        <v>90</v>
      </c>
      <c r="D18" s="240" t="s">
        <v>819</v>
      </c>
      <c r="E18" s="238"/>
      <c r="F18" s="238"/>
      <c r="H18">
        <f>2000*H17/10000</f>
        <v>52.269008400000011</v>
      </c>
      <c r="I18" s="242"/>
      <c r="M18" t="s">
        <v>867</v>
      </c>
      <c r="Q18" s="16" t="s">
        <v>868</v>
      </c>
      <c r="R18" s="26">
        <f>MIN(R15,R17)</f>
        <v>2.5</v>
      </c>
      <c r="S18" s="16" t="s">
        <v>869</v>
      </c>
    </row>
    <row r="19" spans="2:19" ht="17.399999999999999">
      <c r="B19" s="240" t="s">
        <v>870</v>
      </c>
      <c r="C19" s="246">
        <f>(4*PI()^2*C17/1000*C18^2)^-1*1000000</f>
        <v>13309.135462450087</v>
      </c>
      <c r="D19" s="240" t="s">
        <v>871</v>
      </c>
      <c r="E19" s="238"/>
      <c r="F19" s="238"/>
      <c r="I19" s="242"/>
      <c r="M19" s="71" t="s">
        <v>872</v>
      </c>
      <c r="N19" s="71">
        <v>11200</v>
      </c>
      <c r="O19" s="71" t="s">
        <v>871</v>
      </c>
      <c r="Q19" s="16" t="s">
        <v>873</v>
      </c>
      <c r="R19" s="25">
        <v>25</v>
      </c>
      <c r="S19" s="16" t="s">
        <v>854</v>
      </c>
    </row>
    <row r="20" spans="2:19" ht="17.399999999999999">
      <c r="B20" t="s">
        <v>874</v>
      </c>
      <c r="C20">
        <f>C14*1.33</f>
        <v>3568.2574322165619</v>
      </c>
      <c r="D20" s="238" t="s">
        <v>846</v>
      </c>
      <c r="E20" s="238"/>
      <c r="F20" s="238"/>
      <c r="I20" s="242"/>
      <c r="M20" s="71" t="s">
        <v>875</v>
      </c>
      <c r="N20" s="71">
        <v>287</v>
      </c>
      <c r="O20" s="71" t="s">
        <v>876</v>
      </c>
      <c r="Q20" s="16" t="s">
        <v>877</v>
      </c>
      <c r="R20" s="24">
        <f>(PI()*(R19/2)^2)-(PI()*(R19/2-R18)^2)</f>
        <v>176.71458676442586</v>
      </c>
      <c r="S20" s="16" t="s">
        <v>878</v>
      </c>
    </row>
    <row r="21" spans="2:19" ht="17.399999999999999">
      <c r="E21" s="238"/>
      <c r="F21" s="238"/>
      <c r="G21" t="s">
        <v>879</v>
      </c>
      <c r="H21">
        <f>H16*H7*H8/100</f>
        <v>95760</v>
      </c>
      <c r="I21" s="242" t="s">
        <v>880</v>
      </c>
      <c r="M21" s="71" t="s">
        <v>881</v>
      </c>
      <c r="N21" s="71">
        <f>1/(2*3.14*SQRT((N19/1000000)*(N20/1000000)))</f>
        <v>88.815833649116286</v>
      </c>
      <c r="O21" s="71" t="s">
        <v>882</v>
      </c>
      <c r="Q21" s="16" t="s">
        <v>883</v>
      </c>
      <c r="R21" s="25">
        <v>2683</v>
      </c>
      <c r="S21" s="29" t="s">
        <v>884</v>
      </c>
    </row>
    <row r="22" spans="2:19" ht="17.399999999999999">
      <c r="B22" t="s">
        <v>885</v>
      </c>
      <c r="C22" s="239">
        <v>1.44</v>
      </c>
      <c r="D22" s="238" t="s">
        <v>886</v>
      </c>
      <c r="E22" s="238"/>
      <c r="F22" s="238"/>
      <c r="G22" t="s">
        <v>887</v>
      </c>
      <c r="H22">
        <f>(H9*2+3.14*(H6+H7/2))/10</f>
        <v>109.50999999999999</v>
      </c>
      <c r="I22" s="242" t="s">
        <v>888</v>
      </c>
      <c r="M22" s="251" t="s">
        <v>889</v>
      </c>
      <c r="Q22" s="16" t="s">
        <v>890</v>
      </c>
      <c r="R22" s="30">
        <f>R21/R20</f>
        <v>15.182674215664186</v>
      </c>
      <c r="S22" s="29" t="s">
        <v>891</v>
      </c>
    </row>
    <row r="23" spans="2:19" ht="17.399999999999999">
      <c r="B23" t="s">
        <v>892</v>
      </c>
      <c r="C23">
        <v>50</v>
      </c>
      <c r="D23" s="238" t="s">
        <v>50</v>
      </c>
      <c r="E23" s="238"/>
      <c r="F23" s="238"/>
      <c r="G23" t="s">
        <v>893</v>
      </c>
      <c r="H23">
        <f>H16</f>
        <v>252</v>
      </c>
      <c r="I23" s="242" t="s">
        <v>857</v>
      </c>
      <c r="M23" s="71" t="s">
        <v>894</v>
      </c>
      <c r="N23" s="71">
        <v>11200</v>
      </c>
      <c r="O23" s="71" t="s">
        <v>871</v>
      </c>
      <c r="Q23" s="16" t="s">
        <v>895</v>
      </c>
      <c r="R23" s="30">
        <f>R11/100000000*(R21^2)/(R20/1000000)*R16/1000</f>
        <v>24409.906589461923</v>
      </c>
      <c r="S23" s="29" t="s">
        <v>896</v>
      </c>
    </row>
    <row r="24" spans="2:19">
      <c r="B24" t="s">
        <v>897</v>
      </c>
      <c r="C24" s="246" t="s">
        <v>898</v>
      </c>
      <c r="D24" s="238"/>
      <c r="E24" s="238"/>
      <c r="F24" s="238"/>
      <c r="G24" t="s">
        <v>899</v>
      </c>
      <c r="H24">
        <f>H7*H8/100</f>
        <v>380</v>
      </c>
      <c r="I24" s="242" t="s">
        <v>900</v>
      </c>
      <c r="M24" s="71" t="s">
        <v>901</v>
      </c>
      <c r="N24" s="71">
        <v>345.7</v>
      </c>
      <c r="O24" s="71" t="s">
        <v>902</v>
      </c>
    </row>
    <row r="25" spans="2:19">
      <c r="B25" t="s">
        <v>903</v>
      </c>
      <c r="C25" s="246" t="s">
        <v>904</v>
      </c>
      <c r="D25" s="238"/>
      <c r="E25" s="238"/>
      <c r="F25" s="238"/>
      <c r="G25" t="s">
        <v>905</v>
      </c>
      <c r="H25">
        <f>(2*H14*2*H10 + H9*(2*H14+4*H10))/100</f>
        <v>13413.2</v>
      </c>
      <c r="I25" s="242" t="s">
        <v>857</v>
      </c>
      <c r="M25" s="71" t="s">
        <v>881</v>
      </c>
      <c r="N25" s="71">
        <f>1/(2*3.14*SQRT((N23/1000000)*(N24/1000000)))</f>
        <v>80.924803802954926</v>
      </c>
      <c r="O25" s="71" t="s">
        <v>906</v>
      </c>
    </row>
    <row r="26" spans="2:19">
      <c r="B26" t="s">
        <v>907</v>
      </c>
      <c r="C26">
        <f>C22*C16/C20</f>
        <v>3.7894736842105259E-2</v>
      </c>
      <c r="D26" t="s">
        <v>908</v>
      </c>
      <c r="E26" s="238"/>
      <c r="F26" s="238"/>
      <c r="G26" t="s">
        <v>909</v>
      </c>
      <c r="H26">
        <f>H15</f>
        <v>77</v>
      </c>
      <c r="I26" s="242" t="s">
        <v>888</v>
      </c>
    </row>
    <row r="27" spans="2:19">
      <c r="B27" t="s">
        <v>910</v>
      </c>
      <c r="C27" s="239" t="str">
        <f>G5</f>
        <v>규소 강판</v>
      </c>
      <c r="E27" s="238"/>
      <c r="F27" s="238"/>
      <c r="G27" t="s">
        <v>911</v>
      </c>
      <c r="H27">
        <f>H8/10</f>
        <v>20</v>
      </c>
      <c r="I27" s="242" t="s">
        <v>888</v>
      </c>
      <c r="M27" t="s">
        <v>912</v>
      </c>
      <c r="N27">
        <v>17848</v>
      </c>
      <c r="O27" t="s">
        <v>913</v>
      </c>
    </row>
    <row r="28" spans="2:19">
      <c r="B28" t="s">
        <v>856</v>
      </c>
      <c r="C28" s="239">
        <f>H16</f>
        <v>252</v>
      </c>
      <c r="D28" s="242" t="s">
        <v>900</v>
      </c>
      <c r="E28" s="238"/>
      <c r="F28" s="238"/>
      <c r="I28" s="242"/>
      <c r="M28" t="s">
        <v>914</v>
      </c>
      <c r="N28">
        <v>20942</v>
      </c>
      <c r="O28" t="s">
        <v>913</v>
      </c>
    </row>
    <row r="29" spans="2:19">
      <c r="B29" t="s">
        <v>915</v>
      </c>
      <c r="C29">
        <v>1</v>
      </c>
      <c r="D29" t="s">
        <v>916</v>
      </c>
      <c r="E29" s="238"/>
      <c r="F29" s="238"/>
      <c r="G29" t="s">
        <v>917</v>
      </c>
      <c r="H29">
        <f>C29</f>
        <v>1</v>
      </c>
      <c r="I29" s="242" t="s">
        <v>918</v>
      </c>
      <c r="M29" t="s">
        <v>919</v>
      </c>
      <c r="N29">
        <v>15468</v>
      </c>
      <c r="O29" t="s">
        <v>913</v>
      </c>
    </row>
    <row r="30" spans="2:19">
      <c r="B30" t="s">
        <v>920</v>
      </c>
      <c r="C30">
        <f>C28*C29</f>
        <v>252</v>
      </c>
      <c r="D30" s="242" t="s">
        <v>900</v>
      </c>
      <c r="E30" s="238"/>
      <c r="F30" s="238"/>
      <c r="G30" t="s">
        <v>921</v>
      </c>
      <c r="H30">
        <f>H21*H29</f>
        <v>95760</v>
      </c>
      <c r="I30" s="242" t="s">
        <v>880</v>
      </c>
      <c r="M30" t="s">
        <v>922</v>
      </c>
      <c r="N30">
        <v>18086</v>
      </c>
      <c r="O30" t="s">
        <v>923</v>
      </c>
    </row>
    <row r="31" spans="2:19">
      <c r="E31" s="238"/>
      <c r="F31" s="238"/>
      <c r="G31" t="s">
        <v>924</v>
      </c>
      <c r="H31">
        <f>H23*H29</f>
        <v>252</v>
      </c>
      <c r="I31" s="242" t="s">
        <v>857</v>
      </c>
      <c r="J31" t="s">
        <v>925</v>
      </c>
      <c r="M31" t="s">
        <v>926</v>
      </c>
      <c r="N31">
        <v>8362</v>
      </c>
      <c r="O31" t="s">
        <v>927</v>
      </c>
    </row>
    <row r="32" spans="2:19">
      <c r="B32" t="s">
        <v>928</v>
      </c>
      <c r="C32">
        <f>ROUNDUP(C7*C10/1000*10000/C26/C30,0)</f>
        <v>24</v>
      </c>
      <c r="D32" t="s">
        <v>929</v>
      </c>
      <c r="E32" s="238"/>
      <c r="F32" s="238"/>
      <c r="G32" t="s">
        <v>930</v>
      </c>
      <c r="H32">
        <f>H22</f>
        <v>109.50999999999999</v>
      </c>
      <c r="I32" s="242" t="s">
        <v>852</v>
      </c>
      <c r="J32">
        <v>31.2</v>
      </c>
      <c r="K32" t="s">
        <v>931</v>
      </c>
      <c r="M32" t="s">
        <v>932</v>
      </c>
      <c r="N32">
        <v>5151</v>
      </c>
      <c r="O32" t="s">
        <v>927</v>
      </c>
    </row>
    <row r="33" spans="2:19">
      <c r="B33" t="s">
        <v>933</v>
      </c>
      <c r="C33">
        <f>ROUNDUP(0.4*3.1416*C32*C20/10000/C22,2)</f>
        <v>7.4799999999999995</v>
      </c>
      <c r="D33" s="242" t="s">
        <v>852</v>
      </c>
      <c r="E33" s="238" t="s">
        <v>934</v>
      </c>
      <c r="F33" s="251" t="s">
        <v>935</v>
      </c>
      <c r="G33" t="s">
        <v>936</v>
      </c>
      <c r="H33">
        <f>H17*H29</f>
        <v>261.34504200000003</v>
      </c>
      <c r="I33" s="242" t="s">
        <v>937</v>
      </c>
      <c r="J33" s="252">
        <f>J32*17848/10000</f>
        <v>55.685759999999995</v>
      </c>
      <c r="K33" s="253" t="s">
        <v>938</v>
      </c>
      <c r="L33" s="253"/>
      <c r="M33" s="253"/>
      <c r="N33" s="253"/>
      <c r="O33" s="253"/>
      <c r="P33" s="253"/>
      <c r="Q33" s="253"/>
      <c r="R33" s="253"/>
      <c r="S33" s="253"/>
    </row>
    <row r="34" spans="2:19">
      <c r="B34" t="s">
        <v>939</v>
      </c>
      <c r="C34" s="247">
        <f>C33/8</f>
        <v>0.93499999999999994</v>
      </c>
      <c r="D34" s="242" t="s">
        <v>852</v>
      </c>
      <c r="E34" s="254">
        <v>9</v>
      </c>
      <c r="F34" s="254" t="s">
        <v>800</v>
      </c>
      <c r="J34" s="252">
        <f>J17+J33</f>
        <v>107.95476840000001</v>
      </c>
      <c r="K34" s="253" t="s">
        <v>864</v>
      </c>
      <c r="L34" s="253"/>
      <c r="M34" s="253"/>
      <c r="N34" s="253"/>
      <c r="O34" s="253"/>
      <c r="P34" s="253"/>
      <c r="Q34" s="253"/>
      <c r="R34" s="253"/>
      <c r="S34" s="253"/>
    </row>
    <row r="35" spans="2:19">
      <c r="B35" t="s">
        <v>940</v>
      </c>
      <c r="C35">
        <f>C34/H6*10*100</f>
        <v>7.7916666666666661</v>
      </c>
      <c r="D35" s="251" t="s">
        <v>812</v>
      </c>
      <c r="E35" s="238"/>
      <c r="F35" s="238"/>
      <c r="K35" s="253"/>
      <c r="L35" s="253"/>
      <c r="M35" s="253"/>
      <c r="N35" s="253"/>
      <c r="O35" s="253"/>
      <c r="P35" s="253"/>
      <c r="Q35" s="253"/>
      <c r="R35" s="253"/>
      <c r="S35" s="253"/>
    </row>
    <row r="36" spans="2:19">
      <c r="B36" t="s">
        <v>941</v>
      </c>
      <c r="C36" s="247">
        <f>0.000000004*PI()*C32^2*C30/C33*1000000</f>
        <v>243.85478976142551</v>
      </c>
      <c r="D36" t="s">
        <v>902</v>
      </c>
      <c r="E36" s="238"/>
      <c r="F36" s="238"/>
      <c r="K36" s="253"/>
      <c r="L36" s="253"/>
      <c r="M36" s="253"/>
      <c r="N36" s="253"/>
      <c r="O36" s="253"/>
      <c r="P36" s="253"/>
      <c r="Q36" s="253"/>
      <c r="R36" s="253"/>
      <c r="S36" s="253"/>
    </row>
    <row r="37" spans="2:19">
      <c r="B37" t="s">
        <v>942</v>
      </c>
      <c r="C37">
        <f>1+C34/C30^0.5*LN(2*H27/C34)</f>
        <v>1.2212315808539831</v>
      </c>
      <c r="E37" s="238"/>
      <c r="F37" s="238"/>
      <c r="K37" s="253"/>
      <c r="L37" s="253"/>
      <c r="M37" s="253"/>
      <c r="N37" s="253"/>
      <c r="O37" s="253"/>
      <c r="P37" s="253"/>
      <c r="Q37" s="253"/>
      <c r="R37" s="253"/>
      <c r="S37" s="253"/>
    </row>
    <row r="38" spans="2:19">
      <c r="B38" t="s">
        <v>943</v>
      </c>
      <c r="C38" s="255">
        <f>C17*C37*1000</f>
        <v>286.94814764463007</v>
      </c>
      <c r="D38" t="s">
        <v>902</v>
      </c>
      <c r="E38" s="238"/>
      <c r="F38" s="238"/>
      <c r="K38" s="253"/>
      <c r="L38" s="253"/>
      <c r="M38" s="253"/>
      <c r="N38" s="253"/>
      <c r="O38" s="253"/>
      <c r="P38" s="253"/>
      <c r="Q38" s="253"/>
      <c r="R38" s="253"/>
      <c r="S38" s="253"/>
    </row>
    <row r="39" spans="2:19">
      <c r="E39" s="238"/>
      <c r="F39" s="238"/>
      <c r="K39" s="253"/>
      <c r="L39" s="253"/>
      <c r="M39" s="253"/>
      <c r="N39" s="253"/>
      <c r="O39" s="253"/>
      <c r="P39" s="253"/>
      <c r="Q39" s="253"/>
      <c r="R39" s="253"/>
      <c r="S39" s="253"/>
    </row>
    <row r="40" spans="2:19">
      <c r="B40" t="s">
        <v>944</v>
      </c>
      <c r="C40">
        <v>40</v>
      </c>
      <c r="D40" t="s">
        <v>800</v>
      </c>
      <c r="E40" s="238"/>
      <c r="F40" s="238"/>
      <c r="G40" s="253"/>
      <c r="H40" s="253"/>
      <c r="I40" s="253"/>
      <c r="K40" s="253"/>
      <c r="L40" s="253"/>
      <c r="M40" s="253"/>
      <c r="N40" s="253"/>
      <c r="O40" s="253"/>
      <c r="P40" s="253"/>
      <c r="Q40" s="253"/>
      <c r="R40" s="253"/>
      <c r="S40" s="253"/>
    </row>
    <row r="41" spans="2:19">
      <c r="B41" t="s">
        <v>945</v>
      </c>
      <c r="C41">
        <v>4</v>
      </c>
      <c r="D41" t="s">
        <v>800</v>
      </c>
      <c r="E41" s="238"/>
      <c r="F41" s="238"/>
      <c r="G41" s="253"/>
      <c r="H41" s="253"/>
      <c r="I41" s="253"/>
      <c r="K41" s="253"/>
      <c r="L41" s="253"/>
      <c r="M41" s="253"/>
      <c r="N41" s="253"/>
      <c r="O41" s="253"/>
      <c r="P41" s="253"/>
      <c r="Q41" s="253"/>
      <c r="R41" s="253"/>
      <c r="S41" s="253"/>
    </row>
    <row r="42" spans="2:19">
      <c r="B42" t="s">
        <v>946</v>
      </c>
      <c r="C42">
        <f>C40*C41</f>
        <v>160</v>
      </c>
      <c r="D42" t="s">
        <v>808</v>
      </c>
      <c r="E42" s="238"/>
      <c r="F42" s="238"/>
      <c r="G42" s="253"/>
      <c r="H42" s="253"/>
      <c r="I42" s="253"/>
      <c r="K42" s="253"/>
      <c r="L42" s="253"/>
      <c r="M42" s="253"/>
      <c r="N42" s="253"/>
      <c r="O42" s="253"/>
    </row>
    <row r="43" spans="2:19">
      <c r="B43" t="s">
        <v>947</v>
      </c>
      <c r="C43">
        <v>40</v>
      </c>
      <c r="E43" s="238"/>
      <c r="F43" s="238"/>
      <c r="G43" s="253"/>
      <c r="H43" s="253"/>
      <c r="I43" s="253"/>
      <c r="K43" s="253"/>
      <c r="L43" s="253"/>
      <c r="M43" s="253"/>
      <c r="N43" s="253"/>
      <c r="O43" s="253"/>
    </row>
    <row r="44" spans="2:19" ht="13.5" hidden="1" customHeight="1">
      <c r="B44" t="s">
        <v>948</v>
      </c>
      <c r="C44">
        <v>0.1</v>
      </c>
      <c r="D44" t="s">
        <v>949</v>
      </c>
      <c r="E44" s="238"/>
      <c r="F44" s="238"/>
      <c r="G44" s="253"/>
      <c r="H44" s="253"/>
      <c r="I44" s="253"/>
      <c r="K44" s="253"/>
      <c r="L44" s="253"/>
      <c r="M44" s="253"/>
      <c r="N44" s="253"/>
      <c r="O44" s="253"/>
    </row>
    <row r="45" spans="2:19" ht="13.5" hidden="1" customHeight="1">
      <c r="B45" t="s">
        <v>950</v>
      </c>
      <c r="C45">
        <f>C32*(C41*C43+C44)</f>
        <v>3842.3999999999996</v>
      </c>
      <c r="D45" t="s">
        <v>800</v>
      </c>
      <c r="E45" s="238"/>
      <c r="F45" s="238"/>
      <c r="K45" s="253"/>
      <c r="L45" s="253"/>
      <c r="M45" s="253"/>
      <c r="N45" s="253"/>
      <c r="O45" s="253"/>
    </row>
    <row r="46" spans="2:19" ht="13.5" hidden="1" customHeight="1">
      <c r="B46" t="s">
        <v>951</v>
      </c>
      <c r="C46">
        <f>C40*C41*C43*C32/100</f>
        <v>1536</v>
      </c>
      <c r="D46" t="s">
        <v>952</v>
      </c>
      <c r="E46" s="238"/>
      <c r="F46" s="238"/>
      <c r="K46" s="253"/>
      <c r="L46" s="253"/>
      <c r="M46" s="253"/>
      <c r="N46" s="253"/>
      <c r="O46" s="253"/>
    </row>
    <row r="47" spans="2:19" ht="13.5" hidden="1" customHeight="1">
      <c r="B47" t="s">
        <v>953</v>
      </c>
      <c r="C47">
        <f>C46/H24*100</f>
        <v>404.21052631578948</v>
      </c>
      <c r="E47" s="238"/>
      <c r="F47" s="238"/>
      <c r="K47" s="253"/>
      <c r="L47" s="253"/>
      <c r="M47" s="253"/>
      <c r="N47" s="253"/>
      <c r="O47" s="253"/>
    </row>
    <row r="48" spans="2:19" ht="13.5" hidden="1" customHeight="1"/>
    <row r="49" ht="13.5" hidden="1" customHeight="1"/>
    <row r="50" ht="13.5" hidden="1" customHeight="1"/>
    <row r="51" ht="13.5" hidden="1" customHeight="1"/>
  </sheetData>
  <mergeCells count="2">
    <mergeCell ref="B2:C2"/>
    <mergeCell ref="Q6:S6"/>
  </mergeCells>
  <phoneticPr fontId="8" type="noConversion"/>
  <pageMargins left="0.7" right="0.7" top="0.75" bottom="0.75" header="0.3" footer="0.3"/>
  <pageSetup paperSize="9" orientation="portrait" horizontalDpi="4294967293" verticalDpi="4294967293" r:id="rId1"/>
  <drawing r:id="rId2"/>
  <legacyDrawing r:id="rId3"/>
  <oleObjects>
    <mc:AlternateContent xmlns:mc="http://schemas.openxmlformats.org/markup-compatibility/2006">
      <mc:Choice Requires="x14">
        <oleObject progId="StaticMetafile" shapeId="3196929" r:id="rId4">
          <objectPr defaultSize="0" autoPict="0" r:id="rId5">
            <anchor moveWithCells="1">
              <from>
                <xdr:col>9</xdr:col>
                <xdr:colOff>22860</xdr:colOff>
                <xdr:row>4</xdr:row>
                <xdr:rowOff>22860</xdr:rowOff>
              </from>
              <to>
                <xdr:col>12</xdr:col>
                <xdr:colOff>7620</xdr:colOff>
                <xdr:row>12</xdr:row>
                <xdr:rowOff>99060</xdr:rowOff>
              </to>
            </anchor>
          </objectPr>
        </oleObject>
      </mc:Choice>
      <mc:Fallback>
        <oleObject progId="StaticMetafile" shapeId="3196929" r:id="rId4"/>
      </mc:Fallback>
    </mc:AlternateContent>
    <mc:AlternateContent xmlns:mc="http://schemas.openxmlformats.org/markup-compatibility/2006">
      <mc:Choice Requires="x14">
        <oleObject progId="StaticMetafile" shapeId="3196930" r:id="rId6">
          <objectPr defaultSize="0" autoPict="0" r:id="rId5">
            <anchor moveWithCells="1">
              <from>
                <xdr:col>9</xdr:col>
                <xdr:colOff>22860</xdr:colOff>
                <xdr:row>4</xdr:row>
                <xdr:rowOff>22860</xdr:rowOff>
              </from>
              <to>
                <xdr:col>11</xdr:col>
                <xdr:colOff>381000</xdr:colOff>
                <xdr:row>14</xdr:row>
                <xdr:rowOff>7620</xdr:rowOff>
              </to>
            </anchor>
          </objectPr>
        </oleObject>
      </mc:Choice>
      <mc:Fallback>
        <oleObject progId="StaticMetafile" shapeId="3196930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workbookViewId="0">
      <selection activeCell="E43" sqref="E43"/>
    </sheetView>
  </sheetViews>
  <sheetFormatPr defaultRowHeight="14.4"/>
  <cols>
    <col min="2" max="2" width="3.19921875" customWidth="1"/>
    <col min="3" max="3" width="52.59765625" customWidth="1"/>
    <col min="4" max="4" width="18.796875" customWidth="1"/>
    <col min="5" max="5" width="4.296875" customWidth="1"/>
    <col min="6" max="6" width="24.8984375" customWidth="1"/>
    <col min="9" max="9" width="24.3984375" bestFit="1" customWidth="1"/>
    <col min="12" max="12" width="24.3984375" bestFit="1" customWidth="1"/>
    <col min="19" max="19" width="12.8984375" customWidth="1"/>
  </cols>
  <sheetData>
    <row r="1" spans="2:17">
      <c r="F1" t="s">
        <v>180</v>
      </c>
      <c r="I1" t="s">
        <v>178</v>
      </c>
      <c r="L1" t="s">
        <v>179</v>
      </c>
    </row>
    <row r="2" spans="2:17" ht="19.2">
      <c r="C2" s="74" t="s">
        <v>161</v>
      </c>
      <c r="F2" s="73" t="s">
        <v>15</v>
      </c>
      <c r="G2" s="73"/>
      <c r="H2" s="73"/>
      <c r="I2" s="75" t="s">
        <v>15</v>
      </c>
      <c r="J2" s="75"/>
      <c r="K2" s="75"/>
      <c r="L2" s="81" t="s">
        <v>15</v>
      </c>
      <c r="M2" s="81"/>
      <c r="N2" s="81"/>
    </row>
    <row r="3" spans="2:17">
      <c r="B3" s="71"/>
      <c r="C3" s="71" t="s">
        <v>160</v>
      </c>
      <c r="D3" s="71" t="s">
        <v>159</v>
      </c>
      <c r="F3" s="73"/>
      <c r="G3" s="73"/>
      <c r="H3" s="73"/>
      <c r="I3" s="75"/>
      <c r="J3" s="75"/>
      <c r="K3" s="75"/>
      <c r="L3" s="81"/>
      <c r="M3" s="81"/>
      <c r="N3" s="81"/>
    </row>
    <row r="4" spans="2:17" s="49" customFormat="1" ht="15.6">
      <c r="B4" s="52">
        <v>1</v>
      </c>
      <c r="C4" s="72" t="s">
        <v>753</v>
      </c>
      <c r="D4" s="85" t="s">
        <v>747</v>
      </c>
      <c r="F4" s="73" t="s">
        <v>3</v>
      </c>
      <c r="G4" s="73">
        <v>8</v>
      </c>
      <c r="H4" s="73" t="s">
        <v>4</v>
      </c>
      <c r="I4" s="75" t="s">
        <v>3</v>
      </c>
      <c r="J4" s="75">
        <v>8</v>
      </c>
      <c r="K4" s="75" t="s">
        <v>4</v>
      </c>
      <c r="L4" s="81" t="s">
        <v>3</v>
      </c>
      <c r="M4" s="81">
        <v>8</v>
      </c>
      <c r="N4" s="81" t="s">
        <v>4</v>
      </c>
    </row>
    <row r="5" spans="2:17" s="49" customFormat="1" ht="15.6">
      <c r="B5" s="52">
        <v>2</v>
      </c>
      <c r="C5" s="72" t="s">
        <v>752</v>
      </c>
      <c r="D5" s="52"/>
      <c r="F5" s="73" t="s">
        <v>5</v>
      </c>
      <c r="G5" s="73">
        <v>100</v>
      </c>
      <c r="H5" s="73" t="s">
        <v>6</v>
      </c>
      <c r="I5" s="75" t="s">
        <v>5</v>
      </c>
      <c r="J5" s="75">
        <v>105</v>
      </c>
      <c r="K5" s="75" t="s">
        <v>6</v>
      </c>
      <c r="L5" s="81" t="s">
        <v>5</v>
      </c>
      <c r="M5" s="81">
        <v>100</v>
      </c>
      <c r="N5" s="81" t="s">
        <v>6</v>
      </c>
    </row>
    <row r="6" spans="2:17" s="49" customFormat="1" ht="15.6">
      <c r="B6" s="52">
        <v>3</v>
      </c>
      <c r="C6" s="72" t="s">
        <v>751</v>
      </c>
      <c r="D6" s="52"/>
      <c r="F6" s="73" t="s">
        <v>7</v>
      </c>
      <c r="G6" s="73">
        <v>148</v>
      </c>
      <c r="H6" s="73" t="s">
        <v>6</v>
      </c>
      <c r="I6" s="75" t="s">
        <v>7</v>
      </c>
      <c r="J6" s="75">
        <v>162</v>
      </c>
      <c r="K6" s="75" t="s">
        <v>6</v>
      </c>
      <c r="L6" s="81" t="s">
        <v>7</v>
      </c>
      <c r="M6" s="81">
        <v>134</v>
      </c>
      <c r="N6" s="81" t="s">
        <v>6</v>
      </c>
      <c r="P6">
        <v>30</v>
      </c>
      <c r="Q6" t="s">
        <v>744</v>
      </c>
    </row>
    <row r="7" spans="2:17" s="49" customFormat="1" ht="31.2">
      <c r="B7" s="52">
        <v>4</v>
      </c>
      <c r="C7" s="72" t="s">
        <v>786</v>
      </c>
      <c r="D7" s="52"/>
      <c r="F7" s="73" t="s">
        <v>8</v>
      </c>
      <c r="G7" s="73">
        <f>(G5*G4)*(G5*G4)/(101.6*(4.5*G5+10*G6))</f>
        <v>3.2638407245726411</v>
      </c>
      <c r="H7" s="73" t="s">
        <v>9</v>
      </c>
      <c r="I7" s="75" t="s">
        <v>8</v>
      </c>
      <c r="J7" s="75">
        <f>(J5*J4)*(J5*J4)/(101.6*(4.5*J5+10*J6))</f>
        <v>3.3189399712132759</v>
      </c>
      <c r="K7" s="75" t="s">
        <v>9</v>
      </c>
      <c r="L7" s="81" t="s">
        <v>8</v>
      </c>
      <c r="M7" s="81">
        <f>(M5*M4)*(M5*M4)/(101.6*(4.5*M5+10*M6))</f>
        <v>3.5191131834777636</v>
      </c>
      <c r="N7" s="81" t="s">
        <v>9</v>
      </c>
      <c r="P7">
        <v>8</v>
      </c>
      <c r="Q7" t="s">
        <v>743</v>
      </c>
    </row>
    <row r="8" spans="2:17" s="49" customFormat="1" ht="15.6">
      <c r="B8" s="52">
        <v>5</v>
      </c>
      <c r="C8" s="72" t="s">
        <v>787</v>
      </c>
      <c r="D8" s="52"/>
      <c r="F8" s="73" t="s">
        <v>190</v>
      </c>
      <c r="G8" s="73">
        <f>G7*2/2</f>
        <v>3.2638407245726411</v>
      </c>
      <c r="H8" s="73" t="s">
        <v>9</v>
      </c>
      <c r="I8" s="75" t="s">
        <v>16</v>
      </c>
      <c r="J8" s="75">
        <f>J7*2/3</f>
        <v>2.2126266474755174</v>
      </c>
      <c r="K8" s="75"/>
      <c r="L8" s="81" t="s">
        <v>16</v>
      </c>
      <c r="M8" s="81">
        <f>M7*2/3</f>
        <v>2.3460754556518424</v>
      </c>
      <c r="N8" s="81"/>
      <c r="P8">
        <v>5</v>
      </c>
      <c r="Q8" t="s">
        <v>742</v>
      </c>
    </row>
    <row r="9" spans="2:17" s="49" customFormat="1" ht="15.6">
      <c r="B9" s="52">
        <v>6</v>
      </c>
      <c r="C9" s="72" t="s">
        <v>954</v>
      </c>
      <c r="D9" s="52"/>
      <c r="F9" s="80" t="s">
        <v>182</v>
      </c>
      <c r="G9" s="80">
        <v>100</v>
      </c>
      <c r="H9" s="80" t="s">
        <v>2</v>
      </c>
      <c r="I9" s="83" t="s">
        <v>182</v>
      </c>
      <c r="J9" s="83">
        <v>100</v>
      </c>
      <c r="K9" s="83" t="s">
        <v>2</v>
      </c>
      <c r="L9" s="82" t="s">
        <v>182</v>
      </c>
      <c r="M9" s="82">
        <v>100</v>
      </c>
      <c r="N9" s="82" t="s">
        <v>2</v>
      </c>
      <c r="P9">
        <f>(P6*P7)+(P8*(P7-1))</f>
        <v>275</v>
      </c>
      <c r="Q9" t="s">
        <v>745</v>
      </c>
    </row>
    <row r="10" spans="2:17" s="49" customFormat="1" ht="31.2">
      <c r="B10" s="52">
        <v>7</v>
      </c>
      <c r="C10" s="72" t="s">
        <v>158</v>
      </c>
      <c r="D10" s="52"/>
      <c r="F10" s="80" t="s">
        <v>183</v>
      </c>
      <c r="G10" s="80">
        <f>G8*G9/100</f>
        <v>3.2638407245726411</v>
      </c>
      <c r="H10" s="73" t="s">
        <v>9</v>
      </c>
      <c r="I10" s="83" t="s">
        <v>183</v>
      </c>
      <c r="J10" s="83">
        <f>J8*J9/100</f>
        <v>2.2126266474755174</v>
      </c>
      <c r="K10" s="75" t="s">
        <v>9</v>
      </c>
      <c r="L10" s="82" t="s">
        <v>183</v>
      </c>
      <c r="M10" s="82">
        <f>M8*M9/100</f>
        <v>2.3460754556518424</v>
      </c>
      <c r="N10" s="81" t="s">
        <v>9</v>
      </c>
      <c r="P10" s="49">
        <v>7.26</v>
      </c>
    </row>
    <row r="13" spans="2:17">
      <c r="F13" t="s">
        <v>180</v>
      </c>
      <c r="I13" t="s">
        <v>178</v>
      </c>
      <c r="L13" t="s">
        <v>179</v>
      </c>
    </row>
    <row r="14" spans="2:17" ht="19.2">
      <c r="C14" s="74" t="s">
        <v>749</v>
      </c>
      <c r="F14" s="73" t="s">
        <v>15</v>
      </c>
      <c r="G14" s="73"/>
      <c r="H14" s="73"/>
      <c r="I14" s="75" t="s">
        <v>15</v>
      </c>
      <c r="J14" s="75"/>
      <c r="K14" s="75"/>
      <c r="L14" s="81" t="s">
        <v>15</v>
      </c>
      <c r="M14" s="81"/>
      <c r="N14" s="81"/>
    </row>
    <row r="15" spans="2:17">
      <c r="B15" s="71"/>
      <c r="C15" s="71" t="s">
        <v>160</v>
      </c>
      <c r="D15" s="71" t="s">
        <v>159</v>
      </c>
      <c r="F15" s="73"/>
      <c r="G15" s="73"/>
      <c r="H15" s="73"/>
      <c r="I15" s="75"/>
      <c r="J15" s="75"/>
      <c r="K15" s="75"/>
      <c r="L15" s="81"/>
      <c r="M15" s="81"/>
      <c r="N15" s="81"/>
    </row>
    <row r="16" spans="2:17" ht="15.6">
      <c r="B16" s="52">
        <v>1</v>
      </c>
      <c r="C16" s="72" t="s">
        <v>748</v>
      </c>
      <c r="D16" s="85" t="s">
        <v>747</v>
      </c>
      <c r="E16" s="49"/>
      <c r="F16" s="73" t="s">
        <v>3</v>
      </c>
      <c r="G16" s="73">
        <v>8</v>
      </c>
      <c r="H16" s="73" t="s">
        <v>4</v>
      </c>
      <c r="I16" s="75" t="s">
        <v>3</v>
      </c>
      <c r="J16" s="75">
        <v>8</v>
      </c>
      <c r="K16" s="75" t="s">
        <v>4</v>
      </c>
      <c r="L16" s="81" t="s">
        <v>3</v>
      </c>
      <c r="M16" s="81">
        <v>8</v>
      </c>
      <c r="N16" s="81" t="s">
        <v>4</v>
      </c>
    </row>
    <row r="17" spans="2:15" ht="15.6">
      <c r="B17" s="52">
        <v>2</v>
      </c>
      <c r="C17" s="72" t="s">
        <v>750</v>
      </c>
      <c r="D17" s="52"/>
      <c r="E17" s="49"/>
      <c r="F17" s="73" t="s">
        <v>5</v>
      </c>
      <c r="G17" s="73">
        <v>165</v>
      </c>
      <c r="H17" s="73" t="s">
        <v>6</v>
      </c>
      <c r="I17" s="75" t="s">
        <v>5</v>
      </c>
      <c r="J17" s="75">
        <v>170</v>
      </c>
      <c r="K17" s="75" t="s">
        <v>6</v>
      </c>
      <c r="L17" s="81" t="s">
        <v>5</v>
      </c>
      <c r="M17" s="81">
        <v>170</v>
      </c>
      <c r="N17" s="81" t="s">
        <v>6</v>
      </c>
    </row>
    <row r="18" spans="2:15" ht="15.6">
      <c r="B18" s="52">
        <v>3</v>
      </c>
      <c r="C18" s="72" t="s">
        <v>757</v>
      </c>
      <c r="D18" s="52"/>
      <c r="E18" s="49"/>
      <c r="F18" s="73" t="s">
        <v>7</v>
      </c>
      <c r="G18" s="73">
        <v>295</v>
      </c>
      <c r="H18" s="73" t="s">
        <v>6</v>
      </c>
      <c r="I18" s="75" t="s">
        <v>7</v>
      </c>
      <c r="J18" s="75">
        <v>315</v>
      </c>
      <c r="K18" s="75" t="s">
        <v>6</v>
      </c>
      <c r="L18" s="81" t="s">
        <v>7</v>
      </c>
      <c r="M18" s="81">
        <v>275</v>
      </c>
      <c r="N18" s="81" t="s">
        <v>6</v>
      </c>
    </row>
    <row r="19" spans="2:15" ht="15.6">
      <c r="B19" s="52">
        <v>4</v>
      </c>
      <c r="C19" s="72" t="s">
        <v>965</v>
      </c>
      <c r="D19" s="52"/>
      <c r="E19" s="49"/>
      <c r="F19" s="73" t="s">
        <v>8</v>
      </c>
      <c r="G19" s="73">
        <f>(G17*G16)*(G17*G16)/(101.6*(4.5*G17+10*G18))</f>
        <v>4.6444431412898028</v>
      </c>
      <c r="H19" s="73" t="s">
        <v>9</v>
      </c>
      <c r="I19" s="75" t="s">
        <v>8</v>
      </c>
      <c r="J19" s="75">
        <f>(J17*J16)*(J17*J16)/(101.6*(4.5*J17+10*J18))</f>
        <v>4.6499934634607456</v>
      </c>
      <c r="K19" s="75" t="s">
        <v>9</v>
      </c>
      <c r="L19" s="81" t="s">
        <v>8</v>
      </c>
      <c r="M19" s="81">
        <f>(M17*M16)*(M17*M16)/(101.6*(4.5*M17+10*M18))</f>
        <v>5.1791534593026514</v>
      </c>
      <c r="N19" s="81" t="s">
        <v>9</v>
      </c>
    </row>
    <row r="20" spans="2:15" ht="15.6">
      <c r="B20" s="52">
        <v>5</v>
      </c>
      <c r="C20" s="72" t="s">
        <v>758</v>
      </c>
      <c r="D20" s="52"/>
      <c r="E20" s="49"/>
      <c r="F20" s="73" t="s">
        <v>190</v>
      </c>
      <c r="G20" s="73">
        <f>G19*2</f>
        <v>9.2888862825796057</v>
      </c>
      <c r="H20" s="73" t="s">
        <v>9</v>
      </c>
      <c r="I20" s="75" t="s">
        <v>16</v>
      </c>
      <c r="J20" s="75">
        <f>J19*2</f>
        <v>9.2999869269214912</v>
      </c>
      <c r="K20" s="75"/>
      <c r="L20" s="81" t="s">
        <v>16</v>
      </c>
      <c r="M20" s="81">
        <f>M19*2</f>
        <v>10.358306918605303</v>
      </c>
      <c r="N20" s="81"/>
    </row>
    <row r="21" spans="2:15" ht="15.6">
      <c r="B21" s="52">
        <v>6</v>
      </c>
      <c r="C21" s="72" t="s">
        <v>781</v>
      </c>
      <c r="D21" s="52"/>
      <c r="E21" s="49"/>
      <c r="F21" s="80" t="s">
        <v>182</v>
      </c>
      <c r="G21" s="80">
        <v>100</v>
      </c>
      <c r="H21" s="80" t="s">
        <v>2</v>
      </c>
      <c r="I21" s="83" t="s">
        <v>182</v>
      </c>
      <c r="J21" s="83">
        <v>100</v>
      </c>
      <c r="K21" s="83" t="s">
        <v>2</v>
      </c>
      <c r="L21" s="82" t="s">
        <v>182</v>
      </c>
      <c r="M21" s="82">
        <v>100</v>
      </c>
      <c r="N21" s="82" t="s">
        <v>2</v>
      </c>
    </row>
    <row r="22" spans="2:15" ht="31.2">
      <c r="B22" s="52">
        <v>7</v>
      </c>
      <c r="C22" s="72" t="s">
        <v>158</v>
      </c>
      <c r="D22" s="52"/>
      <c r="E22" s="49"/>
      <c r="F22" s="80" t="s">
        <v>183</v>
      </c>
      <c r="G22" s="80">
        <f>G20*G21/100</f>
        <v>9.2888862825796057</v>
      </c>
      <c r="H22" s="73" t="s">
        <v>9</v>
      </c>
      <c r="I22" s="83" t="s">
        <v>183</v>
      </c>
      <c r="J22" s="83">
        <f>J20*J21/100</f>
        <v>9.2999869269214912</v>
      </c>
      <c r="K22" s="75" t="s">
        <v>9</v>
      </c>
      <c r="L22" s="82" t="s">
        <v>183</v>
      </c>
      <c r="M22" s="82">
        <f>M20*M21/100</f>
        <v>10.358306918605303</v>
      </c>
      <c r="N22" s="81" t="s">
        <v>9</v>
      </c>
    </row>
    <row r="30" spans="2:15">
      <c r="O30" t="s">
        <v>955</v>
      </c>
    </row>
    <row r="33" spans="11:11">
      <c r="K33" t="s">
        <v>956</v>
      </c>
    </row>
  </sheetData>
  <phoneticPr fontId="8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4"/>
  <sheetViews>
    <sheetView topLeftCell="A7" workbookViewId="0">
      <selection activeCell="G13" sqref="G13"/>
    </sheetView>
  </sheetViews>
  <sheetFormatPr defaultRowHeight="14.4"/>
  <cols>
    <col min="2" max="2" width="23.8984375" bestFit="1" customWidth="1"/>
    <col min="3" max="3" width="50.3984375" customWidth="1"/>
    <col min="4" max="4" width="52" bestFit="1" customWidth="1"/>
  </cols>
  <sheetData>
    <row r="2" spans="2:4" ht="15" thickBot="1"/>
    <row r="3" spans="2:4" ht="16.2" thickBot="1">
      <c r="B3" s="1" t="s">
        <v>17</v>
      </c>
      <c r="C3" s="2" t="s">
        <v>760</v>
      </c>
      <c r="D3" s="2" t="s">
        <v>18</v>
      </c>
    </row>
    <row r="4" spans="2:4" ht="16.2" thickBot="1">
      <c r="B4" s="3" t="s">
        <v>19</v>
      </c>
      <c r="C4" s="76" t="s">
        <v>761</v>
      </c>
      <c r="D4" s="1"/>
    </row>
    <row r="5" spans="2:4" ht="15.6">
      <c r="B5" s="4" t="s">
        <v>20</v>
      </c>
      <c r="C5" s="5" t="s">
        <v>762</v>
      </c>
      <c r="D5" s="5"/>
    </row>
    <row r="6" spans="2:4" ht="15.6">
      <c r="B6" s="4" t="s">
        <v>21</v>
      </c>
      <c r="C6" s="5" t="s">
        <v>785</v>
      </c>
      <c r="D6" s="5"/>
    </row>
    <row r="7" spans="2:4" ht="15.6">
      <c r="B7" s="4" t="s">
        <v>41</v>
      </c>
      <c r="C7" s="6" t="s">
        <v>763</v>
      </c>
      <c r="D7" s="6" t="s">
        <v>764</v>
      </c>
    </row>
    <row r="8" spans="2:4" ht="15.6">
      <c r="B8" s="4" t="s">
        <v>22</v>
      </c>
      <c r="C8" s="6" t="s">
        <v>29</v>
      </c>
      <c r="D8" s="6"/>
    </row>
    <row r="9" spans="2:4" ht="15.6">
      <c r="B9" s="4" t="s">
        <v>23</v>
      </c>
      <c r="C9" s="6" t="s">
        <v>765</v>
      </c>
      <c r="D9" s="6" t="s">
        <v>766</v>
      </c>
    </row>
    <row r="10" spans="2:4" ht="15.6">
      <c r="B10" s="4" t="s">
        <v>24</v>
      </c>
      <c r="C10" s="7" t="s">
        <v>191</v>
      </c>
      <c r="D10" s="7" t="s">
        <v>181</v>
      </c>
    </row>
    <row r="11" spans="2:4" ht="15.6">
      <c r="B11" s="4" t="s">
        <v>25</v>
      </c>
      <c r="C11" s="7" t="s">
        <v>174</v>
      </c>
      <c r="D11" s="7" t="s">
        <v>767</v>
      </c>
    </row>
    <row r="12" spans="2:4" ht="15.6">
      <c r="B12" s="4" t="s">
        <v>26</v>
      </c>
      <c r="C12" s="6" t="s">
        <v>768</v>
      </c>
      <c r="D12" s="6"/>
    </row>
    <row r="13" spans="2:4" ht="62.4">
      <c r="B13" s="4" t="s">
        <v>162</v>
      </c>
      <c r="C13" s="7" t="s">
        <v>770</v>
      </c>
      <c r="D13" s="7" t="s">
        <v>769</v>
      </c>
    </row>
    <row r="14" spans="2:4" ht="46.8">
      <c r="B14" s="4" t="s">
        <v>163</v>
      </c>
      <c r="C14" s="7" t="s">
        <v>771</v>
      </c>
      <c r="D14" s="7" t="s">
        <v>772</v>
      </c>
    </row>
    <row r="15" spans="2:4" ht="15.6">
      <c r="B15" s="4" t="s">
        <v>773</v>
      </c>
      <c r="C15" s="7" t="s">
        <v>774</v>
      </c>
      <c r="D15" s="7"/>
    </row>
    <row r="16" spans="2:4" ht="31.2">
      <c r="B16" s="4" t="s">
        <v>27</v>
      </c>
      <c r="C16" s="77" t="s">
        <v>169</v>
      </c>
      <c r="D16" s="7" t="s">
        <v>184</v>
      </c>
    </row>
    <row r="17" spans="2:4" ht="15.6">
      <c r="B17" s="4" t="s">
        <v>28</v>
      </c>
      <c r="C17" s="6" t="s">
        <v>29</v>
      </c>
      <c r="D17" s="7"/>
    </row>
    <row r="18" spans="2:4" ht="15.6">
      <c r="B18" s="4" t="s">
        <v>168</v>
      </c>
      <c r="C18" s="87" t="s">
        <v>175</v>
      </c>
      <c r="D18" s="6" t="s">
        <v>775</v>
      </c>
    </row>
    <row r="19" spans="2:4" ht="15.6">
      <c r="B19" s="4" t="s">
        <v>171</v>
      </c>
      <c r="C19" s="7" t="s">
        <v>966</v>
      </c>
      <c r="D19" s="7"/>
    </row>
    <row r="20" spans="2:4" ht="15.6">
      <c r="B20" s="86" t="s">
        <v>172</v>
      </c>
      <c r="C20" s="87" t="s">
        <v>960</v>
      </c>
      <c r="D20" s="7"/>
    </row>
    <row r="21" spans="2:4" ht="46.8">
      <c r="B21" s="86" t="s">
        <v>170</v>
      </c>
      <c r="C21" s="87" t="s">
        <v>961</v>
      </c>
      <c r="D21" s="7"/>
    </row>
    <row r="22" spans="2:4" ht="13.5" customHeight="1">
      <c r="B22" s="8" t="s">
        <v>30</v>
      </c>
      <c r="C22" s="7" t="s">
        <v>776</v>
      </c>
      <c r="D22" s="7"/>
    </row>
    <row r="23" spans="2:4" ht="15.6">
      <c r="B23" s="4" t="s">
        <v>31</v>
      </c>
      <c r="C23" s="6"/>
      <c r="D23" s="6"/>
    </row>
    <row r="24" spans="2:4" ht="15.6">
      <c r="B24" s="4" t="s">
        <v>32</v>
      </c>
      <c r="C24" s="6" t="s">
        <v>777</v>
      </c>
      <c r="D24" s="4" t="s">
        <v>778</v>
      </c>
    </row>
    <row r="25" spans="2:4" ht="15.6">
      <c r="B25" s="4" t="s">
        <v>33</v>
      </c>
      <c r="C25" s="6" t="s">
        <v>779</v>
      </c>
      <c r="D25" s="4"/>
    </row>
    <row r="26" spans="2:4" ht="15.6">
      <c r="B26" s="4" t="s">
        <v>34</v>
      </c>
      <c r="C26" s="6" t="s">
        <v>780</v>
      </c>
      <c r="D26" s="4"/>
    </row>
    <row r="27" spans="2:4" ht="15.6">
      <c r="B27" s="4" t="s">
        <v>66</v>
      </c>
      <c r="C27" s="6" t="s">
        <v>964</v>
      </c>
      <c r="D27" s="4"/>
    </row>
    <row r="28" spans="2:4" ht="15.6">
      <c r="B28" s="9" t="s">
        <v>164</v>
      </c>
      <c r="C28" s="6" t="s">
        <v>963</v>
      </c>
      <c r="D28" s="4"/>
    </row>
    <row r="29" spans="2:4" ht="15.6">
      <c r="B29" s="9" t="s">
        <v>35</v>
      </c>
      <c r="C29" s="78" t="s">
        <v>962</v>
      </c>
      <c r="D29" s="9"/>
    </row>
    <row r="30" spans="2:4" ht="15.6">
      <c r="B30" s="4" t="s">
        <v>36</v>
      </c>
      <c r="C30" s="6" t="s">
        <v>165</v>
      </c>
      <c r="D30" s="6"/>
    </row>
    <row r="31" spans="2:4" ht="15.6">
      <c r="B31" s="9" t="s">
        <v>37</v>
      </c>
      <c r="C31" s="78" t="s">
        <v>782</v>
      </c>
      <c r="D31" s="9"/>
    </row>
    <row r="32" spans="2:4" ht="15.6">
      <c r="B32" s="9" t="s">
        <v>38</v>
      </c>
      <c r="C32" s="78" t="s">
        <v>166</v>
      </c>
      <c r="D32" s="9"/>
    </row>
    <row r="33" spans="2:4" ht="15.6">
      <c r="B33" s="9" t="s">
        <v>39</v>
      </c>
      <c r="C33" s="78" t="s">
        <v>167</v>
      </c>
      <c r="D33" s="9"/>
    </row>
    <row r="34" spans="2:4" ht="16.2" thickBot="1">
      <c r="B34" s="10" t="s">
        <v>40</v>
      </c>
      <c r="C34" s="79" t="s">
        <v>783</v>
      </c>
      <c r="D34" s="10"/>
    </row>
  </sheetData>
  <phoneticPr fontId="8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1"/>
  <sheetViews>
    <sheetView tabSelected="1" topLeftCell="A20" workbookViewId="0">
      <selection activeCell="M31" sqref="M31"/>
    </sheetView>
  </sheetViews>
  <sheetFormatPr defaultRowHeight="14.4"/>
  <cols>
    <col min="2" max="2" width="10.3984375" bestFit="1" customWidth="1"/>
    <col min="3" max="3" width="15.09765625" bestFit="1" customWidth="1"/>
    <col min="4" max="4" width="22.59765625" customWidth="1"/>
    <col min="5" max="5" width="18.69921875" customWidth="1"/>
    <col min="6" max="6" width="13.8984375" customWidth="1"/>
  </cols>
  <sheetData>
    <row r="2" spans="2:6" ht="27.6">
      <c r="B2" s="290" t="s">
        <v>176</v>
      </c>
      <c r="C2" s="291"/>
      <c r="D2" s="291"/>
      <c r="E2" s="291"/>
      <c r="F2" s="292"/>
    </row>
    <row r="3" spans="2:6" ht="21">
      <c r="B3" s="293" t="s">
        <v>177</v>
      </c>
      <c r="C3" s="293"/>
      <c r="D3" s="287" t="s">
        <v>967</v>
      </c>
      <c r="E3" s="288"/>
      <c r="F3" s="289"/>
    </row>
    <row r="4" spans="2:6" ht="21">
      <c r="B4" s="45" t="s">
        <v>69</v>
      </c>
      <c r="C4" s="84" t="s">
        <v>784</v>
      </c>
      <c r="D4" s="46" t="s">
        <v>70</v>
      </c>
      <c r="E4" s="294" t="s">
        <v>958</v>
      </c>
      <c r="F4" s="295"/>
    </row>
    <row r="5" spans="2:6" ht="21">
      <c r="B5" s="47" t="s">
        <v>71</v>
      </c>
      <c r="C5" s="48"/>
      <c r="D5" s="46" t="s">
        <v>72</v>
      </c>
      <c r="E5" s="294" t="s">
        <v>959</v>
      </c>
      <c r="F5" s="295"/>
    </row>
    <row r="6" spans="2:6" ht="21">
      <c r="B6" s="287" t="s">
        <v>73</v>
      </c>
      <c r="C6" s="288"/>
      <c r="D6" s="288"/>
      <c r="E6" s="288"/>
      <c r="F6" s="289"/>
    </row>
    <row r="7" spans="2:6">
      <c r="B7" s="49"/>
      <c r="C7" s="49"/>
      <c r="D7" s="49"/>
      <c r="E7" s="50"/>
      <c r="F7" s="49"/>
    </row>
    <row r="8" spans="2:6" ht="17.399999999999999">
      <c r="B8" s="51">
        <v>1</v>
      </c>
      <c r="C8" s="52" t="s">
        <v>74</v>
      </c>
      <c r="D8" s="53" t="s">
        <v>75</v>
      </c>
      <c r="E8" s="54">
        <v>100</v>
      </c>
      <c r="F8" s="55" t="s">
        <v>76</v>
      </c>
    </row>
    <row r="9" spans="2:6" ht="17.399999999999999" hidden="1">
      <c r="B9" s="49"/>
      <c r="C9" s="49"/>
      <c r="D9" s="53" t="s">
        <v>77</v>
      </c>
      <c r="E9" s="54">
        <v>1</v>
      </c>
      <c r="F9" s="55" t="s">
        <v>78</v>
      </c>
    </row>
    <row r="10" spans="2:6" ht="17.399999999999999" hidden="1">
      <c r="B10" s="49"/>
      <c r="C10" s="49"/>
      <c r="D10" s="56" t="s">
        <v>79</v>
      </c>
      <c r="E10" s="57">
        <f>(10*10^6)/E9</f>
        <v>10000000</v>
      </c>
      <c r="F10" s="58"/>
    </row>
    <row r="11" spans="2:6" ht="17.399999999999999" hidden="1">
      <c r="B11" s="49"/>
      <c r="C11" s="49"/>
      <c r="D11" s="56" t="s">
        <v>80</v>
      </c>
      <c r="E11" s="57">
        <v>100000</v>
      </c>
      <c r="F11" s="58">
        <v>50000</v>
      </c>
    </row>
    <row r="12" spans="2:6" ht="17.399999999999999" hidden="1">
      <c r="B12" s="49"/>
      <c r="C12" s="49"/>
      <c r="D12" s="56" t="s">
        <v>81</v>
      </c>
      <c r="E12" s="57">
        <f>$E10/(E11/10)</f>
        <v>1000</v>
      </c>
      <c r="F12" s="58">
        <f>$E10/(F11/10)</f>
        <v>2000</v>
      </c>
    </row>
    <row r="13" spans="2:6" ht="17.399999999999999" hidden="1">
      <c r="B13" s="49"/>
      <c r="C13" s="49"/>
      <c r="D13" s="56" t="s">
        <v>82</v>
      </c>
      <c r="E13" s="57">
        <f>E12/2</f>
        <v>500</v>
      </c>
      <c r="F13" s="58">
        <f>F12/2</f>
        <v>1000</v>
      </c>
    </row>
    <row r="14" spans="2:6" ht="17.399999999999999">
      <c r="B14" s="280">
        <v>2</v>
      </c>
      <c r="C14" s="283" t="s">
        <v>83</v>
      </c>
      <c r="D14" s="53" t="s">
        <v>84</v>
      </c>
      <c r="E14" s="54">
        <v>1250</v>
      </c>
      <c r="F14" s="52" t="s">
        <v>85</v>
      </c>
    </row>
    <row r="15" spans="2:6" ht="17.399999999999999">
      <c r="B15" s="282"/>
      <c r="C15" s="285"/>
      <c r="D15" s="53" t="s">
        <v>86</v>
      </c>
      <c r="E15" s="54">
        <v>125</v>
      </c>
      <c r="F15" s="52" t="s">
        <v>85</v>
      </c>
    </row>
    <row r="16" spans="2:6" ht="17.399999999999999">
      <c r="B16" s="280">
        <v>3</v>
      </c>
      <c r="C16" s="283" t="s">
        <v>87</v>
      </c>
      <c r="D16" s="53" t="s">
        <v>87</v>
      </c>
      <c r="E16" s="54">
        <v>460</v>
      </c>
      <c r="F16" s="52" t="s">
        <v>88</v>
      </c>
    </row>
    <row r="17" spans="2:6">
      <c r="B17" s="281"/>
      <c r="C17" s="284"/>
      <c r="D17" s="61" t="s">
        <v>89</v>
      </c>
      <c r="E17" s="54">
        <v>763</v>
      </c>
      <c r="F17" s="52" t="s">
        <v>90</v>
      </c>
    </row>
    <row r="18" spans="2:6">
      <c r="B18" s="281"/>
      <c r="C18" s="284"/>
      <c r="D18" s="61" t="s">
        <v>91</v>
      </c>
      <c r="E18" s="54">
        <v>500</v>
      </c>
      <c r="F18" s="52" t="s">
        <v>90</v>
      </c>
    </row>
    <row r="19" spans="2:6">
      <c r="B19" s="282"/>
      <c r="C19" s="285"/>
      <c r="D19" s="61" t="s">
        <v>92</v>
      </c>
      <c r="E19" s="54">
        <v>350</v>
      </c>
      <c r="F19" s="52" t="s">
        <v>93</v>
      </c>
    </row>
    <row r="20" spans="2:6" ht="17.399999999999999">
      <c r="B20" s="280">
        <v>4</v>
      </c>
      <c r="C20" s="283" t="s">
        <v>94</v>
      </c>
      <c r="D20" s="53" t="s">
        <v>95</v>
      </c>
      <c r="E20" s="54">
        <v>2500</v>
      </c>
      <c r="F20" s="52" t="s">
        <v>96</v>
      </c>
    </row>
    <row r="21" spans="2:6" ht="17.399999999999999">
      <c r="B21" s="282"/>
      <c r="C21" s="285"/>
      <c r="D21" s="61" t="s">
        <v>97</v>
      </c>
      <c r="E21" s="62">
        <v>2500</v>
      </c>
      <c r="F21" s="52" t="s">
        <v>98</v>
      </c>
    </row>
    <row r="22" spans="2:6" ht="17.399999999999999">
      <c r="B22" s="280">
        <v>5</v>
      </c>
      <c r="C22" s="286" t="s">
        <v>99</v>
      </c>
      <c r="D22" s="63" t="s">
        <v>100</v>
      </c>
      <c r="E22" s="88">
        <v>4.7</v>
      </c>
      <c r="F22" s="64" t="s">
        <v>101</v>
      </c>
    </row>
    <row r="23" spans="2:6" ht="17.399999999999999">
      <c r="B23" s="281"/>
      <c r="C23" s="284"/>
      <c r="D23" s="63" t="s">
        <v>102</v>
      </c>
      <c r="E23" s="260">
        <v>8</v>
      </c>
      <c r="F23" s="65" t="s">
        <v>103</v>
      </c>
    </row>
    <row r="24" spans="2:6" ht="17.399999999999999">
      <c r="B24" s="281"/>
      <c r="C24" s="284"/>
      <c r="D24" s="63" t="s">
        <v>104</v>
      </c>
      <c r="E24" s="54">
        <v>300</v>
      </c>
      <c r="F24" s="65" t="s">
        <v>105</v>
      </c>
    </row>
    <row r="25" spans="2:6" ht="17.399999999999999">
      <c r="B25" s="281"/>
      <c r="C25" s="284"/>
      <c r="D25" s="63" t="s">
        <v>106</v>
      </c>
      <c r="E25" s="54">
        <v>1300</v>
      </c>
      <c r="F25" s="65" t="s">
        <v>98</v>
      </c>
    </row>
    <row r="26" spans="2:6" ht="17.399999999999999">
      <c r="B26" s="281"/>
      <c r="C26" s="284"/>
      <c r="D26" s="52" t="s">
        <v>107</v>
      </c>
      <c r="E26" s="57">
        <f>(3/(E22/E23))*E24</f>
        <v>1531.9148936170211</v>
      </c>
      <c r="F26" s="65" t="s">
        <v>98</v>
      </c>
    </row>
    <row r="27" spans="2:6" ht="17.399999999999999">
      <c r="B27" s="281"/>
      <c r="C27" s="284"/>
      <c r="D27" s="52" t="s">
        <v>108</v>
      </c>
      <c r="E27" s="57">
        <f>E26*1.11</f>
        <v>1700.4255319148936</v>
      </c>
      <c r="F27" s="65" t="s">
        <v>98</v>
      </c>
    </row>
    <row r="28" spans="2:6" ht="17.399999999999999">
      <c r="B28" s="282"/>
      <c r="C28" s="285"/>
      <c r="D28" s="66" t="s">
        <v>109</v>
      </c>
      <c r="E28" s="54">
        <v>1400</v>
      </c>
      <c r="F28" s="65" t="s">
        <v>98</v>
      </c>
    </row>
    <row r="29" spans="2:6" ht="17.399999999999999">
      <c r="B29" s="280">
        <v>6</v>
      </c>
      <c r="C29" s="286" t="s">
        <v>110</v>
      </c>
      <c r="D29" s="66" t="s">
        <v>84</v>
      </c>
      <c r="E29" s="54">
        <v>1250</v>
      </c>
      <c r="F29" s="67" t="s">
        <v>111</v>
      </c>
    </row>
    <row r="30" spans="2:6" ht="17.399999999999999">
      <c r="B30" s="282"/>
      <c r="C30" s="285"/>
      <c r="D30" s="66" t="s">
        <v>112</v>
      </c>
      <c r="E30" s="54">
        <v>125</v>
      </c>
      <c r="F30" s="67" t="s">
        <v>111</v>
      </c>
    </row>
    <row r="31" spans="2:6" ht="17.399999999999999">
      <c r="B31" s="280">
        <v>7</v>
      </c>
      <c r="C31" s="283" t="s">
        <v>113</v>
      </c>
      <c r="D31" s="66" t="s">
        <v>84</v>
      </c>
      <c r="E31" s="54">
        <v>1250</v>
      </c>
      <c r="F31" s="67" t="s">
        <v>111</v>
      </c>
    </row>
    <row r="32" spans="2:6" ht="17.399999999999999">
      <c r="B32" s="282"/>
      <c r="C32" s="285"/>
      <c r="D32" s="66" t="s">
        <v>112</v>
      </c>
      <c r="E32" s="54">
        <v>125</v>
      </c>
      <c r="F32" s="67" t="s">
        <v>111</v>
      </c>
    </row>
    <row r="33" spans="2:7" ht="17.399999999999999">
      <c r="B33" s="280">
        <v>8</v>
      </c>
      <c r="C33" s="283" t="s">
        <v>114</v>
      </c>
      <c r="D33" s="66" t="s">
        <v>84</v>
      </c>
      <c r="E33" s="54"/>
      <c r="F33" s="67" t="s">
        <v>115</v>
      </c>
    </row>
    <row r="34" spans="2:7" ht="17.399999999999999">
      <c r="B34" s="282"/>
      <c r="C34" s="285"/>
      <c r="D34" s="66" t="s">
        <v>112</v>
      </c>
      <c r="E34" s="54"/>
      <c r="F34" s="67" t="s">
        <v>115</v>
      </c>
    </row>
    <row r="35" spans="2:7" ht="17.399999999999999">
      <c r="B35" s="280">
        <v>9</v>
      </c>
      <c r="C35" s="283" t="s">
        <v>116</v>
      </c>
      <c r="D35" s="66" t="s">
        <v>117</v>
      </c>
      <c r="E35" s="88">
        <v>57</v>
      </c>
      <c r="F35" s="67" t="s">
        <v>118</v>
      </c>
    </row>
    <row r="36" spans="2:7" ht="17.399999999999999">
      <c r="B36" s="281"/>
      <c r="C36" s="284"/>
      <c r="D36" s="66" t="s">
        <v>119</v>
      </c>
      <c r="E36" s="54">
        <v>3000</v>
      </c>
      <c r="F36" s="67" t="s">
        <v>93</v>
      </c>
    </row>
    <row r="37" spans="2:7" ht="17.399999999999999">
      <c r="B37" s="282"/>
      <c r="C37" s="285"/>
      <c r="D37" s="66" t="s">
        <v>120</v>
      </c>
      <c r="E37" s="54">
        <v>2300</v>
      </c>
      <c r="F37" s="67" t="s">
        <v>93</v>
      </c>
    </row>
    <row r="38" spans="2:7" ht="17.399999999999999">
      <c r="B38" s="51">
        <v>10</v>
      </c>
      <c r="C38" s="52" t="s">
        <v>121</v>
      </c>
      <c r="D38" s="66" t="s">
        <v>122</v>
      </c>
      <c r="E38" s="260"/>
      <c r="F38" s="65"/>
    </row>
    <row r="39" spans="2:7" ht="17.399999999999999">
      <c r="B39" s="280">
        <v>11</v>
      </c>
      <c r="C39" s="283" t="s">
        <v>123</v>
      </c>
      <c r="D39" s="66" t="s">
        <v>112</v>
      </c>
      <c r="E39" s="54">
        <v>6000</v>
      </c>
      <c r="F39" s="65" t="s">
        <v>115</v>
      </c>
      <c r="G39" t="s">
        <v>788</v>
      </c>
    </row>
    <row r="40" spans="2:7" ht="17.399999999999999">
      <c r="B40" s="281"/>
      <c r="C40" s="284"/>
      <c r="D40" s="66" t="s">
        <v>84</v>
      </c>
      <c r="E40" s="54">
        <v>25000</v>
      </c>
      <c r="F40" s="65" t="s">
        <v>115</v>
      </c>
    </row>
    <row r="41" spans="2:7" ht="17.399999999999999">
      <c r="B41" s="281"/>
      <c r="C41" s="284"/>
      <c r="D41" s="66" t="s">
        <v>124</v>
      </c>
      <c r="E41" s="54">
        <v>20000</v>
      </c>
      <c r="F41" s="65" t="s">
        <v>115</v>
      </c>
    </row>
    <row r="42" spans="2:7" ht="17.399999999999999">
      <c r="B42" s="282"/>
      <c r="C42" s="285"/>
      <c r="D42" s="66" t="s">
        <v>125</v>
      </c>
      <c r="E42" s="54"/>
      <c r="F42" s="65" t="s">
        <v>115</v>
      </c>
    </row>
    <row r="43" spans="2:7" ht="17.399999999999999">
      <c r="B43" s="59">
        <v>12</v>
      </c>
      <c r="C43" s="60" t="s">
        <v>126</v>
      </c>
      <c r="D43" s="66"/>
      <c r="E43" s="54">
        <v>3</v>
      </c>
      <c r="F43" s="65" t="s">
        <v>127</v>
      </c>
    </row>
    <row r="44" spans="2:7" ht="17.399999999999999">
      <c r="B44" s="280">
        <v>13</v>
      </c>
      <c r="C44" s="283" t="s">
        <v>128</v>
      </c>
      <c r="D44" s="66" t="s">
        <v>128</v>
      </c>
      <c r="E44" s="88">
        <v>3</v>
      </c>
      <c r="F44" s="67" t="s">
        <v>129</v>
      </c>
    </row>
    <row r="45" spans="2:7">
      <c r="B45" s="281"/>
      <c r="C45" s="284"/>
      <c r="D45" s="58" t="s">
        <v>130</v>
      </c>
      <c r="E45" s="57">
        <f>(100*10^6)/E9</f>
        <v>100000000</v>
      </c>
      <c r="F45" s="52"/>
    </row>
    <row r="46" spans="2:7" ht="17.399999999999999">
      <c r="B46" s="282"/>
      <c r="C46" s="285"/>
      <c r="D46" s="52" t="s">
        <v>131</v>
      </c>
      <c r="E46" s="57">
        <v>400</v>
      </c>
      <c r="F46" s="67" t="s">
        <v>132</v>
      </c>
    </row>
    <row r="47" spans="2:7" ht="17.399999999999999">
      <c r="B47" s="280">
        <v>14</v>
      </c>
      <c r="C47" s="283" t="s">
        <v>133</v>
      </c>
      <c r="D47" s="66" t="s">
        <v>134</v>
      </c>
      <c r="E47" s="66" t="s">
        <v>135</v>
      </c>
      <c r="F47" s="68" t="s">
        <v>136</v>
      </c>
    </row>
    <row r="48" spans="2:7" ht="17.399999999999999">
      <c r="B48" s="281"/>
      <c r="C48" s="284"/>
      <c r="D48" s="66" t="s">
        <v>137</v>
      </c>
      <c r="E48" s="66" t="s">
        <v>138</v>
      </c>
      <c r="F48" s="68" t="s">
        <v>136</v>
      </c>
    </row>
    <row r="49" spans="2:6" ht="17.399999999999999">
      <c r="B49" s="281"/>
      <c r="C49" s="284"/>
      <c r="D49" s="66" t="s">
        <v>139</v>
      </c>
      <c r="E49" s="66" t="s">
        <v>140</v>
      </c>
      <c r="F49" s="68" t="s">
        <v>136</v>
      </c>
    </row>
    <row r="50" spans="2:6" ht="17.399999999999999">
      <c r="B50" s="281"/>
      <c r="C50" s="284"/>
      <c r="D50" s="66" t="s">
        <v>141</v>
      </c>
      <c r="E50" s="66" t="s">
        <v>142</v>
      </c>
      <c r="F50" s="68" t="s">
        <v>136</v>
      </c>
    </row>
    <row r="51" spans="2:6" ht="17.399999999999999">
      <c r="B51" s="281"/>
      <c r="C51" s="284"/>
      <c r="D51" s="66" t="s">
        <v>143</v>
      </c>
      <c r="E51" s="66" t="s">
        <v>144</v>
      </c>
      <c r="F51" s="68" t="s">
        <v>136</v>
      </c>
    </row>
    <row r="52" spans="2:6" ht="17.399999999999999">
      <c r="B52" s="281"/>
      <c r="C52" s="284"/>
      <c r="D52" s="66" t="s">
        <v>145</v>
      </c>
      <c r="E52" s="66" t="s">
        <v>146</v>
      </c>
      <c r="F52" s="68" t="s">
        <v>791</v>
      </c>
    </row>
    <row r="53" spans="2:6" ht="17.399999999999999">
      <c r="B53" s="281"/>
      <c r="C53" s="284"/>
      <c r="D53" s="66" t="s">
        <v>147</v>
      </c>
      <c r="E53" s="66" t="s">
        <v>148</v>
      </c>
      <c r="F53" s="68" t="s">
        <v>790</v>
      </c>
    </row>
    <row r="54" spans="2:6" ht="17.399999999999999">
      <c r="B54" s="281"/>
      <c r="C54" s="284"/>
      <c r="D54" s="66" t="s">
        <v>149</v>
      </c>
      <c r="E54" s="69" t="s">
        <v>150</v>
      </c>
      <c r="F54" s="68" t="s">
        <v>789</v>
      </c>
    </row>
    <row r="55" spans="2:6" ht="17.399999999999999">
      <c r="B55" s="281"/>
      <c r="C55" s="284"/>
      <c r="D55" s="66"/>
      <c r="E55" s="69" t="s">
        <v>109</v>
      </c>
      <c r="F55" s="68" t="s">
        <v>136</v>
      </c>
    </row>
    <row r="56" spans="2:6" ht="17.399999999999999">
      <c r="B56" s="281"/>
      <c r="C56" s="284"/>
      <c r="D56" s="66"/>
      <c r="E56" s="69" t="s">
        <v>151</v>
      </c>
      <c r="F56" s="68" t="s">
        <v>136</v>
      </c>
    </row>
    <row r="57" spans="2:6" ht="17.399999999999999">
      <c r="B57" s="282"/>
      <c r="C57" s="284"/>
      <c r="D57" s="66"/>
      <c r="E57" s="69" t="s">
        <v>152</v>
      </c>
      <c r="F57" s="68" t="s">
        <v>136</v>
      </c>
    </row>
    <row r="58" spans="2:6">
      <c r="B58" s="51">
        <v>15</v>
      </c>
      <c r="C58" s="70" t="s">
        <v>153</v>
      </c>
      <c r="D58" s="274" t="s">
        <v>154</v>
      </c>
      <c r="E58" s="275"/>
      <c r="F58" s="276"/>
    </row>
    <row r="59" spans="2:6">
      <c r="B59" s="51">
        <v>15</v>
      </c>
      <c r="C59" s="70" t="s">
        <v>155</v>
      </c>
      <c r="D59" s="274" t="s">
        <v>156</v>
      </c>
      <c r="E59" s="275"/>
      <c r="F59" s="276"/>
    </row>
    <row r="60" spans="2:6">
      <c r="B60" s="49"/>
      <c r="C60" s="49"/>
      <c r="D60" s="49"/>
      <c r="E60" s="50"/>
      <c r="F60" s="49"/>
    </row>
    <row r="61" spans="2:6" ht="181.5" customHeight="1">
      <c r="B61" s="51" t="s">
        <v>157</v>
      </c>
      <c r="C61" s="277"/>
      <c r="D61" s="278"/>
      <c r="E61" s="278"/>
      <c r="F61" s="279"/>
    </row>
  </sheetData>
  <mergeCells count="31">
    <mergeCell ref="B2:F2"/>
    <mergeCell ref="B3:C3"/>
    <mergeCell ref="D3:F3"/>
    <mergeCell ref="E4:F4"/>
    <mergeCell ref="E5:F5"/>
    <mergeCell ref="B6:F6"/>
    <mergeCell ref="B14:B15"/>
    <mergeCell ref="C14:C15"/>
    <mergeCell ref="B16:B19"/>
    <mergeCell ref="C16:C19"/>
    <mergeCell ref="B20:B21"/>
    <mergeCell ref="C20:C21"/>
    <mergeCell ref="B22:B28"/>
    <mergeCell ref="C22:C28"/>
    <mergeCell ref="B29:B30"/>
    <mergeCell ref="C29:C30"/>
    <mergeCell ref="B31:B32"/>
    <mergeCell ref="C31:C32"/>
    <mergeCell ref="B33:B34"/>
    <mergeCell ref="C33:C34"/>
    <mergeCell ref="B35:B37"/>
    <mergeCell ref="C35:C37"/>
    <mergeCell ref="D58:F58"/>
    <mergeCell ref="D59:F59"/>
    <mergeCell ref="C61:F61"/>
    <mergeCell ref="B39:B42"/>
    <mergeCell ref="C39:C42"/>
    <mergeCell ref="B44:B46"/>
    <mergeCell ref="C44:C46"/>
    <mergeCell ref="B47:B57"/>
    <mergeCell ref="C47:C57"/>
  </mergeCells>
  <phoneticPr fontId="8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pane ySplit="1" topLeftCell="A2" activePane="bottomLeft" state="frozen"/>
      <selection pane="bottomLeft" activeCell="K22" sqref="K22"/>
    </sheetView>
  </sheetViews>
  <sheetFormatPr defaultColWidth="8.8984375" defaultRowHeight="17.399999999999999"/>
  <cols>
    <col min="1" max="10" width="8.8984375" style="188"/>
    <col min="11" max="11" width="8.8984375" style="197"/>
    <col min="12" max="13" width="8.8984375" style="188" customWidth="1"/>
    <col min="14" max="14" width="8.8984375" style="188"/>
    <col min="15" max="16" width="8" style="198" customWidth="1"/>
    <col min="17" max="21" width="8.8984375" style="188"/>
    <col min="22" max="22" width="7" style="199" customWidth="1"/>
    <col min="23" max="16384" width="8.8984375" style="188"/>
  </cols>
  <sheetData>
    <row r="1" spans="1:28" ht="28.8">
      <c r="A1" s="296"/>
      <c r="B1" s="176" t="s">
        <v>708</v>
      </c>
      <c r="C1" s="176" t="s">
        <v>709</v>
      </c>
      <c r="D1" s="176" t="s">
        <v>710</v>
      </c>
      <c r="E1" s="176" t="s">
        <v>711</v>
      </c>
      <c r="F1" s="176" t="s">
        <v>694</v>
      </c>
      <c r="G1" s="176" t="s">
        <v>695</v>
      </c>
      <c r="H1" s="175" t="s">
        <v>712</v>
      </c>
      <c r="I1" s="176" t="s">
        <v>713</v>
      </c>
      <c r="J1" s="184" t="s">
        <v>696</v>
      </c>
      <c r="K1" s="177" t="s">
        <v>714</v>
      </c>
      <c r="L1" s="184" t="s">
        <v>715</v>
      </c>
      <c r="M1" s="184" t="s">
        <v>716</v>
      </c>
      <c r="N1" s="184" t="s">
        <v>717</v>
      </c>
      <c r="O1" s="178" t="s">
        <v>697</v>
      </c>
      <c r="P1" s="179" t="s">
        <v>718</v>
      </c>
      <c r="Q1" s="184" t="s">
        <v>719</v>
      </c>
      <c r="R1" s="184" t="s">
        <v>698</v>
      </c>
      <c r="S1" s="184" t="s">
        <v>720</v>
      </c>
      <c r="T1" s="184" t="s">
        <v>721</v>
      </c>
      <c r="U1" s="184" t="s">
        <v>722</v>
      </c>
      <c r="V1" s="180" t="s">
        <v>699</v>
      </c>
      <c r="W1" s="184" t="s">
        <v>700</v>
      </c>
      <c r="X1" s="184" t="s">
        <v>723</v>
      </c>
      <c r="Y1" s="184" t="s">
        <v>701</v>
      </c>
      <c r="Z1" s="184" t="s">
        <v>724</v>
      </c>
      <c r="AA1" s="184" t="s">
        <v>725</v>
      </c>
      <c r="AB1" s="184" t="s">
        <v>702</v>
      </c>
    </row>
    <row r="2" spans="1:28">
      <c r="A2" s="296"/>
      <c r="B2" s="181" t="s">
        <v>12</v>
      </c>
      <c r="C2" s="181" t="s">
        <v>726</v>
      </c>
      <c r="D2" s="181" t="s">
        <v>1</v>
      </c>
      <c r="E2" s="181" t="s">
        <v>727</v>
      </c>
      <c r="F2" s="181" t="s">
        <v>728</v>
      </c>
      <c r="G2" s="181" t="s">
        <v>729</v>
      </c>
      <c r="H2" s="181" t="s">
        <v>13</v>
      </c>
      <c r="I2" s="181" t="s">
        <v>727</v>
      </c>
      <c r="J2" s="181" t="s">
        <v>703</v>
      </c>
      <c r="K2" s="182" t="s">
        <v>730</v>
      </c>
      <c r="L2" s="182"/>
      <c r="M2" s="182"/>
      <c r="N2" s="182" t="s">
        <v>731</v>
      </c>
      <c r="O2" s="182" t="s">
        <v>703</v>
      </c>
      <c r="P2" s="189" t="s">
        <v>732</v>
      </c>
      <c r="Q2" s="189"/>
      <c r="R2" s="189"/>
      <c r="S2" s="189" t="s">
        <v>733</v>
      </c>
      <c r="T2" s="189" t="s">
        <v>704</v>
      </c>
      <c r="U2" s="189" t="s">
        <v>704</v>
      </c>
      <c r="V2" s="190"/>
      <c r="W2" s="189" t="s">
        <v>734</v>
      </c>
      <c r="X2" s="183" t="s">
        <v>1</v>
      </c>
      <c r="Y2" s="183" t="s">
        <v>735</v>
      </c>
      <c r="Z2" s="183" t="s">
        <v>736</v>
      </c>
      <c r="AA2" s="183" t="s">
        <v>703</v>
      </c>
      <c r="AB2" s="183" t="s">
        <v>737</v>
      </c>
    </row>
    <row r="3" spans="1:28">
      <c r="A3" s="297" t="s">
        <v>738</v>
      </c>
      <c r="B3" s="185">
        <v>5</v>
      </c>
      <c r="C3" s="185">
        <v>299</v>
      </c>
      <c r="D3" s="185">
        <v>7</v>
      </c>
      <c r="E3" s="185">
        <v>626.5</v>
      </c>
      <c r="F3" s="185">
        <v>8.02</v>
      </c>
      <c r="G3" s="185">
        <v>34.4</v>
      </c>
      <c r="H3" s="185">
        <v>64.34</v>
      </c>
      <c r="I3" s="185">
        <v>118</v>
      </c>
      <c r="J3" s="191">
        <f>2*3.141592*F3*1000*H3/1000000*I3</f>
        <v>382.57554901884163</v>
      </c>
      <c r="K3" s="191">
        <f>J3-C3</f>
        <v>83.575549018841627</v>
      </c>
      <c r="L3" s="192">
        <f>K3/C3</f>
        <v>0.27951688635064087</v>
      </c>
      <c r="M3" s="192">
        <f>C3/K3</f>
        <v>3.577601385933967</v>
      </c>
      <c r="N3" s="193">
        <v>5</v>
      </c>
      <c r="O3" s="191">
        <f>K3*N3</f>
        <v>417.87774509420814</v>
      </c>
      <c r="P3" s="192">
        <f>B3*1000/O3^2*1000</f>
        <v>28.633307628855697</v>
      </c>
      <c r="Q3" s="192">
        <f>I3*J3/B3/1000</f>
        <v>9.0287829568446636</v>
      </c>
      <c r="R3" s="192">
        <f>I3*K3/B3/1000</f>
        <v>1.9723829568446625</v>
      </c>
      <c r="S3" s="192">
        <f>T3*L3</f>
        <v>7.8317097243695324</v>
      </c>
      <c r="T3" s="194">
        <f t="shared" ref="T3:T29" si="0">I3/2/PI()/F3/K3*1000</f>
        <v>28.018735564136968</v>
      </c>
      <c r="U3" s="195">
        <f t="shared" ref="U3:U29" si="1">T3/N3/N3</f>
        <v>1.1207494225654788</v>
      </c>
      <c r="V3" s="192">
        <f>2*3.141592*F3*1000*(U3/1000000)/(P3/1000)</f>
        <v>1.9723825465020401</v>
      </c>
      <c r="W3" s="193"/>
      <c r="X3" s="196">
        <f>(W3/B3)^0.5*C3</f>
        <v>0</v>
      </c>
      <c r="Y3" s="196">
        <f>(W3/B3)^0.5*K3</f>
        <v>0</v>
      </c>
      <c r="Z3" s="196">
        <f>(W3/B3)^0.5*J3</f>
        <v>0</v>
      </c>
      <c r="AA3" s="196">
        <f>(W3/B3)^0.5*O3</f>
        <v>0</v>
      </c>
      <c r="AB3" s="196">
        <f t="shared" ref="AB3:AB29" si="2">(W3/B3)^0.5*I3</f>
        <v>0</v>
      </c>
    </row>
    <row r="4" spans="1:28">
      <c r="A4" s="298"/>
      <c r="B4" s="185">
        <v>6</v>
      </c>
      <c r="C4" s="185">
        <v>350</v>
      </c>
      <c r="D4" s="185">
        <v>10</v>
      </c>
      <c r="E4" s="185">
        <v>624.1</v>
      </c>
      <c r="F4" s="185">
        <v>7.14</v>
      </c>
      <c r="G4" s="185">
        <v>29.9</v>
      </c>
      <c r="H4" s="185">
        <v>64.34</v>
      </c>
      <c r="I4" s="185">
        <v>164</v>
      </c>
      <c r="J4" s="191">
        <f t="shared" ref="J4:J29" si="3">2*3.141592*F4*1000*H4/1000000*I4</f>
        <v>473.37235817141755</v>
      </c>
      <c r="K4" s="191">
        <f t="shared" ref="K4:K29" si="4">J4-C4</f>
        <v>123.37235817141755</v>
      </c>
      <c r="L4" s="192">
        <f t="shared" ref="L4:L29" si="5">K4/C4</f>
        <v>0.35249245191833584</v>
      </c>
      <c r="M4" s="192">
        <f t="shared" ref="M4:M29" si="6">C4/K4</f>
        <v>2.8369401800174612</v>
      </c>
      <c r="N4" s="193">
        <v>5</v>
      </c>
      <c r="O4" s="191">
        <f t="shared" ref="O4:O12" si="7">K4*N4</f>
        <v>616.86179085708773</v>
      </c>
      <c r="P4" s="192">
        <f t="shared" ref="P4:P28" si="8">B4*1000/O4^2*1000</f>
        <v>15.767960003260416</v>
      </c>
      <c r="Q4" s="192">
        <f t="shared" ref="Q4:Q29" si="9">I4*J4/B4/1000</f>
        <v>12.938844456685414</v>
      </c>
      <c r="R4" s="192">
        <f t="shared" ref="R4:R29" si="10">I4*K4/B4/1000</f>
        <v>3.3721777900187462</v>
      </c>
      <c r="S4" s="192">
        <f t="shared" ref="S4:S29" si="11">T4*L4</f>
        <v>10.444742163693812</v>
      </c>
      <c r="T4" s="194">
        <f t="shared" si="0"/>
        <v>29.631108714105494</v>
      </c>
      <c r="U4" s="195">
        <f t="shared" si="1"/>
        <v>1.1852443485642197</v>
      </c>
      <c r="V4" s="192">
        <f t="shared" ref="V4:V29" si="12">2*3.141592*F4*1000*(U4/1000000)/(P4/1000)</f>
        <v>3.3721770884570783</v>
      </c>
      <c r="W4" s="193"/>
      <c r="X4" s="196">
        <f>(W4/B4)^0.5*C4</f>
        <v>0</v>
      </c>
      <c r="Y4" s="196">
        <f t="shared" ref="Y4:Y29" si="13">(W4/B4)^0.5*K4</f>
        <v>0</v>
      </c>
      <c r="Z4" s="196">
        <f t="shared" ref="Z4:Z29" si="14">(W4/B4)^0.5*J4</f>
        <v>0</v>
      </c>
      <c r="AA4" s="196">
        <f>(W4/B4)^0.5*O4</f>
        <v>0</v>
      </c>
      <c r="AB4" s="196">
        <f t="shared" si="2"/>
        <v>0</v>
      </c>
    </row>
    <row r="5" spans="1:28">
      <c r="A5" s="298"/>
      <c r="B5" s="185">
        <v>8</v>
      </c>
      <c r="C5" s="185">
        <v>400</v>
      </c>
      <c r="D5" s="185">
        <v>13</v>
      </c>
      <c r="E5" s="185">
        <v>610</v>
      </c>
      <c r="F5" s="185">
        <v>6.85</v>
      </c>
      <c r="G5" s="185">
        <v>30</v>
      </c>
      <c r="H5" s="185">
        <v>64.34</v>
      </c>
      <c r="I5" s="185">
        <v>203</v>
      </c>
      <c r="J5" s="191">
        <f t="shared" si="3"/>
        <v>562.14382443060799</v>
      </c>
      <c r="K5" s="191">
        <f t="shared" si="4"/>
        <v>162.14382443060799</v>
      </c>
      <c r="L5" s="192">
        <f t="shared" si="5"/>
        <v>0.40535956107651999</v>
      </c>
      <c r="M5" s="192">
        <f t="shared" si="6"/>
        <v>2.4669456354854038</v>
      </c>
      <c r="N5" s="193">
        <v>5</v>
      </c>
      <c r="O5" s="191">
        <f t="shared" si="7"/>
        <v>810.71912215303996</v>
      </c>
      <c r="P5" s="192">
        <f t="shared" si="8"/>
        <v>12.171641536880967</v>
      </c>
      <c r="Q5" s="192">
        <f t="shared" si="9"/>
        <v>14.264399544926679</v>
      </c>
      <c r="R5" s="192">
        <f t="shared" si="10"/>
        <v>4.1143995449266777</v>
      </c>
      <c r="S5" s="192">
        <f t="shared" si="11"/>
        <v>11.791406367757212</v>
      </c>
      <c r="T5" s="194">
        <f t="shared" si="0"/>
        <v>29.088758475173453</v>
      </c>
      <c r="U5" s="195">
        <f t="shared" si="1"/>
        <v>1.1635503390069382</v>
      </c>
      <c r="V5" s="192">
        <f t="shared" si="12"/>
        <v>4.1143986889501587</v>
      </c>
      <c r="W5" s="193"/>
      <c r="X5" s="196">
        <f>(W5/B5)^0.5*C5</f>
        <v>0</v>
      </c>
      <c r="Y5" s="196">
        <f t="shared" si="13"/>
        <v>0</v>
      </c>
      <c r="Z5" s="196">
        <f t="shared" si="14"/>
        <v>0</v>
      </c>
      <c r="AA5" s="196">
        <f>(W5/B5)^0.5*O5</f>
        <v>0</v>
      </c>
      <c r="AB5" s="196">
        <f t="shared" si="2"/>
        <v>0</v>
      </c>
    </row>
    <row r="6" spans="1:28">
      <c r="A6" s="298"/>
      <c r="B6" s="185">
        <v>11</v>
      </c>
      <c r="C6" s="185">
        <v>449</v>
      </c>
      <c r="D6" s="185">
        <v>16</v>
      </c>
      <c r="E6" s="185">
        <v>618.29999999999995</v>
      </c>
      <c r="F6" s="185">
        <v>6.64</v>
      </c>
      <c r="G6" s="185">
        <v>29.9</v>
      </c>
      <c r="H6" s="185">
        <v>64.34</v>
      </c>
      <c r="I6" s="185">
        <v>242</v>
      </c>
      <c r="J6" s="191">
        <f t="shared" si="3"/>
        <v>649.59740289889282</v>
      </c>
      <c r="K6" s="191">
        <f t="shared" si="4"/>
        <v>200.59740289889282</v>
      </c>
      <c r="L6" s="192">
        <f t="shared" si="5"/>
        <v>0.44676481714675464</v>
      </c>
      <c r="M6" s="192">
        <f t="shared" si="6"/>
        <v>2.238314123270627</v>
      </c>
      <c r="N6" s="193">
        <v>5</v>
      </c>
      <c r="O6" s="191">
        <f t="shared" si="7"/>
        <v>1002.9870144944641</v>
      </c>
      <c r="P6" s="192">
        <f t="shared" si="8"/>
        <v>10.934578947279093</v>
      </c>
      <c r="Q6" s="192">
        <f t="shared" si="9"/>
        <v>14.291142863775644</v>
      </c>
      <c r="R6" s="192">
        <f t="shared" si="10"/>
        <v>4.4131428637756418</v>
      </c>
      <c r="S6" s="192">
        <f t="shared" si="11"/>
        <v>12.918767350550983</v>
      </c>
      <c r="T6" s="194">
        <f t="shared" si="0"/>
        <v>28.916259415985721</v>
      </c>
      <c r="U6" s="195">
        <f t="shared" si="1"/>
        <v>1.1566503766394287</v>
      </c>
      <c r="V6" s="192">
        <f t="shared" si="12"/>
        <v>4.4131419456473377</v>
      </c>
      <c r="W6" s="193"/>
      <c r="X6" s="196">
        <f t="shared" ref="X6:X29" si="15">(W6/B6)^0.5*C6</f>
        <v>0</v>
      </c>
      <c r="Y6" s="196">
        <f t="shared" si="13"/>
        <v>0</v>
      </c>
      <c r="Z6" s="196">
        <f t="shared" si="14"/>
        <v>0</v>
      </c>
      <c r="AA6" s="196">
        <f t="shared" ref="AA6:AA29" si="16">(W6/B6)^0.5*O6</f>
        <v>0</v>
      </c>
      <c r="AB6" s="196">
        <f t="shared" si="2"/>
        <v>0</v>
      </c>
    </row>
    <row r="7" spans="1:28">
      <c r="A7" s="298"/>
      <c r="B7" s="185">
        <v>13</v>
      </c>
      <c r="C7" s="185">
        <v>499</v>
      </c>
      <c r="D7" s="185">
        <v>21</v>
      </c>
      <c r="E7" s="185">
        <v>616.29999999999995</v>
      </c>
      <c r="F7" s="185">
        <v>6.47</v>
      </c>
      <c r="G7" s="185">
        <v>29.9</v>
      </c>
      <c r="H7" s="185">
        <v>64.34</v>
      </c>
      <c r="I7" s="185">
        <v>284</v>
      </c>
      <c r="J7" s="191">
        <f t="shared" si="3"/>
        <v>742.81977240282868</v>
      </c>
      <c r="K7" s="191">
        <f t="shared" si="4"/>
        <v>243.81977240282868</v>
      </c>
      <c r="L7" s="192">
        <f t="shared" si="5"/>
        <v>0.4886167783623821</v>
      </c>
      <c r="M7" s="192">
        <f t="shared" si="6"/>
        <v>2.0465936584321529</v>
      </c>
      <c r="N7" s="193">
        <v>5</v>
      </c>
      <c r="O7" s="191">
        <f t="shared" si="7"/>
        <v>1219.0988620141434</v>
      </c>
      <c r="P7" s="192">
        <f t="shared" si="8"/>
        <v>8.7471283786894265</v>
      </c>
      <c r="Q7" s="192">
        <f t="shared" si="9"/>
        <v>16.22775502787718</v>
      </c>
      <c r="R7" s="192">
        <f t="shared" si="10"/>
        <v>5.326524258646411</v>
      </c>
      <c r="S7" s="192">
        <f t="shared" si="11"/>
        <v>14.000180837129678</v>
      </c>
      <c r="T7" s="194">
        <f t="shared" si="0"/>
        <v>28.652681318172949</v>
      </c>
      <c r="U7" s="195">
        <f t="shared" si="1"/>
        <v>1.1461072527269178</v>
      </c>
      <c r="V7" s="192">
        <f t="shared" si="12"/>
        <v>5.3265231504945048</v>
      </c>
      <c r="W7" s="193"/>
      <c r="X7" s="196">
        <f t="shared" si="15"/>
        <v>0</v>
      </c>
      <c r="Y7" s="196">
        <f t="shared" si="13"/>
        <v>0</v>
      </c>
      <c r="Z7" s="196">
        <f t="shared" si="14"/>
        <v>0</v>
      </c>
      <c r="AA7" s="196">
        <f t="shared" si="16"/>
        <v>0</v>
      </c>
      <c r="AB7" s="196">
        <f t="shared" si="2"/>
        <v>0</v>
      </c>
    </row>
    <row r="8" spans="1:28">
      <c r="A8" s="298"/>
      <c r="B8" s="185">
        <v>16</v>
      </c>
      <c r="C8" s="185">
        <v>550</v>
      </c>
      <c r="D8" s="185">
        <v>26</v>
      </c>
      <c r="E8" s="185">
        <v>612.5</v>
      </c>
      <c r="F8" s="185">
        <v>6.33</v>
      </c>
      <c r="G8" s="185">
        <v>29.9</v>
      </c>
      <c r="H8" s="185">
        <v>64.34</v>
      </c>
      <c r="I8" s="185">
        <v>326</v>
      </c>
      <c r="J8" s="191">
        <f t="shared" si="3"/>
        <v>834.22297164324482</v>
      </c>
      <c r="K8" s="191">
        <f t="shared" si="4"/>
        <v>284.22297164324482</v>
      </c>
      <c r="L8" s="192">
        <f t="shared" si="5"/>
        <v>0.51676903935135421</v>
      </c>
      <c r="M8" s="192">
        <f t="shared" si="6"/>
        <v>1.9351004488488606</v>
      </c>
      <c r="N8" s="193">
        <v>5</v>
      </c>
      <c r="O8" s="191">
        <f t="shared" si="7"/>
        <v>1421.1148582162241</v>
      </c>
      <c r="P8" s="192">
        <f t="shared" si="8"/>
        <v>7.9224885889799657</v>
      </c>
      <c r="Q8" s="192">
        <f t="shared" si="9"/>
        <v>16.997293047231114</v>
      </c>
      <c r="R8" s="192">
        <f t="shared" si="10"/>
        <v>5.7910430472311125</v>
      </c>
      <c r="S8" s="192">
        <f t="shared" si="11"/>
        <v>14.902918698250147</v>
      </c>
      <c r="T8" s="194">
        <f t="shared" si="0"/>
        <v>28.838644662141935</v>
      </c>
      <c r="U8" s="195">
        <f t="shared" si="1"/>
        <v>1.1535457864856773</v>
      </c>
      <c r="V8" s="192">
        <f t="shared" si="12"/>
        <v>5.7910418424388173</v>
      </c>
      <c r="W8" s="193"/>
      <c r="X8" s="196">
        <f t="shared" si="15"/>
        <v>0</v>
      </c>
      <c r="Y8" s="196">
        <f t="shared" si="13"/>
        <v>0</v>
      </c>
      <c r="Z8" s="196">
        <f t="shared" si="14"/>
        <v>0</v>
      </c>
      <c r="AA8" s="196">
        <f t="shared" si="16"/>
        <v>0</v>
      </c>
      <c r="AB8" s="196">
        <f t="shared" si="2"/>
        <v>0</v>
      </c>
    </row>
    <row r="9" spans="1:28">
      <c r="A9" s="298"/>
      <c r="B9" s="185">
        <v>20</v>
      </c>
      <c r="C9" s="185">
        <v>600</v>
      </c>
      <c r="D9" s="185">
        <v>32</v>
      </c>
      <c r="E9" s="185">
        <v>609.29999999999995</v>
      </c>
      <c r="F9" s="185">
        <v>6.22</v>
      </c>
      <c r="G9" s="185">
        <v>29.9</v>
      </c>
      <c r="H9" s="185">
        <v>64.34</v>
      </c>
      <c r="I9" s="185">
        <v>369</v>
      </c>
      <c r="J9" s="191">
        <f t="shared" si="3"/>
        <v>927.8496012057409</v>
      </c>
      <c r="K9" s="191">
        <f t="shared" si="4"/>
        <v>327.8496012057409</v>
      </c>
      <c r="L9" s="192">
        <f t="shared" si="5"/>
        <v>0.54641600200956819</v>
      </c>
      <c r="M9" s="192">
        <f t="shared" si="6"/>
        <v>1.8301074571796476</v>
      </c>
      <c r="N9" s="193">
        <v>5</v>
      </c>
      <c r="O9" s="191">
        <f t="shared" si="7"/>
        <v>1639.2480060287044</v>
      </c>
      <c r="P9" s="192">
        <f t="shared" si="8"/>
        <v>7.4428740107212361</v>
      </c>
      <c r="Q9" s="192">
        <f t="shared" si="9"/>
        <v>17.118825142245921</v>
      </c>
      <c r="R9" s="192">
        <f t="shared" si="10"/>
        <v>6.0488251422459198</v>
      </c>
      <c r="S9" s="192">
        <f t="shared" si="11"/>
        <v>15.736381029182581</v>
      </c>
      <c r="T9" s="194">
        <f t="shared" si="0"/>
        <v>28.799268270527378</v>
      </c>
      <c r="U9" s="195">
        <f t="shared" si="1"/>
        <v>1.1519707308210951</v>
      </c>
      <c r="V9" s="192">
        <f t="shared" si="12"/>
        <v>6.0488238838235819</v>
      </c>
      <c r="W9" s="193"/>
      <c r="X9" s="196">
        <f t="shared" si="15"/>
        <v>0</v>
      </c>
      <c r="Y9" s="196">
        <f t="shared" si="13"/>
        <v>0</v>
      </c>
      <c r="Z9" s="196">
        <f t="shared" si="14"/>
        <v>0</v>
      </c>
      <c r="AA9" s="196">
        <f t="shared" si="16"/>
        <v>0</v>
      </c>
      <c r="AB9" s="196">
        <f t="shared" si="2"/>
        <v>0</v>
      </c>
    </row>
    <row r="10" spans="1:28">
      <c r="A10" s="298"/>
      <c r="B10" s="185">
        <v>23</v>
      </c>
      <c r="C10" s="185">
        <v>649</v>
      </c>
      <c r="D10" s="185">
        <v>38</v>
      </c>
      <c r="E10" s="185">
        <v>609.1</v>
      </c>
      <c r="F10" s="185">
        <v>6.14</v>
      </c>
      <c r="G10" s="185">
        <v>29.9</v>
      </c>
      <c r="H10" s="185">
        <v>64.34</v>
      </c>
      <c r="I10" s="185">
        <v>411</v>
      </c>
      <c r="J10" s="191">
        <f t="shared" si="3"/>
        <v>1020.1664281785024</v>
      </c>
      <c r="K10" s="191">
        <f t="shared" si="4"/>
        <v>371.16642817850243</v>
      </c>
      <c r="L10" s="192">
        <f t="shared" si="5"/>
        <v>0.57190512816410233</v>
      </c>
      <c r="M10" s="192">
        <f t="shared" si="6"/>
        <v>1.7485417611311578</v>
      </c>
      <c r="N10" s="193">
        <v>5</v>
      </c>
      <c r="O10" s="191">
        <f t="shared" si="7"/>
        <v>1855.8321408925121</v>
      </c>
      <c r="P10" s="192">
        <f t="shared" si="8"/>
        <v>6.6780620824406363</v>
      </c>
      <c r="Q10" s="192">
        <f t="shared" si="9"/>
        <v>18.229930520928889</v>
      </c>
      <c r="R10" s="192">
        <f t="shared" si="10"/>
        <v>6.6325826948419344</v>
      </c>
      <c r="S10" s="192">
        <f t="shared" si="11"/>
        <v>16.415302321980946</v>
      </c>
      <c r="T10" s="194">
        <f t="shared" si="0"/>
        <v>28.702841631576945</v>
      </c>
      <c r="U10" s="195">
        <f t="shared" si="1"/>
        <v>1.1481136652630777</v>
      </c>
      <c r="V10" s="192">
        <f t="shared" si="12"/>
        <v>6.6325813149722856</v>
      </c>
      <c r="W10" s="193"/>
      <c r="X10" s="196">
        <f t="shared" si="15"/>
        <v>0</v>
      </c>
      <c r="Y10" s="196">
        <f t="shared" si="13"/>
        <v>0</v>
      </c>
      <c r="Z10" s="196">
        <f t="shared" si="14"/>
        <v>0</v>
      </c>
      <c r="AA10" s="196">
        <f t="shared" si="16"/>
        <v>0</v>
      </c>
      <c r="AB10" s="196">
        <f t="shared" si="2"/>
        <v>0</v>
      </c>
    </row>
    <row r="11" spans="1:28">
      <c r="A11" s="298"/>
      <c r="B11" s="185">
        <v>28</v>
      </c>
      <c r="C11" s="185">
        <v>699</v>
      </c>
      <c r="D11" s="185">
        <v>45</v>
      </c>
      <c r="E11" s="185">
        <v>608.4</v>
      </c>
      <c r="F11" s="185">
        <v>6.07</v>
      </c>
      <c r="G11" s="185">
        <v>29.9</v>
      </c>
      <c r="H11" s="185">
        <v>64.34</v>
      </c>
      <c r="I11" s="185">
        <v>454</v>
      </c>
      <c r="J11" s="191">
        <f t="shared" si="3"/>
        <v>1114.051784178477</v>
      </c>
      <c r="K11" s="191">
        <f t="shared" si="4"/>
        <v>415.05178417847696</v>
      </c>
      <c r="L11" s="192">
        <f t="shared" si="5"/>
        <v>0.59377937650712009</v>
      </c>
      <c r="M11" s="192">
        <f t="shared" si="6"/>
        <v>1.6841272020635913</v>
      </c>
      <c r="N11" s="193">
        <v>5</v>
      </c>
      <c r="O11" s="191">
        <f t="shared" si="7"/>
        <v>2075.2589208923846</v>
      </c>
      <c r="P11" s="192">
        <f t="shared" si="8"/>
        <v>6.5014982872695848</v>
      </c>
      <c r="Q11" s="192">
        <f t="shared" si="9"/>
        <v>18.063553929179591</v>
      </c>
      <c r="R11" s="192">
        <f t="shared" si="10"/>
        <v>6.7297682148938769</v>
      </c>
      <c r="S11" s="192">
        <f t="shared" si="11"/>
        <v>17.029822354769106</v>
      </c>
      <c r="T11" s="194">
        <f t="shared" si="0"/>
        <v>28.680387073977297</v>
      </c>
      <c r="U11" s="195">
        <f t="shared" si="1"/>
        <v>1.1472154829590919</v>
      </c>
      <c r="V11" s="192">
        <f t="shared" si="12"/>
        <v>6.7297668148053535</v>
      </c>
      <c r="W11" s="193"/>
      <c r="X11" s="196">
        <f t="shared" si="15"/>
        <v>0</v>
      </c>
      <c r="Y11" s="196">
        <f t="shared" si="13"/>
        <v>0</v>
      </c>
      <c r="Z11" s="196">
        <f t="shared" si="14"/>
        <v>0</v>
      </c>
      <c r="AA11" s="196">
        <f t="shared" si="16"/>
        <v>0</v>
      </c>
      <c r="AB11" s="196">
        <f t="shared" si="2"/>
        <v>0</v>
      </c>
    </row>
    <row r="12" spans="1:28">
      <c r="A12" s="298"/>
      <c r="B12" s="185">
        <v>32</v>
      </c>
      <c r="C12" s="185">
        <v>749</v>
      </c>
      <c r="D12" s="185">
        <v>53</v>
      </c>
      <c r="E12" s="185">
        <v>607.5</v>
      </c>
      <c r="F12" s="185">
        <v>6.01</v>
      </c>
      <c r="G12" s="185">
        <v>29.9</v>
      </c>
      <c r="H12" s="185">
        <v>64.34</v>
      </c>
      <c r="I12" s="185">
        <v>497</v>
      </c>
      <c r="J12" s="191">
        <f t="shared" si="3"/>
        <v>1207.5126671169633</v>
      </c>
      <c r="K12" s="191">
        <f t="shared" si="4"/>
        <v>458.51266711696326</v>
      </c>
      <c r="L12" s="192">
        <f t="shared" si="5"/>
        <v>0.61216644474894966</v>
      </c>
      <c r="M12" s="192">
        <f t="shared" si="6"/>
        <v>1.633542655886834</v>
      </c>
      <c r="N12" s="193">
        <v>5</v>
      </c>
      <c r="O12" s="191">
        <f t="shared" si="7"/>
        <v>2292.5633355848163</v>
      </c>
      <c r="P12" s="192">
        <f t="shared" si="8"/>
        <v>6.0884577015198174</v>
      </c>
      <c r="Q12" s="192">
        <f t="shared" si="9"/>
        <v>18.754181111160335</v>
      </c>
      <c r="R12" s="192">
        <f t="shared" si="10"/>
        <v>7.1212748611603356</v>
      </c>
      <c r="S12" s="192">
        <f t="shared" si="11"/>
        <v>17.571960998840826</v>
      </c>
      <c r="T12" s="194">
        <f t="shared" si="0"/>
        <v>28.704547839186308</v>
      </c>
      <c r="U12" s="195">
        <f t="shared" si="1"/>
        <v>1.1481819135674525</v>
      </c>
      <c r="V12" s="192">
        <f t="shared" si="12"/>
        <v>7.1212733796211696</v>
      </c>
      <c r="W12" s="193"/>
      <c r="X12" s="196">
        <f t="shared" si="15"/>
        <v>0</v>
      </c>
      <c r="Y12" s="196">
        <f t="shared" si="13"/>
        <v>0</v>
      </c>
      <c r="Z12" s="196">
        <f t="shared" si="14"/>
        <v>0</v>
      </c>
      <c r="AA12" s="196">
        <f t="shared" si="16"/>
        <v>0</v>
      </c>
      <c r="AB12" s="196">
        <f t="shared" si="2"/>
        <v>0</v>
      </c>
    </row>
    <row r="13" spans="1:28">
      <c r="A13" s="299"/>
      <c r="B13" s="185">
        <v>38</v>
      </c>
      <c r="C13" s="185">
        <v>800</v>
      </c>
      <c r="D13" s="185">
        <v>61</v>
      </c>
      <c r="E13" s="185">
        <v>607.29999999999995</v>
      </c>
      <c r="F13" s="185">
        <v>5.96</v>
      </c>
      <c r="G13" s="185">
        <v>29.9</v>
      </c>
      <c r="H13" s="185">
        <v>64.34</v>
      </c>
      <c r="I13" s="185">
        <v>540</v>
      </c>
      <c r="J13" s="191">
        <f t="shared" si="3"/>
        <v>1301.070572469504</v>
      </c>
      <c r="K13" s="191">
        <f t="shared" si="4"/>
        <v>501.07057246950399</v>
      </c>
      <c r="L13" s="192">
        <f t="shared" si="5"/>
        <v>0.62633821558687997</v>
      </c>
      <c r="M13" s="192">
        <f t="shared" si="6"/>
        <v>1.5965814876280513</v>
      </c>
      <c r="N13" s="193">
        <v>5</v>
      </c>
      <c r="O13" s="191">
        <f>K13*N13</f>
        <v>2505.3528623475199</v>
      </c>
      <c r="P13" s="192">
        <f t="shared" si="8"/>
        <v>6.0540470607619286</v>
      </c>
      <c r="Q13" s="192">
        <f t="shared" si="9"/>
        <v>18.488897608777162</v>
      </c>
      <c r="R13" s="192">
        <f t="shared" si="10"/>
        <v>7.1204765561455829</v>
      </c>
      <c r="S13" s="192">
        <f t="shared" si="11"/>
        <v>18.025098420642511</v>
      </c>
      <c r="T13" s="194">
        <f t="shared" si="0"/>
        <v>28.778538451071459</v>
      </c>
      <c r="U13" s="195">
        <f t="shared" si="1"/>
        <v>1.1511415380428585</v>
      </c>
      <c r="V13" s="192">
        <f t="shared" si="12"/>
        <v>7.1204750747725001</v>
      </c>
      <c r="W13" s="193"/>
      <c r="X13" s="196">
        <f t="shared" si="15"/>
        <v>0</v>
      </c>
      <c r="Y13" s="196">
        <f t="shared" si="13"/>
        <v>0</v>
      </c>
      <c r="Z13" s="196">
        <f t="shared" si="14"/>
        <v>0</v>
      </c>
      <c r="AA13" s="196">
        <f t="shared" si="16"/>
        <v>0</v>
      </c>
      <c r="AB13" s="196">
        <f t="shared" si="2"/>
        <v>0</v>
      </c>
    </row>
    <row r="14" spans="1:28">
      <c r="A14" s="297" t="s">
        <v>739</v>
      </c>
      <c r="B14" s="185">
        <v>6</v>
      </c>
      <c r="C14" s="185">
        <v>299</v>
      </c>
      <c r="D14" s="185">
        <v>10</v>
      </c>
      <c r="E14" s="185">
        <v>624.29999999999995</v>
      </c>
      <c r="F14" s="185">
        <v>9.07</v>
      </c>
      <c r="G14" s="185">
        <v>38.1</v>
      </c>
      <c r="H14" s="185">
        <v>64.34</v>
      </c>
      <c r="I14" s="185">
        <v>133</v>
      </c>
      <c r="J14" s="191">
        <f t="shared" si="3"/>
        <v>487.66295124151361</v>
      </c>
      <c r="K14" s="191">
        <f t="shared" si="4"/>
        <v>188.66295124151361</v>
      </c>
      <c r="L14" s="192">
        <f t="shared" si="5"/>
        <v>0.63097977003850703</v>
      </c>
      <c r="M14" s="192">
        <f t="shared" si="6"/>
        <v>1.5848368640074983</v>
      </c>
      <c r="N14" s="193">
        <v>3</v>
      </c>
      <c r="O14" s="191">
        <f t="shared" ref="O14:O29" si="17">K14*N14</f>
        <v>565.98885372454083</v>
      </c>
      <c r="P14" s="192">
        <f t="shared" si="8"/>
        <v>18.729901496382379</v>
      </c>
      <c r="Q14" s="192">
        <f t="shared" si="9"/>
        <v>10.809862085853553</v>
      </c>
      <c r="R14" s="192">
        <f t="shared" si="10"/>
        <v>4.1820287525202184</v>
      </c>
      <c r="S14" s="192">
        <f t="shared" si="11"/>
        <v>7.8053664479621814</v>
      </c>
      <c r="T14" s="194">
        <f t="shared" si="0"/>
        <v>12.37023248381773</v>
      </c>
      <c r="U14" s="195">
        <f t="shared" si="1"/>
        <v>1.3744702759797478</v>
      </c>
      <c r="V14" s="192">
        <f t="shared" si="12"/>
        <v>4.1820278824738413</v>
      </c>
      <c r="W14" s="193"/>
      <c r="X14" s="196">
        <f t="shared" si="15"/>
        <v>0</v>
      </c>
      <c r="Y14" s="196">
        <f t="shared" si="13"/>
        <v>0</v>
      </c>
      <c r="Z14" s="196">
        <f t="shared" si="14"/>
        <v>0</v>
      </c>
      <c r="AA14" s="196">
        <f t="shared" si="16"/>
        <v>0</v>
      </c>
      <c r="AB14" s="196">
        <f t="shared" si="2"/>
        <v>0</v>
      </c>
    </row>
    <row r="15" spans="1:28">
      <c r="A15" s="298"/>
      <c r="B15" s="185">
        <v>10</v>
      </c>
      <c r="C15" s="185">
        <v>350</v>
      </c>
      <c r="D15" s="185">
        <v>16</v>
      </c>
      <c r="E15" s="185">
        <v>619.20000000000005</v>
      </c>
      <c r="F15" s="185">
        <v>8.31</v>
      </c>
      <c r="G15" s="185">
        <v>33.5</v>
      </c>
      <c r="H15" s="185">
        <v>64.34</v>
      </c>
      <c r="I15" s="185">
        <v>193</v>
      </c>
      <c r="J15" s="191">
        <f t="shared" si="3"/>
        <v>648.36440972028493</v>
      </c>
      <c r="K15" s="191">
        <f t="shared" si="4"/>
        <v>298.36440972028493</v>
      </c>
      <c r="L15" s="192">
        <f t="shared" si="5"/>
        <v>0.85246974205795689</v>
      </c>
      <c r="M15" s="192">
        <f t="shared" si="6"/>
        <v>1.1730621635741447</v>
      </c>
      <c r="N15" s="193">
        <v>3</v>
      </c>
      <c r="O15" s="191">
        <f t="shared" si="17"/>
        <v>895.09322916085478</v>
      </c>
      <c r="P15" s="192">
        <f t="shared" si="8"/>
        <v>12.481404440900256</v>
      </c>
      <c r="Q15" s="192">
        <f t="shared" si="9"/>
        <v>12.513433107601498</v>
      </c>
      <c r="R15" s="192">
        <f t="shared" si="10"/>
        <v>5.7584331076014985</v>
      </c>
      <c r="S15" s="192">
        <f t="shared" si="11"/>
        <v>10.561080975326044</v>
      </c>
      <c r="T15" s="194">
        <f t="shared" si="0"/>
        <v>12.388804498597707</v>
      </c>
      <c r="U15" s="195">
        <f t="shared" si="1"/>
        <v>1.376533833177523</v>
      </c>
      <c r="V15" s="192">
        <f t="shared" si="12"/>
        <v>5.7584319095935079</v>
      </c>
      <c r="W15" s="193"/>
      <c r="X15" s="196">
        <f t="shared" si="15"/>
        <v>0</v>
      </c>
      <c r="Y15" s="196">
        <f t="shared" si="13"/>
        <v>0</v>
      </c>
      <c r="Z15" s="196">
        <f t="shared" si="14"/>
        <v>0</v>
      </c>
      <c r="AA15" s="196">
        <f t="shared" si="16"/>
        <v>0</v>
      </c>
      <c r="AB15" s="196">
        <f t="shared" si="2"/>
        <v>0</v>
      </c>
    </row>
    <row r="16" spans="1:28">
      <c r="A16" s="298"/>
      <c r="B16" s="185">
        <v>15</v>
      </c>
      <c r="C16" s="185">
        <v>400</v>
      </c>
      <c r="D16" s="185">
        <v>24</v>
      </c>
      <c r="E16" s="185">
        <v>614.4</v>
      </c>
      <c r="F16" s="185">
        <v>7.92</v>
      </c>
      <c r="G16" s="185">
        <v>30</v>
      </c>
      <c r="H16" s="185">
        <v>64.34</v>
      </c>
      <c r="I16" s="185">
        <v>257</v>
      </c>
      <c r="J16" s="191">
        <f t="shared" si="3"/>
        <v>822.84709359536646</v>
      </c>
      <c r="K16" s="191">
        <f t="shared" si="4"/>
        <v>422.84709359536646</v>
      </c>
      <c r="L16" s="192">
        <f t="shared" si="5"/>
        <v>1.0571177339884161</v>
      </c>
      <c r="M16" s="192">
        <f t="shared" si="6"/>
        <v>0.94596842702381334</v>
      </c>
      <c r="N16" s="193">
        <v>3</v>
      </c>
      <c r="O16" s="191">
        <f t="shared" si="17"/>
        <v>1268.5412807860994</v>
      </c>
      <c r="P16" s="192">
        <f t="shared" si="8"/>
        <v>9.3214194263115395</v>
      </c>
      <c r="Q16" s="192">
        <f t="shared" si="9"/>
        <v>14.098113536933944</v>
      </c>
      <c r="R16" s="192">
        <f t="shared" si="10"/>
        <v>7.2447802036006124</v>
      </c>
      <c r="S16" s="192">
        <f t="shared" si="11"/>
        <v>12.911243805119035</v>
      </c>
      <c r="T16" s="194">
        <f t="shared" si="0"/>
        <v>12.213628993249408</v>
      </c>
      <c r="U16" s="195">
        <f t="shared" si="1"/>
        <v>1.357069888138823</v>
      </c>
      <c r="V16" s="192">
        <f t="shared" si="12"/>
        <v>7.244778696366887</v>
      </c>
      <c r="W16" s="193"/>
      <c r="X16" s="196">
        <f t="shared" si="15"/>
        <v>0</v>
      </c>
      <c r="Y16" s="196">
        <f t="shared" si="13"/>
        <v>0</v>
      </c>
      <c r="Z16" s="196">
        <f t="shared" si="14"/>
        <v>0</v>
      </c>
      <c r="AA16" s="196">
        <f t="shared" si="16"/>
        <v>0</v>
      </c>
      <c r="AB16" s="196">
        <f t="shared" si="2"/>
        <v>0</v>
      </c>
    </row>
    <row r="17" spans="1:28">
      <c r="A17" s="298"/>
      <c r="B17" s="185">
        <v>21</v>
      </c>
      <c r="C17" s="185">
        <v>449</v>
      </c>
      <c r="D17" s="185">
        <v>33</v>
      </c>
      <c r="E17" s="185">
        <v>610</v>
      </c>
      <c r="F17" s="185">
        <v>7.78</v>
      </c>
      <c r="G17" s="185">
        <v>30</v>
      </c>
      <c r="H17" s="185">
        <v>64.34</v>
      </c>
      <c r="I17" s="185">
        <v>308</v>
      </c>
      <c r="J17" s="191">
        <f t="shared" si="3"/>
        <v>968.70412272381441</v>
      </c>
      <c r="K17" s="191">
        <f t="shared" si="4"/>
        <v>519.70412272381441</v>
      </c>
      <c r="L17" s="192">
        <f t="shared" si="5"/>
        <v>1.1574702065118361</v>
      </c>
      <c r="M17" s="192">
        <f t="shared" si="6"/>
        <v>0.8639531232631984</v>
      </c>
      <c r="N17" s="193">
        <v>3</v>
      </c>
      <c r="O17" s="191">
        <f t="shared" si="17"/>
        <v>1559.1123681714432</v>
      </c>
      <c r="P17" s="192">
        <f t="shared" si="8"/>
        <v>8.6390196384172153</v>
      </c>
      <c r="Q17" s="192">
        <f t="shared" si="9"/>
        <v>14.207660466615945</v>
      </c>
      <c r="R17" s="192">
        <f t="shared" si="10"/>
        <v>7.6223271332826119</v>
      </c>
      <c r="S17" s="192">
        <f t="shared" si="11"/>
        <v>14.032818566338152</v>
      </c>
      <c r="T17" s="194">
        <f t="shared" si="0"/>
        <v>12.123697428573644</v>
      </c>
      <c r="U17" s="195">
        <f t="shared" si="1"/>
        <v>1.3470774920637381</v>
      </c>
      <c r="V17" s="192">
        <f t="shared" si="12"/>
        <v>7.6223255475024763</v>
      </c>
      <c r="W17" s="193"/>
      <c r="X17" s="196">
        <f t="shared" si="15"/>
        <v>0</v>
      </c>
      <c r="Y17" s="196">
        <f t="shared" si="13"/>
        <v>0</v>
      </c>
      <c r="Z17" s="196">
        <f t="shared" si="14"/>
        <v>0</v>
      </c>
      <c r="AA17" s="196">
        <f t="shared" si="16"/>
        <v>0</v>
      </c>
      <c r="AB17" s="196">
        <f t="shared" si="2"/>
        <v>0</v>
      </c>
    </row>
    <row r="18" spans="1:28">
      <c r="A18" s="298"/>
      <c r="B18" s="185">
        <v>27</v>
      </c>
      <c r="C18" s="185">
        <v>499</v>
      </c>
      <c r="D18" s="185">
        <v>44</v>
      </c>
      <c r="E18" s="185">
        <v>609</v>
      </c>
      <c r="F18" s="185">
        <v>7.67</v>
      </c>
      <c r="G18" s="185">
        <v>30</v>
      </c>
      <c r="H18" s="185">
        <v>64.34</v>
      </c>
      <c r="I18" s="185">
        <v>359</v>
      </c>
      <c r="J18" s="191">
        <f t="shared" si="3"/>
        <v>1113.1421990467168</v>
      </c>
      <c r="K18" s="191">
        <f t="shared" si="4"/>
        <v>614.14219904671677</v>
      </c>
      <c r="L18" s="192">
        <f t="shared" si="5"/>
        <v>1.2307458898731798</v>
      </c>
      <c r="M18" s="192">
        <f t="shared" si="6"/>
        <v>0.8125154089306309</v>
      </c>
      <c r="N18" s="193">
        <v>3</v>
      </c>
      <c r="O18" s="191">
        <f t="shared" si="17"/>
        <v>1842.4265971401503</v>
      </c>
      <c r="P18" s="192">
        <f t="shared" si="8"/>
        <v>7.9539594991551477</v>
      </c>
      <c r="Q18" s="192">
        <f t="shared" si="9"/>
        <v>14.800668498435975</v>
      </c>
      <c r="R18" s="192">
        <f t="shared" si="10"/>
        <v>8.1658166465841227</v>
      </c>
      <c r="S18" s="192">
        <f t="shared" si="11"/>
        <v>14.928585873178019</v>
      </c>
      <c r="T18" s="194">
        <f t="shared" si="0"/>
        <v>12.129706055501279</v>
      </c>
      <c r="U18" s="195">
        <f t="shared" si="1"/>
        <v>1.3477451172779198</v>
      </c>
      <c r="V18" s="192">
        <f t="shared" si="12"/>
        <v>8.1658149477342086</v>
      </c>
      <c r="W18" s="193"/>
      <c r="X18" s="196">
        <f t="shared" si="15"/>
        <v>0</v>
      </c>
      <c r="Y18" s="196">
        <f t="shared" si="13"/>
        <v>0</v>
      </c>
      <c r="Z18" s="196">
        <f t="shared" si="14"/>
        <v>0</v>
      </c>
      <c r="AA18" s="196">
        <f t="shared" si="16"/>
        <v>0</v>
      </c>
      <c r="AB18" s="196">
        <f t="shared" si="2"/>
        <v>0</v>
      </c>
    </row>
    <row r="19" spans="1:28">
      <c r="A19" s="298"/>
      <c r="B19" s="185">
        <v>35</v>
      </c>
      <c r="C19" s="185">
        <v>550</v>
      </c>
      <c r="D19" s="185">
        <v>57</v>
      </c>
      <c r="E19" s="185">
        <v>607.5</v>
      </c>
      <c r="F19" s="185">
        <v>7.59</v>
      </c>
      <c r="G19" s="185">
        <v>30</v>
      </c>
      <c r="H19" s="185">
        <v>64.34</v>
      </c>
      <c r="I19" s="185">
        <v>411</v>
      </c>
      <c r="J19" s="191">
        <f t="shared" si="3"/>
        <v>1261.0852100773345</v>
      </c>
      <c r="K19" s="191">
        <f t="shared" si="4"/>
        <v>711.08521007733452</v>
      </c>
      <c r="L19" s="192">
        <f t="shared" si="5"/>
        <v>1.2928822001406082</v>
      </c>
      <c r="M19" s="192">
        <f t="shared" si="6"/>
        <v>0.77346567219445383</v>
      </c>
      <c r="N19" s="193">
        <v>3</v>
      </c>
      <c r="O19" s="191">
        <f t="shared" si="17"/>
        <v>2133.2556302320036</v>
      </c>
      <c r="P19" s="192">
        <f t="shared" si="8"/>
        <v>7.6909899402066637</v>
      </c>
      <c r="Q19" s="192">
        <f t="shared" si="9"/>
        <v>14.808743466908128</v>
      </c>
      <c r="R19" s="192">
        <f t="shared" si="10"/>
        <v>8.3501720383367015</v>
      </c>
      <c r="S19" s="192">
        <f t="shared" si="11"/>
        <v>15.669584767222176</v>
      </c>
      <c r="T19" s="194">
        <f t="shared" si="0"/>
        <v>12.119885914987476</v>
      </c>
      <c r="U19" s="195">
        <f t="shared" si="1"/>
        <v>1.3466539905541639</v>
      </c>
      <c r="V19" s="192">
        <f t="shared" si="12"/>
        <v>8.3501703011327333</v>
      </c>
      <c r="W19" s="193"/>
      <c r="X19" s="196">
        <f t="shared" si="15"/>
        <v>0</v>
      </c>
      <c r="Y19" s="196">
        <f t="shared" si="13"/>
        <v>0</v>
      </c>
      <c r="Z19" s="196">
        <f t="shared" si="14"/>
        <v>0</v>
      </c>
      <c r="AA19" s="196">
        <f t="shared" si="16"/>
        <v>0</v>
      </c>
      <c r="AB19" s="196">
        <f t="shared" si="2"/>
        <v>0</v>
      </c>
    </row>
    <row r="20" spans="1:28">
      <c r="A20" s="298"/>
      <c r="B20" s="185">
        <v>43</v>
      </c>
      <c r="C20" s="185">
        <v>600</v>
      </c>
      <c r="D20" s="185">
        <v>71</v>
      </c>
      <c r="E20" s="185">
        <v>606.6</v>
      </c>
      <c r="F20" s="185">
        <v>7.52</v>
      </c>
      <c r="G20" s="185">
        <v>30</v>
      </c>
      <c r="H20" s="185">
        <v>64.34</v>
      </c>
      <c r="I20" s="185">
        <v>464</v>
      </c>
      <c r="J20" s="191">
        <f t="shared" si="3"/>
        <v>1410.5765371322368</v>
      </c>
      <c r="K20" s="191">
        <f t="shared" si="4"/>
        <v>810.57653713223681</v>
      </c>
      <c r="L20" s="192">
        <f t="shared" si="5"/>
        <v>1.3509608952203946</v>
      </c>
      <c r="M20" s="192">
        <f t="shared" si="6"/>
        <v>0.74021387557399343</v>
      </c>
      <c r="N20" s="193">
        <v>3</v>
      </c>
      <c r="O20" s="191">
        <f t="shared" si="17"/>
        <v>2431.7296113967104</v>
      </c>
      <c r="P20" s="192">
        <f t="shared" si="8"/>
        <v>7.2717324100208867</v>
      </c>
      <c r="Q20" s="192">
        <f t="shared" si="9"/>
        <v>15.221104958822275</v>
      </c>
      <c r="R20" s="192">
        <f t="shared" si="10"/>
        <v>8.7466863541711142</v>
      </c>
      <c r="S20" s="192">
        <f t="shared" si="11"/>
        <v>16.366997693847395</v>
      </c>
      <c r="T20" s="194">
        <f t="shared" si="0"/>
        <v>12.115078794473392</v>
      </c>
      <c r="U20" s="195">
        <f t="shared" si="1"/>
        <v>1.3461198660525993</v>
      </c>
      <c r="V20" s="192">
        <f t="shared" si="12"/>
        <v>8.7466845344746886</v>
      </c>
      <c r="W20" s="193"/>
      <c r="X20" s="196">
        <f t="shared" si="15"/>
        <v>0</v>
      </c>
      <c r="Y20" s="196">
        <f t="shared" si="13"/>
        <v>0</v>
      </c>
      <c r="Z20" s="196">
        <f t="shared" si="14"/>
        <v>0</v>
      </c>
      <c r="AA20" s="196">
        <f t="shared" si="16"/>
        <v>0</v>
      </c>
      <c r="AB20" s="196">
        <f t="shared" si="2"/>
        <v>0</v>
      </c>
    </row>
    <row r="21" spans="1:28">
      <c r="A21" s="298"/>
      <c r="B21" s="185">
        <v>53</v>
      </c>
      <c r="C21" s="185">
        <v>649</v>
      </c>
      <c r="D21" s="185">
        <v>88</v>
      </c>
      <c r="E21" s="185">
        <v>605.4</v>
      </c>
      <c r="F21" s="185">
        <v>7.46</v>
      </c>
      <c r="G21" s="185">
        <v>30</v>
      </c>
      <c r="H21" s="185">
        <v>64.34</v>
      </c>
      <c r="I21" s="185">
        <v>517</v>
      </c>
      <c r="J21" s="191">
        <f t="shared" si="3"/>
        <v>1559.1582790553794</v>
      </c>
      <c r="K21" s="191">
        <f t="shared" si="4"/>
        <v>910.15827905537935</v>
      </c>
      <c r="L21" s="192">
        <f t="shared" si="5"/>
        <v>1.4024010463102918</v>
      </c>
      <c r="M21" s="192">
        <f t="shared" si="6"/>
        <v>0.71306278801701817</v>
      </c>
      <c r="N21" s="193">
        <v>3</v>
      </c>
      <c r="O21" s="191">
        <f t="shared" si="17"/>
        <v>2730.4748371661381</v>
      </c>
      <c r="P21" s="192">
        <f t="shared" si="8"/>
        <v>7.1088526490503616</v>
      </c>
      <c r="Q21" s="192">
        <f t="shared" si="9"/>
        <v>15.209147740974172</v>
      </c>
      <c r="R21" s="192">
        <f t="shared" si="10"/>
        <v>8.8783364202194548</v>
      </c>
      <c r="S21" s="192">
        <f t="shared" si="11"/>
        <v>16.995234073974373</v>
      </c>
      <c r="T21" s="194">
        <f t="shared" si="0"/>
        <v>12.118668991789992</v>
      </c>
      <c r="U21" s="195">
        <f t="shared" si="1"/>
        <v>1.3465187768655547</v>
      </c>
      <c r="V21" s="192">
        <f t="shared" si="12"/>
        <v>8.878334573134012</v>
      </c>
      <c r="W21" s="193"/>
      <c r="X21" s="196">
        <f t="shared" si="15"/>
        <v>0</v>
      </c>
      <c r="Y21" s="196">
        <f t="shared" si="13"/>
        <v>0</v>
      </c>
      <c r="Z21" s="196">
        <f t="shared" si="14"/>
        <v>0</v>
      </c>
      <c r="AA21" s="196">
        <f t="shared" si="16"/>
        <v>0</v>
      </c>
      <c r="AB21" s="196">
        <f t="shared" si="2"/>
        <v>0</v>
      </c>
    </row>
    <row r="22" spans="1:28">
      <c r="A22" s="298"/>
      <c r="B22" s="185">
        <v>65</v>
      </c>
      <c r="C22" s="185">
        <v>699</v>
      </c>
      <c r="D22" s="185">
        <v>107</v>
      </c>
      <c r="E22" s="185">
        <v>604.6</v>
      </c>
      <c r="F22" s="185">
        <v>7.42</v>
      </c>
      <c r="G22" s="185">
        <v>30</v>
      </c>
      <c r="H22" s="185">
        <v>64.34</v>
      </c>
      <c r="I22" s="185">
        <v>571</v>
      </c>
      <c r="J22" s="191">
        <f t="shared" si="3"/>
        <v>1712.7771013081797</v>
      </c>
      <c r="K22" s="191">
        <f t="shared" si="4"/>
        <v>1013.7771013081797</v>
      </c>
      <c r="L22" s="192">
        <f t="shared" si="5"/>
        <v>1.4503248945753644</v>
      </c>
      <c r="M22" s="192">
        <f t="shared" si="6"/>
        <v>0.68950067928937164</v>
      </c>
      <c r="N22" s="193">
        <v>3</v>
      </c>
      <c r="O22" s="191">
        <f t="shared" si="17"/>
        <v>3041.331303924539</v>
      </c>
      <c r="P22" s="192">
        <f t="shared" si="8"/>
        <v>7.0272579007622031</v>
      </c>
      <c r="Q22" s="192">
        <f t="shared" si="9"/>
        <v>15.046088074568779</v>
      </c>
      <c r="R22" s="192">
        <f t="shared" si="10"/>
        <v>8.9056419207226245</v>
      </c>
      <c r="S22" s="192">
        <f t="shared" si="11"/>
        <v>17.521656371919889</v>
      </c>
      <c r="T22" s="194">
        <f t="shared" si="0"/>
        <v>12.081193970713709</v>
      </c>
      <c r="U22" s="195">
        <f t="shared" si="1"/>
        <v>1.3423548856348566</v>
      </c>
      <c r="V22" s="192">
        <f t="shared" si="12"/>
        <v>8.9056400679564351</v>
      </c>
      <c r="W22" s="193"/>
      <c r="X22" s="196">
        <f t="shared" si="15"/>
        <v>0</v>
      </c>
      <c r="Y22" s="196">
        <f t="shared" si="13"/>
        <v>0</v>
      </c>
      <c r="Z22" s="196">
        <f t="shared" si="14"/>
        <v>0</v>
      </c>
      <c r="AA22" s="196">
        <f t="shared" si="16"/>
        <v>0</v>
      </c>
      <c r="AB22" s="196">
        <f t="shared" si="2"/>
        <v>0</v>
      </c>
    </row>
    <row r="23" spans="1:28">
      <c r="A23" s="298"/>
      <c r="B23" s="185">
        <v>73</v>
      </c>
      <c r="C23" s="185">
        <v>749</v>
      </c>
      <c r="D23" s="185">
        <v>128</v>
      </c>
      <c r="E23" s="185">
        <v>603.4</v>
      </c>
      <c r="F23" s="185">
        <v>7.37</v>
      </c>
      <c r="G23" s="185">
        <v>30</v>
      </c>
      <c r="H23" s="185">
        <v>64.34</v>
      </c>
      <c r="I23" s="185">
        <v>624</v>
      </c>
      <c r="J23" s="191">
        <f t="shared" si="3"/>
        <v>1859.143498110413</v>
      </c>
      <c r="K23" s="191">
        <f t="shared" si="4"/>
        <v>1110.143498110413</v>
      </c>
      <c r="L23" s="192">
        <f t="shared" si="5"/>
        <v>1.4821675542195101</v>
      </c>
      <c r="M23" s="192">
        <f t="shared" si="6"/>
        <v>0.67468755280275106</v>
      </c>
      <c r="N23" s="193">
        <v>3</v>
      </c>
      <c r="O23" s="191">
        <f t="shared" si="17"/>
        <v>3330.4304943312391</v>
      </c>
      <c r="P23" s="192">
        <f t="shared" si="8"/>
        <v>6.5814579564442139</v>
      </c>
      <c r="Q23" s="192">
        <f t="shared" si="9"/>
        <v>15.891856750971201</v>
      </c>
      <c r="R23" s="192">
        <f t="shared" si="10"/>
        <v>9.4894457920670927</v>
      </c>
      <c r="S23" s="192">
        <f t="shared" si="11"/>
        <v>17.991004648322175</v>
      </c>
      <c r="T23" s="194">
        <f t="shared" si="0"/>
        <v>12.138306898639406</v>
      </c>
      <c r="U23" s="195">
        <f t="shared" si="1"/>
        <v>1.3487007665154895</v>
      </c>
      <c r="V23" s="192">
        <f t="shared" si="12"/>
        <v>9.4894438178439522</v>
      </c>
      <c r="W23" s="193"/>
      <c r="X23" s="196">
        <f t="shared" si="15"/>
        <v>0</v>
      </c>
      <c r="Y23" s="196">
        <f t="shared" si="13"/>
        <v>0</v>
      </c>
      <c r="Z23" s="196">
        <f t="shared" si="14"/>
        <v>0</v>
      </c>
      <c r="AA23" s="196">
        <f t="shared" si="16"/>
        <v>0</v>
      </c>
      <c r="AB23" s="196">
        <f t="shared" si="2"/>
        <v>0</v>
      </c>
    </row>
    <row r="24" spans="1:28">
      <c r="A24" s="299"/>
      <c r="B24" s="185">
        <v>89</v>
      </c>
      <c r="C24" s="185">
        <v>800</v>
      </c>
      <c r="D24" s="185">
        <v>145</v>
      </c>
      <c r="E24" s="185">
        <v>605</v>
      </c>
      <c r="F24" s="185">
        <v>7.34</v>
      </c>
      <c r="G24" s="185">
        <v>30</v>
      </c>
      <c r="H24" s="185">
        <v>64.34</v>
      </c>
      <c r="I24" s="185">
        <v>679</v>
      </c>
      <c r="J24" s="191">
        <f t="shared" si="3"/>
        <v>2014.7755354548417</v>
      </c>
      <c r="K24" s="191">
        <f t="shared" si="4"/>
        <v>1214.7755354548417</v>
      </c>
      <c r="L24" s="192">
        <f t="shared" si="5"/>
        <v>1.5184694193185522</v>
      </c>
      <c r="M24" s="192">
        <f t="shared" si="6"/>
        <v>0.65855787892572304</v>
      </c>
      <c r="N24" s="193">
        <v>3</v>
      </c>
      <c r="O24" s="191">
        <f t="shared" si="17"/>
        <v>3644.3266063645251</v>
      </c>
      <c r="P24" s="192">
        <f t="shared" si="8"/>
        <v>6.7012438733798794</v>
      </c>
      <c r="Q24" s="192">
        <f t="shared" si="9"/>
        <v>15.371152680604915</v>
      </c>
      <c r="R24" s="192">
        <f t="shared" si="10"/>
        <v>9.2677818940880616</v>
      </c>
      <c r="S24" s="192">
        <f t="shared" si="11"/>
        <v>18.403645497172505</v>
      </c>
      <c r="T24" s="194">
        <f t="shared" si="0"/>
        <v>12.119865743118858</v>
      </c>
      <c r="U24" s="195">
        <f t="shared" si="1"/>
        <v>1.3466517492354286</v>
      </c>
      <c r="V24" s="192">
        <f t="shared" si="12"/>
        <v>9.2677799659807878</v>
      </c>
      <c r="W24" s="193"/>
      <c r="X24" s="196">
        <f t="shared" si="15"/>
        <v>0</v>
      </c>
      <c r="Y24" s="196">
        <f t="shared" si="13"/>
        <v>0</v>
      </c>
      <c r="Z24" s="196">
        <f t="shared" si="14"/>
        <v>0</v>
      </c>
      <c r="AA24" s="196">
        <f t="shared" si="16"/>
        <v>0</v>
      </c>
      <c r="AB24" s="196">
        <f t="shared" si="2"/>
        <v>0</v>
      </c>
    </row>
    <row r="25" spans="1:28">
      <c r="A25" s="300" t="s">
        <v>740</v>
      </c>
      <c r="B25" s="185">
        <v>50</v>
      </c>
      <c r="C25" s="185">
        <v>483</v>
      </c>
      <c r="D25" s="185">
        <v>81</v>
      </c>
      <c r="E25" s="185">
        <v>609.20000000000005</v>
      </c>
      <c r="F25" s="185">
        <v>7.27</v>
      </c>
      <c r="G25" s="185">
        <v>30</v>
      </c>
      <c r="H25" s="185">
        <v>64.34</v>
      </c>
      <c r="I25" s="185">
        <v>277</v>
      </c>
      <c r="J25" s="191">
        <f t="shared" si="3"/>
        <v>814.09486332754238</v>
      </c>
      <c r="K25" s="191">
        <f t="shared" si="4"/>
        <v>331.09486332754238</v>
      </c>
      <c r="L25" s="192">
        <f t="shared" si="5"/>
        <v>0.68549661144418716</v>
      </c>
      <c r="M25" s="192">
        <f t="shared" si="6"/>
        <v>1.4587964160657556</v>
      </c>
      <c r="N25" s="193">
        <v>3</v>
      </c>
      <c r="O25" s="191">
        <f t="shared" si="17"/>
        <v>993.28458998262715</v>
      </c>
      <c r="P25" s="192">
        <f t="shared" si="8"/>
        <v>50.678366592659586</v>
      </c>
      <c r="Q25" s="192">
        <f t="shared" si="9"/>
        <v>4.5100855428345845</v>
      </c>
      <c r="R25" s="192">
        <f t="shared" si="10"/>
        <v>1.8342655428345847</v>
      </c>
      <c r="S25" s="192">
        <f t="shared" si="11"/>
        <v>12.555047469949399</v>
      </c>
      <c r="T25" s="194">
        <f t="shared" si="0"/>
        <v>18.315258252697614</v>
      </c>
      <c r="U25" s="195">
        <f t="shared" si="1"/>
        <v>2.0350286947441796</v>
      </c>
      <c r="V25" s="192">
        <f t="shared" si="12"/>
        <v>1.8342651612264746</v>
      </c>
      <c r="W25" s="193">
        <v>350</v>
      </c>
      <c r="X25" s="196">
        <f t="shared" si="15"/>
        <v>1277.8978832441974</v>
      </c>
      <c r="Y25" s="196">
        <f t="shared" si="13"/>
        <v>875.99466873559675</v>
      </c>
      <c r="Z25" s="196">
        <f t="shared" si="14"/>
        <v>2153.892551979794</v>
      </c>
      <c r="AA25" s="196">
        <f t="shared" si="16"/>
        <v>2627.9840062067901</v>
      </c>
      <c r="AB25" s="196">
        <f t="shared" si="2"/>
        <v>732.87311316489161</v>
      </c>
    </row>
    <row r="26" spans="1:28">
      <c r="A26" s="298"/>
      <c r="B26" s="185">
        <v>100</v>
      </c>
      <c r="C26" s="185">
        <v>565</v>
      </c>
      <c r="D26" s="185">
        <v>165</v>
      </c>
      <c r="E26" s="185">
        <v>603.79999999999995</v>
      </c>
      <c r="F26" s="185">
        <v>7.12</v>
      </c>
      <c r="G26" s="185">
        <v>30</v>
      </c>
      <c r="H26" s="185">
        <v>64.34</v>
      </c>
      <c r="I26" s="185">
        <v>375</v>
      </c>
      <c r="J26" s="191">
        <f t="shared" si="3"/>
        <v>1079.3743563552</v>
      </c>
      <c r="K26" s="191">
        <f t="shared" si="4"/>
        <v>514.37435635520001</v>
      </c>
      <c r="L26" s="192">
        <f t="shared" si="5"/>
        <v>0.91039709089415932</v>
      </c>
      <c r="M26" s="192">
        <f t="shared" si="6"/>
        <v>1.0984217875936269</v>
      </c>
      <c r="N26" s="193">
        <v>3</v>
      </c>
      <c r="O26" s="191">
        <f t="shared" si="17"/>
        <v>1543.1230690656</v>
      </c>
      <c r="P26" s="192">
        <f t="shared" si="8"/>
        <v>41.995124423225647</v>
      </c>
      <c r="Q26" s="192">
        <f t="shared" si="9"/>
        <v>4.0476538363320005</v>
      </c>
      <c r="R26" s="192">
        <f t="shared" si="10"/>
        <v>1.9289038363319999</v>
      </c>
      <c r="S26" s="192">
        <f t="shared" si="11"/>
        <v>14.83620952059778</v>
      </c>
      <c r="T26" s="194">
        <f t="shared" si="0"/>
        <v>16.296415782728598</v>
      </c>
      <c r="U26" s="195">
        <f t="shared" si="1"/>
        <v>1.8107128647476218</v>
      </c>
      <c r="V26" s="192">
        <f t="shared" si="12"/>
        <v>1.9289034350349514</v>
      </c>
      <c r="W26" s="193">
        <v>350</v>
      </c>
      <c r="X26" s="196">
        <f t="shared" si="15"/>
        <v>1057.0182117636384</v>
      </c>
      <c r="Y26" s="196">
        <f t="shared" si="13"/>
        <v>962.3063050117629</v>
      </c>
      <c r="Z26" s="196">
        <f t="shared" si="14"/>
        <v>2019.3245167754012</v>
      </c>
      <c r="AA26" s="196">
        <f t="shared" si="16"/>
        <v>2886.9189150352886</v>
      </c>
      <c r="AB26" s="196">
        <f t="shared" si="2"/>
        <v>701.560760020114</v>
      </c>
    </row>
    <row r="27" spans="1:28">
      <c r="A27" s="298"/>
      <c r="B27" s="185">
        <v>150</v>
      </c>
      <c r="C27" s="185">
        <v>671</v>
      </c>
      <c r="D27" s="185">
        <v>251</v>
      </c>
      <c r="E27" s="185">
        <v>596.9</v>
      </c>
      <c r="F27" s="185">
        <v>7.17</v>
      </c>
      <c r="G27" s="185">
        <v>30</v>
      </c>
      <c r="H27" s="185">
        <v>64.34</v>
      </c>
      <c r="I27" s="185">
        <v>495</v>
      </c>
      <c r="J27" s="191">
        <f t="shared" si="3"/>
        <v>1434.7795868382243</v>
      </c>
      <c r="K27" s="191">
        <f t="shared" si="4"/>
        <v>763.7795868382243</v>
      </c>
      <c r="L27" s="192">
        <f t="shared" si="5"/>
        <v>1.1382706212194103</v>
      </c>
      <c r="M27" s="192">
        <f t="shared" si="6"/>
        <v>0.87852570501091976</v>
      </c>
      <c r="N27" s="193">
        <v>3</v>
      </c>
      <c r="O27" s="191">
        <f t="shared" si="17"/>
        <v>2291.3387605146727</v>
      </c>
      <c r="P27" s="192">
        <f t="shared" si="8"/>
        <v>28.570158883980422</v>
      </c>
      <c r="Q27" s="192">
        <f t="shared" si="9"/>
        <v>4.7347726365661398</v>
      </c>
      <c r="R27" s="192">
        <f t="shared" si="10"/>
        <v>2.5204726365661405</v>
      </c>
      <c r="S27" s="192">
        <f t="shared" si="11"/>
        <v>16.375088458594075</v>
      </c>
      <c r="T27" s="194">
        <f t="shared" si="0"/>
        <v>14.385936132702536</v>
      </c>
      <c r="U27" s="195">
        <f t="shared" si="1"/>
        <v>1.5984373480780596</v>
      </c>
      <c r="V27" s="192">
        <f t="shared" si="12"/>
        <v>2.5204721121966975</v>
      </c>
      <c r="W27" s="193">
        <v>350</v>
      </c>
      <c r="X27" s="196">
        <f t="shared" si="15"/>
        <v>1024.9694304384564</v>
      </c>
      <c r="Y27" s="196">
        <f t="shared" si="13"/>
        <v>1166.6925903160868</v>
      </c>
      <c r="Z27" s="196">
        <f t="shared" si="14"/>
        <v>2191.6620207545429</v>
      </c>
      <c r="AA27" s="196">
        <f t="shared" si="16"/>
        <v>3500.07777094826</v>
      </c>
      <c r="AB27" s="196">
        <f t="shared" si="2"/>
        <v>756.12498966771363</v>
      </c>
    </row>
    <row r="28" spans="1:28">
      <c r="A28" s="298"/>
      <c r="B28" s="185">
        <v>201</v>
      </c>
      <c r="C28" s="185">
        <v>691</v>
      </c>
      <c r="D28" s="185">
        <v>337</v>
      </c>
      <c r="E28" s="185">
        <v>594</v>
      </c>
      <c r="F28" s="185">
        <v>7.12</v>
      </c>
      <c r="G28" s="185">
        <v>30</v>
      </c>
      <c r="H28" s="185">
        <v>64.34</v>
      </c>
      <c r="I28" s="185">
        <v>528</v>
      </c>
      <c r="J28" s="191">
        <f t="shared" si="3"/>
        <v>1519.7590937481218</v>
      </c>
      <c r="K28" s="191">
        <f t="shared" si="4"/>
        <v>828.75909374812181</v>
      </c>
      <c r="L28" s="192">
        <f t="shared" si="5"/>
        <v>1.1993619301709433</v>
      </c>
      <c r="M28" s="192">
        <f t="shared" si="6"/>
        <v>0.83377667311607218</v>
      </c>
      <c r="N28" s="193">
        <v>3</v>
      </c>
      <c r="O28" s="191">
        <f t="shared" si="17"/>
        <v>2486.2772812443654</v>
      </c>
      <c r="P28" s="192">
        <f t="shared" si="8"/>
        <v>32.515986480703155</v>
      </c>
      <c r="Q28" s="192">
        <f t="shared" si="9"/>
        <v>3.9922029925323796</v>
      </c>
      <c r="R28" s="192">
        <f t="shared" si="10"/>
        <v>2.177038813427902</v>
      </c>
      <c r="S28" s="192">
        <f t="shared" si="11"/>
        <v>17.080320402063595</v>
      </c>
      <c r="T28" s="194">
        <f t="shared" si="0"/>
        <v>14.241172720589159</v>
      </c>
      <c r="U28" s="195">
        <f t="shared" si="1"/>
        <v>1.5823525245099066</v>
      </c>
      <c r="V28" s="192">
        <f t="shared" si="12"/>
        <v>2.1770383605078378</v>
      </c>
      <c r="W28" s="193">
        <v>350</v>
      </c>
      <c r="X28" s="196">
        <f t="shared" si="15"/>
        <v>911.83034447995203</v>
      </c>
      <c r="Y28" s="196">
        <f t="shared" si="13"/>
        <v>1093.6146019439113</v>
      </c>
      <c r="Z28" s="196">
        <f t="shared" si="14"/>
        <v>2005.4449464238635</v>
      </c>
      <c r="AA28" s="196">
        <f t="shared" si="16"/>
        <v>3280.8438058317342</v>
      </c>
      <c r="AB28" s="196">
        <f t="shared" si="2"/>
        <v>696.73867132476801</v>
      </c>
    </row>
    <row r="29" spans="1:28">
      <c r="A29" s="299"/>
      <c r="B29" s="185"/>
      <c r="C29" s="185"/>
      <c r="D29" s="185"/>
      <c r="E29" s="185"/>
      <c r="F29" s="185"/>
      <c r="G29" s="185">
        <v>30</v>
      </c>
      <c r="H29" s="185">
        <v>64.34</v>
      </c>
      <c r="I29" s="185"/>
      <c r="J29" s="191">
        <f t="shared" si="3"/>
        <v>0</v>
      </c>
      <c r="K29" s="191">
        <f t="shared" si="4"/>
        <v>0</v>
      </c>
      <c r="L29" s="192" t="e">
        <f t="shared" si="5"/>
        <v>#DIV/0!</v>
      </c>
      <c r="M29" s="192" t="e">
        <f t="shared" si="6"/>
        <v>#DIV/0!</v>
      </c>
      <c r="N29" s="193">
        <v>3</v>
      </c>
      <c r="O29" s="192">
        <f t="shared" si="17"/>
        <v>0</v>
      </c>
      <c r="P29" s="192"/>
      <c r="Q29" s="192" t="e">
        <f t="shared" si="9"/>
        <v>#DIV/0!</v>
      </c>
      <c r="R29" s="192" t="e">
        <f t="shared" si="10"/>
        <v>#DIV/0!</v>
      </c>
      <c r="S29" s="192" t="e">
        <f t="shared" si="11"/>
        <v>#DIV/0!</v>
      </c>
      <c r="T29" s="194" t="e">
        <f t="shared" si="0"/>
        <v>#DIV/0!</v>
      </c>
      <c r="U29" s="192" t="e">
        <f t="shared" si="1"/>
        <v>#DIV/0!</v>
      </c>
      <c r="V29" s="192" t="e">
        <f t="shared" si="12"/>
        <v>#DIV/0!</v>
      </c>
      <c r="W29" s="193"/>
      <c r="X29" s="196" t="e">
        <f t="shared" si="15"/>
        <v>#DIV/0!</v>
      </c>
      <c r="Y29" s="196" t="e">
        <f t="shared" si="13"/>
        <v>#DIV/0!</v>
      </c>
      <c r="Z29" s="196" t="e">
        <f t="shared" si="14"/>
        <v>#DIV/0!</v>
      </c>
      <c r="AA29" s="196" t="e">
        <f t="shared" si="16"/>
        <v>#DIV/0!</v>
      </c>
      <c r="AB29" s="196" t="e">
        <f t="shared" si="2"/>
        <v>#DIV/0!</v>
      </c>
    </row>
    <row r="30" spans="1:28">
      <c r="V30" s="197"/>
    </row>
  </sheetData>
  <protectedRanges>
    <protectedRange sqref="G6:G8 B6:B8 B1:G5 H1:H12" name="범위1"/>
    <protectedRange sqref="B17:B19 B14:F16 H14 H16 H18 H20 H22 H24 H26 H28 G14:G29" name="범위1_1"/>
  </protectedRanges>
  <mergeCells count="4">
    <mergeCell ref="A1:A2"/>
    <mergeCell ref="A3:A13"/>
    <mergeCell ref="A14:A24"/>
    <mergeCell ref="A25:A29"/>
  </mergeCells>
  <phoneticPr fontId="8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workbookViewId="0">
      <selection activeCell="F25" sqref="F25"/>
    </sheetView>
  </sheetViews>
  <sheetFormatPr defaultRowHeight="14.4"/>
  <cols>
    <col min="13" max="13" width="14.19921875" bestFit="1" customWidth="1"/>
    <col min="14" max="14" width="20.3984375" bestFit="1" customWidth="1"/>
    <col min="17" max="17" width="23.796875" bestFit="1" customWidth="1"/>
    <col min="18" max="18" width="11.3984375" bestFit="1" customWidth="1"/>
    <col min="19" max="19" width="25.09765625" bestFit="1" customWidth="1"/>
    <col min="20" max="20" width="8" bestFit="1" customWidth="1"/>
    <col min="21" max="21" width="10" bestFit="1" customWidth="1"/>
    <col min="22" max="22" width="30.796875" bestFit="1" customWidth="1"/>
  </cols>
  <sheetData>
    <row r="1" spans="1:22" ht="15" thickBot="1"/>
    <row r="2" spans="1:22" ht="18" thickBot="1">
      <c r="A2" s="313" t="s">
        <v>586</v>
      </c>
      <c r="B2" s="303" t="s">
        <v>587</v>
      </c>
      <c r="C2" s="303" t="s">
        <v>588</v>
      </c>
      <c r="D2" s="303" t="s">
        <v>589</v>
      </c>
      <c r="E2" s="303" t="s">
        <v>590</v>
      </c>
      <c r="F2" s="305" t="s">
        <v>591</v>
      </c>
      <c r="G2" s="307" t="s">
        <v>592</v>
      </c>
      <c r="H2" s="303" t="s">
        <v>593</v>
      </c>
      <c r="I2" s="307" t="s">
        <v>594</v>
      </c>
      <c r="J2" s="315" t="s">
        <v>595</v>
      </c>
      <c r="K2" s="303" t="s">
        <v>596</v>
      </c>
      <c r="L2" s="305" t="s">
        <v>597</v>
      </c>
      <c r="M2" s="303" t="s">
        <v>598</v>
      </c>
      <c r="N2" s="303" t="s">
        <v>599</v>
      </c>
      <c r="O2" s="305" t="s">
        <v>600</v>
      </c>
      <c r="P2" s="303" t="s">
        <v>601</v>
      </c>
      <c r="Q2" s="303" t="s">
        <v>602</v>
      </c>
      <c r="R2" s="303"/>
      <c r="S2" s="307" t="s">
        <v>603</v>
      </c>
      <c r="T2" s="309" t="s">
        <v>604</v>
      </c>
      <c r="U2" s="311" t="s">
        <v>605</v>
      </c>
      <c r="V2" s="311" t="s">
        <v>606</v>
      </c>
    </row>
    <row r="3" spans="1:22" ht="18" thickBot="1">
      <c r="A3" s="314"/>
      <c r="B3" s="304"/>
      <c r="C3" s="304"/>
      <c r="D3" s="304"/>
      <c r="E3" s="304"/>
      <c r="F3" s="306"/>
      <c r="G3" s="308"/>
      <c r="H3" s="304"/>
      <c r="I3" s="308"/>
      <c r="J3" s="316"/>
      <c r="K3" s="304"/>
      <c r="L3" s="306"/>
      <c r="M3" s="304"/>
      <c r="N3" s="304"/>
      <c r="O3" s="306"/>
      <c r="P3" s="304"/>
      <c r="Q3" s="144" t="s">
        <v>607</v>
      </c>
      <c r="R3" s="144" t="s">
        <v>608</v>
      </c>
      <c r="S3" s="308"/>
      <c r="T3" s="310"/>
      <c r="U3" s="312"/>
      <c r="V3" s="312"/>
    </row>
    <row r="4" spans="1:22" ht="18" thickTop="1">
      <c r="A4" s="145">
        <v>20</v>
      </c>
      <c r="B4" s="146">
        <v>220</v>
      </c>
      <c r="C4" s="147">
        <f t="shared" ref="C4:C47" si="0">ROUNDUP(A4/(B4*0.9)/3^0.5*1000/0.9,0)</f>
        <v>65</v>
      </c>
      <c r="D4" s="147">
        <f t="shared" ref="D4:D47" si="1">ROUNDUP(B4*2^0.5*0.93,0)</f>
        <v>290</v>
      </c>
      <c r="E4" s="147">
        <f t="shared" ref="E4:E47" si="2">ROUNDUP(A4*1000/D4,0)</f>
        <v>69</v>
      </c>
      <c r="F4" s="148">
        <f t="shared" ref="F4:F47" si="3">30.8*100*C4/(1000*10)</f>
        <v>20.02</v>
      </c>
      <c r="G4" s="149">
        <f t="shared" ref="G4:G47" si="4">C4/(H4*I4)</f>
        <v>1.8571428571428572</v>
      </c>
      <c r="H4" s="146">
        <v>35</v>
      </c>
      <c r="I4" s="146">
        <v>1</v>
      </c>
      <c r="J4" s="146">
        <f t="shared" ref="J4:J47" si="5">L4*0.052</f>
        <v>3.9</v>
      </c>
      <c r="K4" s="146">
        <v>16</v>
      </c>
      <c r="L4" s="146">
        <v>75</v>
      </c>
      <c r="M4" s="146" t="s">
        <v>609</v>
      </c>
      <c r="N4" s="146" t="s">
        <v>610</v>
      </c>
      <c r="O4" s="150">
        <f t="shared" ref="O4:O47" si="6">SUM(C4*1.25)</f>
        <v>81.25</v>
      </c>
      <c r="P4" s="146" t="s">
        <v>611</v>
      </c>
      <c r="Q4" s="146" t="s">
        <v>612</v>
      </c>
      <c r="R4" s="146"/>
      <c r="S4" s="151" t="s">
        <v>613</v>
      </c>
      <c r="T4" s="151" t="s">
        <v>611</v>
      </c>
      <c r="U4" s="146" t="s">
        <v>614</v>
      </c>
      <c r="V4" s="152" t="s">
        <v>615</v>
      </c>
    </row>
    <row r="5" spans="1:22" ht="17.399999999999999">
      <c r="A5" s="145">
        <v>20</v>
      </c>
      <c r="B5" s="146">
        <v>380</v>
      </c>
      <c r="C5" s="147">
        <f t="shared" si="0"/>
        <v>38</v>
      </c>
      <c r="D5" s="147">
        <f t="shared" si="1"/>
        <v>500</v>
      </c>
      <c r="E5" s="147">
        <f t="shared" si="2"/>
        <v>40</v>
      </c>
      <c r="F5" s="148">
        <f t="shared" si="3"/>
        <v>11.704000000000001</v>
      </c>
      <c r="G5" s="149">
        <f t="shared" si="4"/>
        <v>1.52</v>
      </c>
      <c r="H5" s="146">
        <v>25</v>
      </c>
      <c r="I5" s="146">
        <v>1</v>
      </c>
      <c r="J5" s="146">
        <f t="shared" si="5"/>
        <v>2.6</v>
      </c>
      <c r="K5" s="146">
        <v>16</v>
      </c>
      <c r="L5" s="146">
        <v>50</v>
      </c>
      <c r="M5" s="146" t="s">
        <v>616</v>
      </c>
      <c r="N5" s="146" t="s">
        <v>617</v>
      </c>
      <c r="O5" s="150">
        <f t="shared" si="6"/>
        <v>47.5</v>
      </c>
      <c r="P5" s="146" t="s">
        <v>618</v>
      </c>
      <c r="Q5" s="146" t="s">
        <v>612</v>
      </c>
      <c r="R5" s="146"/>
      <c r="S5" s="151" t="s">
        <v>613</v>
      </c>
      <c r="T5" s="151" t="s">
        <v>611</v>
      </c>
      <c r="U5" s="146" t="s">
        <v>614</v>
      </c>
      <c r="V5" s="152" t="s">
        <v>615</v>
      </c>
    </row>
    <row r="6" spans="1:22" ht="17.399999999999999">
      <c r="A6" s="145">
        <v>20</v>
      </c>
      <c r="B6" s="146">
        <v>440</v>
      </c>
      <c r="C6" s="147">
        <f t="shared" si="0"/>
        <v>33</v>
      </c>
      <c r="D6" s="147">
        <f t="shared" si="1"/>
        <v>579</v>
      </c>
      <c r="E6" s="147">
        <f t="shared" si="2"/>
        <v>35</v>
      </c>
      <c r="F6" s="148">
        <f t="shared" si="3"/>
        <v>10.164</v>
      </c>
      <c r="G6" s="149">
        <f t="shared" si="4"/>
        <v>1.32</v>
      </c>
      <c r="H6" s="146">
        <v>25</v>
      </c>
      <c r="I6" s="146">
        <v>1</v>
      </c>
      <c r="J6" s="146">
        <f t="shared" si="5"/>
        <v>2.6</v>
      </c>
      <c r="K6" s="146">
        <v>16</v>
      </c>
      <c r="L6" s="146">
        <v>50</v>
      </c>
      <c r="M6" s="146" t="s">
        <v>616</v>
      </c>
      <c r="N6" s="146" t="s">
        <v>617</v>
      </c>
      <c r="O6" s="150">
        <f t="shared" si="6"/>
        <v>41.25</v>
      </c>
      <c r="P6" s="146" t="s">
        <v>618</v>
      </c>
      <c r="Q6" s="146" t="s">
        <v>612</v>
      </c>
      <c r="R6" s="146"/>
      <c r="S6" s="151" t="s">
        <v>613</v>
      </c>
      <c r="T6" s="151" t="s">
        <v>611</v>
      </c>
      <c r="U6" s="146" t="s">
        <v>614</v>
      </c>
      <c r="V6" s="152" t="s">
        <v>615</v>
      </c>
    </row>
    <row r="7" spans="1:22" ht="17.399999999999999">
      <c r="A7" s="145">
        <v>30</v>
      </c>
      <c r="B7" s="146">
        <v>220</v>
      </c>
      <c r="C7" s="147">
        <f t="shared" si="0"/>
        <v>98</v>
      </c>
      <c r="D7" s="147">
        <f t="shared" si="1"/>
        <v>290</v>
      </c>
      <c r="E7" s="147">
        <f t="shared" si="2"/>
        <v>104</v>
      </c>
      <c r="F7" s="148">
        <f t="shared" si="3"/>
        <v>30.184000000000001</v>
      </c>
      <c r="G7" s="149">
        <f t="shared" si="4"/>
        <v>1.96</v>
      </c>
      <c r="H7" s="146">
        <v>50</v>
      </c>
      <c r="I7" s="146">
        <v>1</v>
      </c>
      <c r="J7" s="146">
        <f t="shared" si="5"/>
        <v>6.5</v>
      </c>
      <c r="K7" s="146">
        <v>16</v>
      </c>
      <c r="L7" s="146">
        <v>125</v>
      </c>
      <c r="M7" s="146" t="s">
        <v>619</v>
      </c>
      <c r="N7" s="146" t="s">
        <v>620</v>
      </c>
      <c r="O7" s="150">
        <f t="shared" si="6"/>
        <v>122.5</v>
      </c>
      <c r="P7" s="146" t="s">
        <v>621</v>
      </c>
      <c r="Q7" s="146" t="s">
        <v>612</v>
      </c>
      <c r="R7" s="153" t="s">
        <v>615</v>
      </c>
      <c r="S7" s="151" t="s">
        <v>613</v>
      </c>
      <c r="T7" s="151" t="s">
        <v>622</v>
      </c>
      <c r="U7" s="146" t="s">
        <v>614</v>
      </c>
      <c r="V7" s="152" t="s">
        <v>615</v>
      </c>
    </row>
    <row r="8" spans="1:22" ht="17.399999999999999">
      <c r="A8" s="145">
        <v>30</v>
      </c>
      <c r="B8" s="146">
        <v>380</v>
      </c>
      <c r="C8" s="147">
        <f t="shared" si="0"/>
        <v>57</v>
      </c>
      <c r="D8" s="147">
        <f t="shared" si="1"/>
        <v>500</v>
      </c>
      <c r="E8" s="147">
        <f t="shared" si="2"/>
        <v>60</v>
      </c>
      <c r="F8" s="148">
        <f t="shared" si="3"/>
        <v>17.556000000000001</v>
      </c>
      <c r="G8" s="149">
        <f t="shared" si="4"/>
        <v>1.6285714285714286</v>
      </c>
      <c r="H8" s="146">
        <v>35</v>
      </c>
      <c r="I8" s="146">
        <v>1</v>
      </c>
      <c r="J8" s="146">
        <f t="shared" si="5"/>
        <v>3.9</v>
      </c>
      <c r="K8" s="146">
        <v>16</v>
      </c>
      <c r="L8" s="146">
        <v>75</v>
      </c>
      <c r="M8" s="146" t="s">
        <v>609</v>
      </c>
      <c r="N8" s="146" t="s">
        <v>610</v>
      </c>
      <c r="O8" s="150">
        <f t="shared" si="6"/>
        <v>71.25</v>
      </c>
      <c r="P8" s="146" t="s">
        <v>611</v>
      </c>
      <c r="Q8" s="146" t="s">
        <v>612</v>
      </c>
      <c r="R8" s="153" t="s">
        <v>615</v>
      </c>
      <c r="S8" s="151" t="s">
        <v>613</v>
      </c>
      <c r="T8" s="151" t="s">
        <v>611</v>
      </c>
      <c r="U8" s="146" t="s">
        <v>614</v>
      </c>
      <c r="V8" s="152" t="s">
        <v>615</v>
      </c>
    </row>
    <row r="9" spans="1:22" ht="17.399999999999999">
      <c r="A9" s="145">
        <v>30</v>
      </c>
      <c r="B9" s="146">
        <v>440</v>
      </c>
      <c r="C9" s="147">
        <f t="shared" si="0"/>
        <v>49</v>
      </c>
      <c r="D9" s="147">
        <f t="shared" si="1"/>
        <v>579</v>
      </c>
      <c r="E9" s="147">
        <f t="shared" si="2"/>
        <v>52</v>
      </c>
      <c r="F9" s="148">
        <f t="shared" si="3"/>
        <v>15.092000000000001</v>
      </c>
      <c r="G9" s="149">
        <f t="shared" si="4"/>
        <v>1.4</v>
      </c>
      <c r="H9" s="146">
        <v>35</v>
      </c>
      <c r="I9" s="146">
        <v>1</v>
      </c>
      <c r="J9" s="146">
        <f t="shared" si="5"/>
        <v>3.9</v>
      </c>
      <c r="K9" s="146">
        <v>16</v>
      </c>
      <c r="L9" s="146">
        <v>75</v>
      </c>
      <c r="M9" s="146" t="s">
        <v>609</v>
      </c>
      <c r="N9" s="146" t="s">
        <v>610</v>
      </c>
      <c r="O9" s="150">
        <f t="shared" si="6"/>
        <v>61.25</v>
      </c>
      <c r="P9" s="146" t="s">
        <v>611</v>
      </c>
      <c r="Q9" s="146" t="s">
        <v>612</v>
      </c>
      <c r="R9" s="153" t="s">
        <v>615</v>
      </c>
      <c r="S9" s="151" t="s">
        <v>613</v>
      </c>
      <c r="T9" s="151" t="s">
        <v>611</v>
      </c>
      <c r="U9" s="146" t="s">
        <v>614</v>
      </c>
      <c r="V9" s="152" t="s">
        <v>615</v>
      </c>
    </row>
    <row r="10" spans="1:22" ht="17.399999999999999">
      <c r="A10" s="145">
        <v>50</v>
      </c>
      <c r="B10" s="146">
        <v>220</v>
      </c>
      <c r="C10" s="147">
        <f t="shared" si="0"/>
        <v>162</v>
      </c>
      <c r="D10" s="147">
        <f t="shared" si="1"/>
        <v>290</v>
      </c>
      <c r="E10" s="147">
        <f t="shared" si="2"/>
        <v>173</v>
      </c>
      <c r="F10" s="148">
        <f t="shared" si="3"/>
        <v>49.896000000000001</v>
      </c>
      <c r="G10" s="149">
        <f t="shared" si="4"/>
        <v>2.3142857142857145</v>
      </c>
      <c r="H10" s="146">
        <v>70</v>
      </c>
      <c r="I10" s="146">
        <v>1</v>
      </c>
      <c r="J10" s="146">
        <f t="shared" si="5"/>
        <v>10.4</v>
      </c>
      <c r="K10" s="146">
        <v>16</v>
      </c>
      <c r="L10" s="146">
        <v>200</v>
      </c>
      <c r="M10" s="146" t="s">
        <v>623</v>
      </c>
      <c r="N10" s="146" t="s">
        <v>624</v>
      </c>
      <c r="O10" s="150">
        <f t="shared" si="6"/>
        <v>202.5</v>
      </c>
      <c r="P10" s="146" t="s">
        <v>625</v>
      </c>
      <c r="Q10" s="146" t="s">
        <v>626</v>
      </c>
      <c r="R10" s="153" t="s">
        <v>615</v>
      </c>
      <c r="S10" s="151" t="s">
        <v>627</v>
      </c>
      <c r="T10" s="151" t="s">
        <v>628</v>
      </c>
      <c r="U10" s="301" t="s">
        <v>629</v>
      </c>
      <c r="V10" s="302"/>
    </row>
    <row r="11" spans="1:22" ht="17.399999999999999">
      <c r="A11" s="145">
        <v>50</v>
      </c>
      <c r="B11" s="146">
        <v>380</v>
      </c>
      <c r="C11" s="147">
        <f t="shared" si="0"/>
        <v>94</v>
      </c>
      <c r="D11" s="147">
        <f t="shared" si="1"/>
        <v>500</v>
      </c>
      <c r="E11" s="147">
        <f t="shared" si="2"/>
        <v>100</v>
      </c>
      <c r="F11" s="148">
        <f t="shared" si="3"/>
        <v>28.952000000000002</v>
      </c>
      <c r="G11" s="149">
        <f t="shared" si="4"/>
        <v>1.3428571428571427</v>
      </c>
      <c r="H11" s="146">
        <v>70</v>
      </c>
      <c r="I11" s="146">
        <v>1</v>
      </c>
      <c r="J11" s="146">
        <f t="shared" si="5"/>
        <v>6.5</v>
      </c>
      <c r="K11" s="146">
        <v>16</v>
      </c>
      <c r="L11" s="146">
        <v>125</v>
      </c>
      <c r="M11" s="146" t="s">
        <v>630</v>
      </c>
      <c r="N11" s="146" t="s">
        <v>620</v>
      </c>
      <c r="O11" s="150">
        <f t="shared" si="6"/>
        <v>117.5</v>
      </c>
      <c r="P11" s="146" t="s">
        <v>621</v>
      </c>
      <c r="Q11" s="146" t="s">
        <v>612</v>
      </c>
      <c r="R11" s="153" t="s">
        <v>615</v>
      </c>
      <c r="S11" s="151" t="s">
        <v>613</v>
      </c>
      <c r="T11" s="151" t="s">
        <v>622</v>
      </c>
      <c r="U11" s="146" t="s">
        <v>614</v>
      </c>
      <c r="V11" s="152" t="s">
        <v>615</v>
      </c>
    </row>
    <row r="12" spans="1:22" ht="17.399999999999999">
      <c r="A12" s="145">
        <v>50</v>
      </c>
      <c r="B12" s="146">
        <v>440</v>
      </c>
      <c r="C12" s="147">
        <f t="shared" si="0"/>
        <v>81</v>
      </c>
      <c r="D12" s="147">
        <f t="shared" si="1"/>
        <v>579</v>
      </c>
      <c r="E12" s="147">
        <f t="shared" si="2"/>
        <v>87</v>
      </c>
      <c r="F12" s="148">
        <f t="shared" si="3"/>
        <v>24.948</v>
      </c>
      <c r="G12" s="149">
        <f t="shared" si="4"/>
        <v>1.1571428571428573</v>
      </c>
      <c r="H12" s="146">
        <v>70</v>
      </c>
      <c r="I12" s="146">
        <v>1</v>
      </c>
      <c r="J12" s="146">
        <f t="shared" si="5"/>
        <v>5.2</v>
      </c>
      <c r="K12" s="146">
        <v>16</v>
      </c>
      <c r="L12" s="146">
        <v>100</v>
      </c>
      <c r="M12" s="146" t="s">
        <v>630</v>
      </c>
      <c r="N12" s="146" t="s">
        <v>620</v>
      </c>
      <c r="O12" s="150">
        <f t="shared" si="6"/>
        <v>101.25</v>
      </c>
      <c r="P12" s="146" t="s">
        <v>621</v>
      </c>
      <c r="Q12" s="146" t="s">
        <v>612</v>
      </c>
      <c r="R12" s="153" t="s">
        <v>615</v>
      </c>
      <c r="S12" s="151" t="s">
        <v>613</v>
      </c>
      <c r="T12" s="151" t="s">
        <v>622</v>
      </c>
      <c r="U12" s="146" t="s">
        <v>614</v>
      </c>
      <c r="V12" s="152" t="s">
        <v>615</v>
      </c>
    </row>
    <row r="13" spans="1:22" ht="17.399999999999999">
      <c r="A13" s="145">
        <v>75</v>
      </c>
      <c r="B13" s="146">
        <v>220</v>
      </c>
      <c r="C13" s="147">
        <f t="shared" si="0"/>
        <v>243</v>
      </c>
      <c r="D13" s="147">
        <f t="shared" si="1"/>
        <v>290</v>
      </c>
      <c r="E13" s="147">
        <f t="shared" si="2"/>
        <v>259</v>
      </c>
      <c r="F13" s="148">
        <f t="shared" si="3"/>
        <v>74.843999999999994</v>
      </c>
      <c r="G13" s="149">
        <f t="shared" si="4"/>
        <v>1.7357142857142858</v>
      </c>
      <c r="H13" s="146">
        <v>70</v>
      </c>
      <c r="I13" s="146">
        <v>2</v>
      </c>
      <c r="J13" s="146">
        <f t="shared" si="5"/>
        <v>15.6</v>
      </c>
      <c r="K13" s="146">
        <v>16</v>
      </c>
      <c r="L13" s="146">
        <v>300</v>
      </c>
      <c r="M13" s="146" t="s">
        <v>631</v>
      </c>
      <c r="N13" s="146" t="s">
        <v>632</v>
      </c>
      <c r="O13" s="150">
        <f t="shared" si="6"/>
        <v>303.75</v>
      </c>
      <c r="P13" s="146" t="s">
        <v>628</v>
      </c>
      <c r="Q13" s="146" t="s">
        <v>626</v>
      </c>
      <c r="R13" s="153" t="s">
        <v>615</v>
      </c>
      <c r="S13" s="151" t="s">
        <v>627</v>
      </c>
      <c r="T13" s="151" t="s">
        <v>628</v>
      </c>
      <c r="U13" s="301" t="s">
        <v>629</v>
      </c>
      <c r="V13" s="302"/>
    </row>
    <row r="14" spans="1:22" ht="17.399999999999999">
      <c r="A14" s="145">
        <v>75</v>
      </c>
      <c r="B14" s="146">
        <v>380</v>
      </c>
      <c r="C14" s="147">
        <f t="shared" si="0"/>
        <v>141</v>
      </c>
      <c r="D14" s="147">
        <f t="shared" si="1"/>
        <v>500</v>
      </c>
      <c r="E14" s="147">
        <f t="shared" si="2"/>
        <v>150</v>
      </c>
      <c r="F14" s="148">
        <f t="shared" si="3"/>
        <v>43.427999999999997</v>
      </c>
      <c r="G14" s="149">
        <f t="shared" si="4"/>
        <v>2.0142857142857142</v>
      </c>
      <c r="H14" s="146">
        <v>70</v>
      </c>
      <c r="I14" s="146">
        <v>1</v>
      </c>
      <c r="J14" s="146">
        <f t="shared" si="5"/>
        <v>9.1</v>
      </c>
      <c r="K14" s="146">
        <v>16</v>
      </c>
      <c r="L14" s="146">
        <v>175</v>
      </c>
      <c r="M14" s="146" t="s">
        <v>623</v>
      </c>
      <c r="N14" s="146" t="s">
        <v>624</v>
      </c>
      <c r="O14" s="150">
        <f t="shared" si="6"/>
        <v>176.25</v>
      </c>
      <c r="P14" s="146" t="s">
        <v>625</v>
      </c>
      <c r="Q14" s="146" t="s">
        <v>626</v>
      </c>
      <c r="R14" s="153" t="s">
        <v>615</v>
      </c>
      <c r="S14" s="151" t="s">
        <v>627</v>
      </c>
      <c r="T14" s="151" t="s">
        <v>625</v>
      </c>
      <c r="U14" s="301" t="s">
        <v>629</v>
      </c>
      <c r="V14" s="302"/>
    </row>
    <row r="15" spans="1:22" ht="17.399999999999999">
      <c r="A15" s="145">
        <v>75</v>
      </c>
      <c r="B15" s="146">
        <v>440</v>
      </c>
      <c r="C15" s="147">
        <f t="shared" si="0"/>
        <v>122</v>
      </c>
      <c r="D15" s="147">
        <f t="shared" si="1"/>
        <v>579</v>
      </c>
      <c r="E15" s="147">
        <f t="shared" si="2"/>
        <v>130</v>
      </c>
      <c r="F15" s="148">
        <f t="shared" si="3"/>
        <v>37.576000000000001</v>
      </c>
      <c r="G15" s="149">
        <f t="shared" si="4"/>
        <v>1.7428571428571429</v>
      </c>
      <c r="H15" s="146">
        <v>70</v>
      </c>
      <c r="I15" s="146">
        <v>1</v>
      </c>
      <c r="J15" s="146">
        <f t="shared" si="5"/>
        <v>7.8</v>
      </c>
      <c r="K15" s="146">
        <v>16</v>
      </c>
      <c r="L15" s="146">
        <v>150</v>
      </c>
      <c r="M15" s="146" t="s">
        <v>623</v>
      </c>
      <c r="N15" s="146" t="s">
        <v>624</v>
      </c>
      <c r="O15" s="150">
        <f t="shared" si="6"/>
        <v>152.5</v>
      </c>
      <c r="P15" s="146" t="s">
        <v>625</v>
      </c>
      <c r="Q15" s="146" t="s">
        <v>626</v>
      </c>
      <c r="R15" s="153" t="s">
        <v>615</v>
      </c>
      <c r="S15" s="151" t="s">
        <v>627</v>
      </c>
      <c r="T15" s="151" t="s">
        <v>625</v>
      </c>
      <c r="U15" s="301" t="s">
        <v>629</v>
      </c>
      <c r="V15" s="302"/>
    </row>
    <row r="16" spans="1:22" ht="17.399999999999999">
      <c r="A16" s="145">
        <v>100</v>
      </c>
      <c r="B16" s="146">
        <v>380</v>
      </c>
      <c r="C16" s="147">
        <f t="shared" si="0"/>
        <v>188</v>
      </c>
      <c r="D16" s="147">
        <f t="shared" si="1"/>
        <v>500</v>
      </c>
      <c r="E16" s="147">
        <f t="shared" si="2"/>
        <v>200</v>
      </c>
      <c r="F16" s="148">
        <f t="shared" si="3"/>
        <v>57.904000000000003</v>
      </c>
      <c r="G16" s="149">
        <f t="shared" si="4"/>
        <v>1.9789473684210526</v>
      </c>
      <c r="H16" s="146">
        <v>95</v>
      </c>
      <c r="I16" s="146">
        <v>1</v>
      </c>
      <c r="J16" s="146">
        <f t="shared" si="5"/>
        <v>10.4</v>
      </c>
      <c r="K16" s="146">
        <v>16</v>
      </c>
      <c r="L16" s="146">
        <v>200</v>
      </c>
      <c r="M16" s="146" t="s">
        <v>623</v>
      </c>
      <c r="N16" s="146" t="s">
        <v>633</v>
      </c>
      <c r="O16" s="150">
        <f t="shared" si="6"/>
        <v>235</v>
      </c>
      <c r="P16" s="146" t="s">
        <v>634</v>
      </c>
      <c r="Q16" s="146" t="s">
        <v>626</v>
      </c>
      <c r="R16" s="153" t="s">
        <v>615</v>
      </c>
      <c r="S16" s="151" t="s">
        <v>627</v>
      </c>
      <c r="T16" s="151" t="s">
        <v>628</v>
      </c>
      <c r="U16" s="301" t="s">
        <v>629</v>
      </c>
      <c r="V16" s="302"/>
    </row>
    <row r="17" spans="1:22" ht="17.399999999999999">
      <c r="A17" s="145">
        <v>100</v>
      </c>
      <c r="B17" s="146">
        <v>440</v>
      </c>
      <c r="C17" s="147">
        <f t="shared" si="0"/>
        <v>162</v>
      </c>
      <c r="D17" s="147">
        <f t="shared" si="1"/>
        <v>579</v>
      </c>
      <c r="E17" s="147">
        <f t="shared" si="2"/>
        <v>173</v>
      </c>
      <c r="F17" s="148">
        <f t="shared" si="3"/>
        <v>49.896000000000001</v>
      </c>
      <c r="G17" s="149">
        <f t="shared" si="4"/>
        <v>1.7052631578947368</v>
      </c>
      <c r="H17" s="146">
        <v>95</v>
      </c>
      <c r="I17" s="146">
        <v>1</v>
      </c>
      <c r="J17" s="146">
        <f t="shared" si="5"/>
        <v>10.4</v>
      </c>
      <c r="K17" s="146">
        <v>16</v>
      </c>
      <c r="L17" s="146">
        <v>200</v>
      </c>
      <c r="M17" s="146" t="s">
        <v>623</v>
      </c>
      <c r="N17" s="146" t="s">
        <v>633</v>
      </c>
      <c r="O17" s="150">
        <f t="shared" si="6"/>
        <v>202.5</v>
      </c>
      <c r="P17" s="146" t="s">
        <v>634</v>
      </c>
      <c r="Q17" s="146" t="s">
        <v>626</v>
      </c>
      <c r="R17" s="153" t="s">
        <v>615</v>
      </c>
      <c r="S17" s="151" t="s">
        <v>627</v>
      </c>
      <c r="T17" s="151" t="s">
        <v>628</v>
      </c>
      <c r="U17" s="301" t="s">
        <v>629</v>
      </c>
      <c r="V17" s="302"/>
    </row>
    <row r="18" spans="1:22" ht="17.399999999999999">
      <c r="A18" s="145">
        <v>125</v>
      </c>
      <c r="B18" s="146">
        <v>380</v>
      </c>
      <c r="C18" s="147">
        <f t="shared" si="0"/>
        <v>235</v>
      </c>
      <c r="D18" s="147">
        <f t="shared" si="1"/>
        <v>500</v>
      </c>
      <c r="E18" s="147">
        <f t="shared" si="2"/>
        <v>250</v>
      </c>
      <c r="F18" s="148">
        <f t="shared" si="3"/>
        <v>72.38</v>
      </c>
      <c r="G18" s="149">
        <f t="shared" si="4"/>
        <v>1.6785714285714286</v>
      </c>
      <c r="H18" s="146">
        <v>70</v>
      </c>
      <c r="I18" s="146">
        <v>2</v>
      </c>
      <c r="J18" s="146">
        <f t="shared" si="5"/>
        <v>13</v>
      </c>
      <c r="K18" s="146">
        <v>16</v>
      </c>
      <c r="L18" s="146">
        <v>250</v>
      </c>
      <c r="M18" s="146" t="s">
        <v>631</v>
      </c>
      <c r="N18" s="146" t="s">
        <v>632</v>
      </c>
      <c r="O18" s="150">
        <f t="shared" si="6"/>
        <v>293.75</v>
      </c>
      <c r="P18" s="146" t="s">
        <v>628</v>
      </c>
      <c r="Q18" s="146" t="s">
        <v>626</v>
      </c>
      <c r="R18" s="153" t="s">
        <v>615</v>
      </c>
      <c r="S18" s="151" t="s">
        <v>635</v>
      </c>
      <c r="T18" s="151" t="s">
        <v>628</v>
      </c>
      <c r="U18" s="301" t="s">
        <v>629</v>
      </c>
      <c r="V18" s="302"/>
    </row>
    <row r="19" spans="1:22" ht="17.399999999999999">
      <c r="A19" s="145">
        <v>125</v>
      </c>
      <c r="B19" s="146">
        <v>440</v>
      </c>
      <c r="C19" s="147">
        <f t="shared" si="0"/>
        <v>203</v>
      </c>
      <c r="D19" s="147">
        <f t="shared" si="1"/>
        <v>579</v>
      </c>
      <c r="E19" s="147">
        <f t="shared" si="2"/>
        <v>216</v>
      </c>
      <c r="F19" s="148">
        <f t="shared" si="3"/>
        <v>62.524000000000001</v>
      </c>
      <c r="G19" s="149">
        <f t="shared" si="4"/>
        <v>1.45</v>
      </c>
      <c r="H19" s="146">
        <v>70</v>
      </c>
      <c r="I19" s="146">
        <v>2</v>
      </c>
      <c r="J19" s="146">
        <f t="shared" si="5"/>
        <v>13</v>
      </c>
      <c r="K19" s="146">
        <v>16</v>
      </c>
      <c r="L19" s="146">
        <v>250</v>
      </c>
      <c r="M19" s="146" t="s">
        <v>636</v>
      </c>
      <c r="N19" s="146" t="s">
        <v>633</v>
      </c>
      <c r="O19" s="150">
        <f t="shared" si="6"/>
        <v>253.75</v>
      </c>
      <c r="P19" s="146" t="s">
        <v>628</v>
      </c>
      <c r="Q19" s="146" t="s">
        <v>626</v>
      </c>
      <c r="R19" s="153" t="s">
        <v>615</v>
      </c>
      <c r="S19" s="151" t="s">
        <v>635</v>
      </c>
      <c r="T19" s="151" t="s">
        <v>628</v>
      </c>
      <c r="U19" s="301" t="s">
        <v>629</v>
      </c>
      <c r="V19" s="302"/>
    </row>
    <row r="20" spans="1:22" ht="17.399999999999999">
      <c r="A20" s="145">
        <v>150</v>
      </c>
      <c r="B20" s="146">
        <v>380</v>
      </c>
      <c r="C20" s="147">
        <f t="shared" si="0"/>
        <v>282</v>
      </c>
      <c r="D20" s="147">
        <f t="shared" si="1"/>
        <v>500</v>
      </c>
      <c r="E20" s="147">
        <f t="shared" si="2"/>
        <v>300</v>
      </c>
      <c r="F20" s="148">
        <f t="shared" si="3"/>
        <v>86.855999999999995</v>
      </c>
      <c r="G20" s="149">
        <f t="shared" si="4"/>
        <v>2.0142857142857142</v>
      </c>
      <c r="H20" s="146">
        <v>70</v>
      </c>
      <c r="I20" s="146">
        <v>2</v>
      </c>
      <c r="J20" s="146">
        <f t="shared" si="5"/>
        <v>15.6</v>
      </c>
      <c r="K20" s="146">
        <v>25</v>
      </c>
      <c r="L20" s="146">
        <v>300</v>
      </c>
      <c r="M20" s="146" t="s">
        <v>631</v>
      </c>
      <c r="N20" s="146" t="s">
        <v>632</v>
      </c>
      <c r="O20" s="150">
        <f t="shared" si="6"/>
        <v>352.5</v>
      </c>
      <c r="P20" s="146" t="s">
        <v>637</v>
      </c>
      <c r="Q20" s="146" t="s">
        <v>626</v>
      </c>
      <c r="R20" s="153" t="s">
        <v>615</v>
      </c>
      <c r="S20" s="151" t="s">
        <v>635</v>
      </c>
      <c r="T20" s="151" t="s">
        <v>637</v>
      </c>
      <c r="U20" s="301" t="s">
        <v>629</v>
      </c>
      <c r="V20" s="302"/>
    </row>
    <row r="21" spans="1:22" ht="17.399999999999999">
      <c r="A21" s="145">
        <v>150</v>
      </c>
      <c r="B21" s="146">
        <v>440</v>
      </c>
      <c r="C21" s="147">
        <f t="shared" si="0"/>
        <v>243</v>
      </c>
      <c r="D21" s="147">
        <f t="shared" si="1"/>
        <v>579</v>
      </c>
      <c r="E21" s="147">
        <f t="shared" si="2"/>
        <v>260</v>
      </c>
      <c r="F21" s="148">
        <f t="shared" si="3"/>
        <v>74.843999999999994</v>
      </c>
      <c r="G21" s="149">
        <f t="shared" si="4"/>
        <v>1.7357142857142858</v>
      </c>
      <c r="H21" s="146">
        <v>70</v>
      </c>
      <c r="I21" s="146">
        <v>2</v>
      </c>
      <c r="J21" s="146">
        <f t="shared" si="5"/>
        <v>15.6</v>
      </c>
      <c r="K21" s="146">
        <v>25</v>
      </c>
      <c r="L21" s="146">
        <v>300</v>
      </c>
      <c r="M21" s="146" t="s">
        <v>631</v>
      </c>
      <c r="N21" s="146" t="s">
        <v>632</v>
      </c>
      <c r="O21" s="150">
        <f t="shared" si="6"/>
        <v>303.75</v>
      </c>
      <c r="P21" s="146" t="s">
        <v>628</v>
      </c>
      <c r="Q21" s="146" t="s">
        <v>626</v>
      </c>
      <c r="R21" s="153" t="s">
        <v>615</v>
      </c>
      <c r="S21" s="151" t="s">
        <v>635</v>
      </c>
      <c r="T21" s="151" t="s">
        <v>637</v>
      </c>
      <c r="U21" s="301" t="s">
        <v>629</v>
      </c>
      <c r="V21" s="302"/>
    </row>
    <row r="22" spans="1:22" ht="17.399999999999999">
      <c r="A22" s="145">
        <v>200</v>
      </c>
      <c r="B22" s="146">
        <v>380</v>
      </c>
      <c r="C22" s="147">
        <f t="shared" si="0"/>
        <v>376</v>
      </c>
      <c r="D22" s="147">
        <f t="shared" si="1"/>
        <v>500</v>
      </c>
      <c r="E22" s="147">
        <f t="shared" si="2"/>
        <v>400</v>
      </c>
      <c r="F22" s="148">
        <f t="shared" si="3"/>
        <v>115.80800000000001</v>
      </c>
      <c r="G22" s="149">
        <f t="shared" si="4"/>
        <v>1.9789473684210526</v>
      </c>
      <c r="H22" s="146">
        <v>95</v>
      </c>
      <c r="I22" s="146">
        <v>2</v>
      </c>
      <c r="J22" s="146">
        <f t="shared" si="5"/>
        <v>20.8</v>
      </c>
      <c r="K22" s="146">
        <v>25</v>
      </c>
      <c r="L22" s="146">
        <v>400</v>
      </c>
      <c r="M22" s="146" t="s">
        <v>638</v>
      </c>
      <c r="N22" s="146" t="s">
        <v>632</v>
      </c>
      <c r="O22" s="150">
        <f t="shared" si="6"/>
        <v>470</v>
      </c>
      <c r="P22" s="146" t="s">
        <v>639</v>
      </c>
      <c r="Q22" s="146" t="s">
        <v>640</v>
      </c>
      <c r="R22" s="153" t="s">
        <v>615</v>
      </c>
      <c r="S22" s="151" t="s">
        <v>635</v>
      </c>
      <c r="T22" s="151" t="s">
        <v>639</v>
      </c>
      <c r="U22" s="301" t="s">
        <v>629</v>
      </c>
      <c r="V22" s="302"/>
    </row>
    <row r="23" spans="1:22" ht="17.399999999999999">
      <c r="A23" s="145">
        <v>200</v>
      </c>
      <c r="B23" s="146">
        <v>440</v>
      </c>
      <c r="C23" s="147">
        <f t="shared" si="0"/>
        <v>324</v>
      </c>
      <c r="D23" s="147">
        <f t="shared" si="1"/>
        <v>579</v>
      </c>
      <c r="E23" s="147">
        <f t="shared" si="2"/>
        <v>346</v>
      </c>
      <c r="F23" s="148">
        <f t="shared" si="3"/>
        <v>99.792000000000002</v>
      </c>
      <c r="G23" s="149">
        <f t="shared" si="4"/>
        <v>1.7052631578947368</v>
      </c>
      <c r="H23" s="146">
        <v>95</v>
      </c>
      <c r="I23" s="146">
        <v>2</v>
      </c>
      <c r="J23" s="146">
        <f t="shared" si="5"/>
        <v>20.8</v>
      </c>
      <c r="K23" s="146">
        <v>25</v>
      </c>
      <c r="L23" s="146">
        <v>400</v>
      </c>
      <c r="M23" s="146" t="s">
        <v>638</v>
      </c>
      <c r="N23" s="146" t="s">
        <v>632</v>
      </c>
      <c r="O23" s="150">
        <f t="shared" si="6"/>
        <v>405</v>
      </c>
      <c r="P23" s="146" t="s">
        <v>637</v>
      </c>
      <c r="Q23" s="146" t="s">
        <v>640</v>
      </c>
      <c r="R23" s="153" t="s">
        <v>615</v>
      </c>
      <c r="S23" s="151" t="s">
        <v>635</v>
      </c>
      <c r="T23" s="151" t="s">
        <v>639</v>
      </c>
      <c r="U23" s="301" t="s">
        <v>629</v>
      </c>
      <c r="V23" s="302"/>
    </row>
    <row r="24" spans="1:22" ht="17.399999999999999">
      <c r="A24" s="145">
        <v>250</v>
      </c>
      <c r="B24" s="146">
        <v>380</v>
      </c>
      <c r="C24" s="147">
        <f t="shared" si="0"/>
        <v>469</v>
      </c>
      <c r="D24" s="147">
        <f t="shared" si="1"/>
        <v>500</v>
      </c>
      <c r="E24" s="147">
        <f t="shared" si="2"/>
        <v>500</v>
      </c>
      <c r="F24" s="148">
        <f t="shared" si="3"/>
        <v>144.452</v>
      </c>
      <c r="G24" s="149">
        <f t="shared" si="4"/>
        <v>1.9541666666666666</v>
      </c>
      <c r="H24" s="146">
        <v>120</v>
      </c>
      <c r="I24" s="146">
        <v>2</v>
      </c>
      <c r="J24" s="146">
        <f t="shared" si="5"/>
        <v>26</v>
      </c>
      <c r="K24" s="146">
        <v>35</v>
      </c>
      <c r="L24" s="146">
        <v>500</v>
      </c>
      <c r="M24" s="146" t="s">
        <v>641</v>
      </c>
      <c r="N24" s="146" t="s">
        <v>642</v>
      </c>
      <c r="O24" s="150">
        <f t="shared" si="6"/>
        <v>586.25</v>
      </c>
      <c r="P24" s="146" t="s">
        <v>643</v>
      </c>
      <c r="Q24" s="146" t="s">
        <v>640</v>
      </c>
      <c r="R24" s="153" t="s">
        <v>615</v>
      </c>
      <c r="S24" s="151" t="s">
        <v>644</v>
      </c>
      <c r="T24" s="151" t="s">
        <v>643</v>
      </c>
      <c r="U24" s="301" t="s">
        <v>629</v>
      </c>
      <c r="V24" s="302"/>
    </row>
    <row r="25" spans="1:22" ht="17.399999999999999">
      <c r="A25" s="145">
        <v>250</v>
      </c>
      <c r="B25" s="146">
        <v>440</v>
      </c>
      <c r="C25" s="147">
        <f t="shared" si="0"/>
        <v>405</v>
      </c>
      <c r="D25" s="147">
        <f t="shared" si="1"/>
        <v>579</v>
      </c>
      <c r="E25" s="147">
        <f t="shared" si="2"/>
        <v>432</v>
      </c>
      <c r="F25" s="148">
        <f t="shared" si="3"/>
        <v>124.74</v>
      </c>
      <c r="G25" s="149">
        <f t="shared" si="4"/>
        <v>1.6875</v>
      </c>
      <c r="H25" s="146">
        <v>120</v>
      </c>
      <c r="I25" s="146">
        <v>2</v>
      </c>
      <c r="J25" s="146">
        <f t="shared" si="5"/>
        <v>26</v>
      </c>
      <c r="K25" s="146">
        <v>35</v>
      </c>
      <c r="L25" s="146">
        <v>500</v>
      </c>
      <c r="M25" s="146" t="s">
        <v>641</v>
      </c>
      <c r="N25" s="146" t="s">
        <v>645</v>
      </c>
      <c r="O25" s="150">
        <f t="shared" si="6"/>
        <v>506.25</v>
      </c>
      <c r="P25" s="146" t="s">
        <v>639</v>
      </c>
      <c r="Q25" s="146" t="s">
        <v>640</v>
      </c>
      <c r="R25" s="153" t="s">
        <v>615</v>
      </c>
      <c r="S25" s="151" t="s">
        <v>644</v>
      </c>
      <c r="T25" s="151" t="s">
        <v>643</v>
      </c>
      <c r="U25" s="301" t="s">
        <v>629</v>
      </c>
      <c r="V25" s="302"/>
    </row>
    <row r="26" spans="1:22" ht="17.399999999999999">
      <c r="A26" s="145">
        <v>300</v>
      </c>
      <c r="B26" s="146">
        <v>380</v>
      </c>
      <c r="C26" s="147">
        <f t="shared" si="0"/>
        <v>563</v>
      </c>
      <c r="D26" s="147">
        <f t="shared" si="1"/>
        <v>500</v>
      </c>
      <c r="E26" s="147">
        <f t="shared" si="2"/>
        <v>600</v>
      </c>
      <c r="F26" s="148">
        <f t="shared" si="3"/>
        <v>173.404</v>
      </c>
      <c r="G26" s="149">
        <f t="shared" si="4"/>
        <v>1.8766666666666667</v>
      </c>
      <c r="H26" s="146">
        <v>150</v>
      </c>
      <c r="I26" s="146">
        <v>2</v>
      </c>
      <c r="J26" s="146">
        <f t="shared" si="5"/>
        <v>32.76</v>
      </c>
      <c r="K26" s="146">
        <v>35</v>
      </c>
      <c r="L26" s="146">
        <v>630</v>
      </c>
      <c r="M26" s="146" t="s">
        <v>646</v>
      </c>
      <c r="N26" s="146" t="s">
        <v>642</v>
      </c>
      <c r="O26" s="150">
        <f t="shared" si="6"/>
        <v>703.75</v>
      </c>
      <c r="P26" s="146" t="s">
        <v>647</v>
      </c>
      <c r="Q26" s="146" t="s">
        <v>640</v>
      </c>
      <c r="R26" s="153" t="s">
        <v>615</v>
      </c>
      <c r="S26" s="151" t="s">
        <v>644</v>
      </c>
      <c r="T26" s="151" t="s">
        <v>647</v>
      </c>
      <c r="U26" s="301" t="s">
        <v>629</v>
      </c>
      <c r="V26" s="302"/>
    </row>
    <row r="27" spans="1:22" ht="17.399999999999999">
      <c r="A27" s="145">
        <v>300</v>
      </c>
      <c r="B27" s="146">
        <v>440</v>
      </c>
      <c r="C27" s="147">
        <f t="shared" si="0"/>
        <v>486</v>
      </c>
      <c r="D27" s="147">
        <f t="shared" si="1"/>
        <v>579</v>
      </c>
      <c r="E27" s="147">
        <f t="shared" si="2"/>
        <v>519</v>
      </c>
      <c r="F27" s="148">
        <f t="shared" si="3"/>
        <v>149.68799999999999</v>
      </c>
      <c r="G27" s="149">
        <f t="shared" si="4"/>
        <v>1.62</v>
      </c>
      <c r="H27" s="146">
        <v>150</v>
      </c>
      <c r="I27" s="146">
        <v>2</v>
      </c>
      <c r="J27" s="146">
        <f t="shared" si="5"/>
        <v>32.76</v>
      </c>
      <c r="K27" s="146">
        <v>35</v>
      </c>
      <c r="L27" s="146">
        <v>630</v>
      </c>
      <c r="M27" s="146" t="s">
        <v>646</v>
      </c>
      <c r="N27" s="146" t="s">
        <v>642</v>
      </c>
      <c r="O27" s="150">
        <f t="shared" si="6"/>
        <v>607.5</v>
      </c>
      <c r="P27" s="146" t="s">
        <v>643</v>
      </c>
      <c r="Q27" s="146" t="s">
        <v>640</v>
      </c>
      <c r="R27" s="153" t="s">
        <v>615</v>
      </c>
      <c r="S27" s="151" t="s">
        <v>644</v>
      </c>
      <c r="T27" s="151" t="s">
        <v>647</v>
      </c>
      <c r="U27" s="301" t="s">
        <v>629</v>
      </c>
      <c r="V27" s="302"/>
    </row>
    <row r="28" spans="1:22" ht="17.399999999999999">
      <c r="A28" s="145">
        <v>350</v>
      </c>
      <c r="B28" s="146">
        <v>440</v>
      </c>
      <c r="C28" s="147">
        <f t="shared" si="0"/>
        <v>567</v>
      </c>
      <c r="D28" s="147">
        <f t="shared" si="1"/>
        <v>579</v>
      </c>
      <c r="E28" s="147">
        <f t="shared" si="2"/>
        <v>605</v>
      </c>
      <c r="F28" s="148">
        <f t="shared" si="3"/>
        <v>174.636</v>
      </c>
      <c r="G28" s="149">
        <f t="shared" si="4"/>
        <v>1.89</v>
      </c>
      <c r="H28" s="146">
        <v>150</v>
      </c>
      <c r="I28" s="146">
        <v>2</v>
      </c>
      <c r="J28" s="146">
        <f t="shared" si="5"/>
        <v>36.4</v>
      </c>
      <c r="K28" s="146">
        <v>50</v>
      </c>
      <c r="L28" s="146">
        <v>700</v>
      </c>
      <c r="M28" s="146" t="s">
        <v>648</v>
      </c>
      <c r="N28" s="146" t="s">
        <v>649</v>
      </c>
      <c r="O28" s="150">
        <f t="shared" si="6"/>
        <v>708.75</v>
      </c>
      <c r="P28" s="146" t="s">
        <v>647</v>
      </c>
      <c r="Q28" s="146" t="s">
        <v>640</v>
      </c>
      <c r="R28" s="153" t="s">
        <v>615</v>
      </c>
      <c r="S28" s="151" t="s">
        <v>644</v>
      </c>
      <c r="T28" s="151" t="s">
        <v>647</v>
      </c>
      <c r="U28" s="301" t="s">
        <v>629</v>
      </c>
      <c r="V28" s="302"/>
    </row>
    <row r="29" spans="1:22" ht="17.399999999999999">
      <c r="A29" s="145">
        <v>400</v>
      </c>
      <c r="B29" s="146">
        <v>440</v>
      </c>
      <c r="C29" s="147">
        <f t="shared" si="0"/>
        <v>648</v>
      </c>
      <c r="D29" s="147">
        <f t="shared" si="1"/>
        <v>579</v>
      </c>
      <c r="E29" s="147">
        <f t="shared" si="2"/>
        <v>691</v>
      </c>
      <c r="F29" s="148">
        <f t="shared" si="3"/>
        <v>199.584</v>
      </c>
      <c r="G29" s="149">
        <f t="shared" si="4"/>
        <v>2.16</v>
      </c>
      <c r="H29" s="146">
        <v>150</v>
      </c>
      <c r="I29" s="146">
        <v>2</v>
      </c>
      <c r="J29" s="146">
        <f t="shared" si="5"/>
        <v>41.6</v>
      </c>
      <c r="K29" s="146">
        <v>50</v>
      </c>
      <c r="L29" s="146">
        <v>800</v>
      </c>
      <c r="M29" s="146" t="s">
        <v>648</v>
      </c>
      <c r="N29" s="146" t="s">
        <v>649</v>
      </c>
      <c r="O29" s="150">
        <f t="shared" si="6"/>
        <v>810</v>
      </c>
      <c r="P29" s="146" t="s">
        <v>647</v>
      </c>
      <c r="Q29" s="146" t="s">
        <v>650</v>
      </c>
      <c r="R29" s="153" t="s">
        <v>615</v>
      </c>
      <c r="S29" s="151" t="s">
        <v>644</v>
      </c>
      <c r="T29" s="151" t="s">
        <v>651</v>
      </c>
      <c r="U29" s="301" t="s">
        <v>629</v>
      </c>
      <c r="V29" s="302"/>
    </row>
    <row r="30" spans="1:22" ht="17.399999999999999">
      <c r="A30" s="145">
        <v>450</v>
      </c>
      <c r="B30" s="146">
        <v>440</v>
      </c>
      <c r="C30" s="147">
        <f t="shared" si="0"/>
        <v>729</v>
      </c>
      <c r="D30" s="147">
        <f t="shared" si="1"/>
        <v>579</v>
      </c>
      <c r="E30" s="147">
        <f t="shared" si="2"/>
        <v>778</v>
      </c>
      <c r="F30" s="148"/>
      <c r="G30" s="149">
        <f t="shared" si="4"/>
        <v>1.9702702702702704</v>
      </c>
      <c r="H30" s="146">
        <v>185</v>
      </c>
      <c r="I30" s="146">
        <v>2</v>
      </c>
      <c r="J30" s="146">
        <f t="shared" si="5"/>
        <v>41.6</v>
      </c>
      <c r="K30" s="146">
        <v>50</v>
      </c>
      <c r="L30" s="146">
        <v>800</v>
      </c>
      <c r="M30" s="146" t="s">
        <v>648</v>
      </c>
      <c r="N30" s="146" t="s">
        <v>652</v>
      </c>
      <c r="O30" s="150">
        <f t="shared" si="6"/>
        <v>911.25</v>
      </c>
      <c r="P30" s="146" t="s">
        <v>653</v>
      </c>
      <c r="Q30" s="146" t="s">
        <v>650</v>
      </c>
      <c r="R30" s="153" t="s">
        <v>615</v>
      </c>
      <c r="S30" s="151" t="s">
        <v>644</v>
      </c>
      <c r="T30" s="151" t="s">
        <v>651</v>
      </c>
      <c r="U30" s="301" t="s">
        <v>629</v>
      </c>
      <c r="V30" s="302"/>
    </row>
    <row r="31" spans="1:22" ht="17.399999999999999">
      <c r="A31" s="145">
        <v>500</v>
      </c>
      <c r="B31" s="146">
        <v>440</v>
      </c>
      <c r="C31" s="147">
        <f t="shared" si="0"/>
        <v>810</v>
      </c>
      <c r="D31" s="147">
        <f t="shared" si="1"/>
        <v>579</v>
      </c>
      <c r="E31" s="147">
        <f t="shared" si="2"/>
        <v>864</v>
      </c>
      <c r="F31" s="148">
        <f t="shared" si="3"/>
        <v>249.48</v>
      </c>
      <c r="G31" s="149">
        <f t="shared" si="4"/>
        <v>2.189189189189189</v>
      </c>
      <c r="H31" s="146">
        <v>185</v>
      </c>
      <c r="I31" s="146">
        <v>2</v>
      </c>
      <c r="J31" s="146">
        <f t="shared" si="5"/>
        <v>52</v>
      </c>
      <c r="K31" s="146">
        <v>70</v>
      </c>
      <c r="L31" s="146">
        <v>1000</v>
      </c>
      <c r="M31" s="146" t="s">
        <v>654</v>
      </c>
      <c r="N31" s="146" t="s">
        <v>655</v>
      </c>
      <c r="O31" s="150">
        <f t="shared" si="6"/>
        <v>1012.5</v>
      </c>
      <c r="P31" s="146" t="s">
        <v>651</v>
      </c>
      <c r="Q31" s="146" t="s">
        <v>650</v>
      </c>
      <c r="R31" s="153" t="s">
        <v>615</v>
      </c>
      <c r="S31" s="151" t="s">
        <v>656</v>
      </c>
      <c r="T31" s="151" t="s">
        <v>657</v>
      </c>
      <c r="U31" s="301" t="s">
        <v>629</v>
      </c>
      <c r="V31" s="302"/>
    </row>
    <row r="32" spans="1:22" ht="17.399999999999999">
      <c r="A32" s="145">
        <v>600</v>
      </c>
      <c r="B32" s="146">
        <v>460</v>
      </c>
      <c r="C32" s="147">
        <f t="shared" si="0"/>
        <v>930</v>
      </c>
      <c r="D32" s="147">
        <f t="shared" si="1"/>
        <v>606</v>
      </c>
      <c r="E32" s="147">
        <f t="shared" si="2"/>
        <v>991</v>
      </c>
      <c r="F32" s="148">
        <f t="shared" si="3"/>
        <v>286.44</v>
      </c>
      <c r="G32" s="149">
        <f t="shared" si="4"/>
        <v>1.6756756756756757</v>
      </c>
      <c r="H32" s="146">
        <v>185</v>
      </c>
      <c r="I32" s="146">
        <v>3</v>
      </c>
      <c r="J32" s="146">
        <f t="shared" si="5"/>
        <v>62.4</v>
      </c>
      <c r="K32" s="146">
        <v>70</v>
      </c>
      <c r="L32" s="146">
        <v>1200</v>
      </c>
      <c r="M32" s="146" t="s">
        <v>658</v>
      </c>
      <c r="N32" s="146" t="s">
        <v>655</v>
      </c>
      <c r="O32" s="150">
        <f t="shared" si="6"/>
        <v>1162.5</v>
      </c>
      <c r="P32" s="146" t="s">
        <v>659</v>
      </c>
      <c r="Q32" s="146" t="s">
        <v>650</v>
      </c>
      <c r="R32" s="153" t="s">
        <v>615</v>
      </c>
      <c r="S32" s="151" t="s">
        <v>660</v>
      </c>
      <c r="T32" s="151" t="s">
        <v>657</v>
      </c>
      <c r="U32" s="146" t="s">
        <v>661</v>
      </c>
      <c r="V32" s="154" t="s">
        <v>662</v>
      </c>
    </row>
    <row r="33" spans="1:22" ht="17.399999999999999">
      <c r="A33" s="145">
        <v>700</v>
      </c>
      <c r="B33" s="146">
        <v>460</v>
      </c>
      <c r="C33" s="147">
        <f t="shared" si="0"/>
        <v>1085</v>
      </c>
      <c r="D33" s="147">
        <f t="shared" si="1"/>
        <v>606</v>
      </c>
      <c r="E33" s="147">
        <f t="shared" si="2"/>
        <v>1156</v>
      </c>
      <c r="F33" s="148">
        <f t="shared" si="3"/>
        <v>334.18</v>
      </c>
      <c r="G33" s="149">
        <f t="shared" si="4"/>
        <v>1.4662162162162162</v>
      </c>
      <c r="H33" s="146">
        <v>185</v>
      </c>
      <c r="I33" s="146">
        <v>4</v>
      </c>
      <c r="J33" s="146">
        <f t="shared" si="5"/>
        <v>65</v>
      </c>
      <c r="K33" s="146">
        <v>70</v>
      </c>
      <c r="L33" s="146">
        <v>1250</v>
      </c>
      <c r="M33" s="146" t="s">
        <v>663</v>
      </c>
      <c r="N33" s="146" t="s">
        <v>664</v>
      </c>
      <c r="O33" s="150">
        <f t="shared" si="6"/>
        <v>1356.25</v>
      </c>
      <c r="P33" s="153" t="s">
        <v>615</v>
      </c>
      <c r="Q33" s="146" t="s">
        <v>650</v>
      </c>
      <c r="R33" s="153" t="s">
        <v>615</v>
      </c>
      <c r="S33" s="151" t="s">
        <v>665</v>
      </c>
      <c r="T33" s="151" t="s">
        <v>657</v>
      </c>
      <c r="U33" s="146" t="s">
        <v>661</v>
      </c>
      <c r="V33" s="154" t="s">
        <v>662</v>
      </c>
    </row>
    <row r="34" spans="1:22" ht="17.399999999999999">
      <c r="A34" s="145">
        <v>750</v>
      </c>
      <c r="B34" s="146">
        <v>460</v>
      </c>
      <c r="C34" s="147">
        <f t="shared" si="0"/>
        <v>1163</v>
      </c>
      <c r="D34" s="147">
        <f t="shared" si="1"/>
        <v>606</v>
      </c>
      <c r="E34" s="147">
        <f t="shared" si="2"/>
        <v>1238</v>
      </c>
      <c r="F34" s="148">
        <f t="shared" si="3"/>
        <v>358.20400000000001</v>
      </c>
      <c r="G34" s="149">
        <f t="shared" si="4"/>
        <v>1.5716216216216217</v>
      </c>
      <c r="H34" s="146">
        <v>185</v>
      </c>
      <c r="I34" s="146">
        <v>4</v>
      </c>
      <c r="J34" s="146">
        <f t="shared" si="5"/>
        <v>65</v>
      </c>
      <c r="K34" s="146">
        <v>70</v>
      </c>
      <c r="L34" s="146">
        <v>1250</v>
      </c>
      <c r="M34" s="146" t="s">
        <v>663</v>
      </c>
      <c r="N34" s="146" t="s">
        <v>664</v>
      </c>
      <c r="O34" s="150">
        <f t="shared" si="6"/>
        <v>1453.75</v>
      </c>
      <c r="P34" s="153" t="s">
        <v>615</v>
      </c>
      <c r="Q34" s="146" t="s">
        <v>650</v>
      </c>
      <c r="R34" s="153" t="s">
        <v>615</v>
      </c>
      <c r="S34" s="151" t="s">
        <v>665</v>
      </c>
      <c r="T34" s="151" t="s">
        <v>192</v>
      </c>
      <c r="U34" s="146" t="s">
        <v>661</v>
      </c>
      <c r="V34" s="154" t="s">
        <v>662</v>
      </c>
    </row>
    <row r="35" spans="1:22" ht="17.399999999999999">
      <c r="A35" s="145">
        <v>800</v>
      </c>
      <c r="B35" s="146">
        <v>460</v>
      </c>
      <c r="C35" s="147">
        <f t="shared" si="0"/>
        <v>1240</v>
      </c>
      <c r="D35" s="147">
        <f t="shared" si="1"/>
        <v>606</v>
      </c>
      <c r="E35" s="147">
        <f t="shared" si="2"/>
        <v>1321</v>
      </c>
      <c r="F35" s="148">
        <f t="shared" si="3"/>
        <v>381.92</v>
      </c>
      <c r="G35" s="149">
        <f t="shared" si="4"/>
        <v>1.6756756756756757</v>
      </c>
      <c r="H35" s="146">
        <v>185</v>
      </c>
      <c r="I35" s="146">
        <v>4</v>
      </c>
      <c r="J35" s="146">
        <f t="shared" si="5"/>
        <v>83.2</v>
      </c>
      <c r="K35" s="146">
        <v>95</v>
      </c>
      <c r="L35" s="146">
        <v>1600</v>
      </c>
      <c r="M35" s="146" t="s">
        <v>666</v>
      </c>
      <c r="N35" s="146" t="s">
        <v>667</v>
      </c>
      <c r="O35" s="150">
        <f t="shared" si="6"/>
        <v>1550</v>
      </c>
      <c r="P35" s="153" t="s">
        <v>615</v>
      </c>
      <c r="Q35" s="146" t="s">
        <v>650</v>
      </c>
      <c r="R35" s="153" t="s">
        <v>615</v>
      </c>
      <c r="S35" s="151" t="s">
        <v>665</v>
      </c>
      <c r="T35" s="151" t="s">
        <v>192</v>
      </c>
      <c r="U35" s="146" t="s">
        <v>661</v>
      </c>
      <c r="V35" s="154" t="s">
        <v>662</v>
      </c>
    </row>
    <row r="36" spans="1:22" ht="17.399999999999999">
      <c r="A36" s="145">
        <v>1000</v>
      </c>
      <c r="B36" s="146">
        <v>460</v>
      </c>
      <c r="C36" s="147">
        <f t="shared" si="0"/>
        <v>1550</v>
      </c>
      <c r="D36" s="147">
        <f t="shared" si="1"/>
        <v>606</v>
      </c>
      <c r="E36" s="147">
        <f t="shared" si="2"/>
        <v>1651</v>
      </c>
      <c r="F36" s="148">
        <f t="shared" si="3"/>
        <v>477.4</v>
      </c>
      <c r="G36" s="149">
        <f t="shared" si="4"/>
        <v>1.6145833333333333</v>
      </c>
      <c r="H36" s="146">
        <v>240</v>
      </c>
      <c r="I36" s="146">
        <v>4</v>
      </c>
      <c r="J36" s="146">
        <f t="shared" si="5"/>
        <v>104</v>
      </c>
      <c r="K36" s="146">
        <v>120</v>
      </c>
      <c r="L36" s="146">
        <v>2000</v>
      </c>
      <c r="M36" s="146" t="s">
        <v>668</v>
      </c>
      <c r="N36" s="146" t="s">
        <v>669</v>
      </c>
      <c r="O36" s="150">
        <f t="shared" si="6"/>
        <v>1937.5</v>
      </c>
      <c r="P36" s="153" t="s">
        <v>615</v>
      </c>
      <c r="Q36" s="146" t="s">
        <v>670</v>
      </c>
      <c r="R36" s="146" t="s">
        <v>671</v>
      </c>
      <c r="S36" s="151" t="s">
        <v>665</v>
      </c>
      <c r="T36" s="151" t="s">
        <v>672</v>
      </c>
      <c r="U36" s="146" t="s">
        <v>661</v>
      </c>
      <c r="V36" s="154" t="s">
        <v>662</v>
      </c>
    </row>
    <row r="37" spans="1:22" ht="17.399999999999999">
      <c r="A37" s="145">
        <v>1200</v>
      </c>
      <c r="B37" s="146">
        <v>460</v>
      </c>
      <c r="C37" s="147">
        <f t="shared" si="0"/>
        <v>1860</v>
      </c>
      <c r="D37" s="147">
        <f t="shared" si="1"/>
        <v>606</v>
      </c>
      <c r="E37" s="147">
        <f t="shared" si="2"/>
        <v>1981</v>
      </c>
      <c r="F37" s="148">
        <f t="shared" si="3"/>
        <v>572.88</v>
      </c>
      <c r="G37" s="149">
        <f t="shared" si="4"/>
        <v>1.55</v>
      </c>
      <c r="H37" s="146">
        <v>300</v>
      </c>
      <c r="I37" s="146">
        <v>4</v>
      </c>
      <c r="J37" s="146">
        <f t="shared" si="5"/>
        <v>130</v>
      </c>
      <c r="K37" s="146">
        <v>150</v>
      </c>
      <c r="L37" s="146">
        <v>2500</v>
      </c>
      <c r="M37" s="146" t="s">
        <v>673</v>
      </c>
      <c r="N37" s="146" t="s">
        <v>674</v>
      </c>
      <c r="O37" s="150">
        <f t="shared" si="6"/>
        <v>2325</v>
      </c>
      <c r="P37" s="153" t="s">
        <v>615</v>
      </c>
      <c r="Q37" s="146"/>
      <c r="R37" s="146" t="s">
        <v>671</v>
      </c>
      <c r="S37" s="151" t="s">
        <v>665</v>
      </c>
      <c r="T37" s="151" t="s">
        <v>672</v>
      </c>
      <c r="U37" s="146" t="s">
        <v>661</v>
      </c>
      <c r="V37" s="154" t="s">
        <v>675</v>
      </c>
    </row>
    <row r="38" spans="1:22" ht="17.399999999999999">
      <c r="A38" s="145">
        <v>1250</v>
      </c>
      <c r="B38" s="146">
        <v>460</v>
      </c>
      <c r="C38" s="147">
        <f t="shared" si="0"/>
        <v>1937</v>
      </c>
      <c r="D38" s="147">
        <f t="shared" si="1"/>
        <v>606</v>
      </c>
      <c r="E38" s="147">
        <f t="shared" si="2"/>
        <v>2063</v>
      </c>
      <c r="F38" s="148">
        <f t="shared" si="3"/>
        <v>596.596</v>
      </c>
      <c r="G38" s="149">
        <f t="shared" si="4"/>
        <v>1.6141666666666667</v>
      </c>
      <c r="H38" s="146">
        <v>300</v>
      </c>
      <c r="I38" s="146">
        <v>4</v>
      </c>
      <c r="J38" s="146">
        <f t="shared" si="5"/>
        <v>130</v>
      </c>
      <c r="K38" s="146">
        <v>150</v>
      </c>
      <c r="L38" s="146">
        <v>2500</v>
      </c>
      <c r="M38" s="146" t="s">
        <v>673</v>
      </c>
      <c r="N38" s="146" t="s">
        <v>674</v>
      </c>
      <c r="O38" s="150">
        <f t="shared" si="6"/>
        <v>2421.25</v>
      </c>
      <c r="P38" s="153" t="s">
        <v>615</v>
      </c>
      <c r="Q38" s="146"/>
      <c r="R38" s="146" t="s">
        <v>671</v>
      </c>
      <c r="S38" s="151" t="s">
        <v>665</v>
      </c>
      <c r="T38" s="151" t="s">
        <v>672</v>
      </c>
      <c r="U38" s="146" t="s">
        <v>661</v>
      </c>
      <c r="V38" s="154" t="s">
        <v>675</v>
      </c>
    </row>
    <row r="39" spans="1:22" ht="17.399999999999999">
      <c r="A39" s="145">
        <v>1500</v>
      </c>
      <c r="B39" s="146">
        <v>460</v>
      </c>
      <c r="C39" s="147">
        <f t="shared" si="0"/>
        <v>2325</v>
      </c>
      <c r="D39" s="147">
        <f t="shared" si="1"/>
        <v>606</v>
      </c>
      <c r="E39" s="147">
        <f t="shared" si="2"/>
        <v>2476</v>
      </c>
      <c r="F39" s="148">
        <f t="shared" si="3"/>
        <v>716.1</v>
      </c>
      <c r="G39" s="149">
        <f t="shared" si="4"/>
        <v>1.55</v>
      </c>
      <c r="H39" s="146">
        <v>300</v>
      </c>
      <c r="I39" s="146">
        <v>5</v>
      </c>
      <c r="J39" s="146">
        <f t="shared" si="5"/>
        <v>130</v>
      </c>
      <c r="K39" s="146">
        <v>150</v>
      </c>
      <c r="L39" s="146">
        <v>2500</v>
      </c>
      <c r="M39" s="146" t="s">
        <v>673</v>
      </c>
      <c r="N39" s="146" t="s">
        <v>674</v>
      </c>
      <c r="O39" s="150">
        <f t="shared" si="6"/>
        <v>2906.25</v>
      </c>
      <c r="P39" s="153" t="s">
        <v>615</v>
      </c>
      <c r="Q39" s="146" t="s">
        <v>676</v>
      </c>
      <c r="R39" s="146" t="s">
        <v>671</v>
      </c>
      <c r="S39" s="151" t="s">
        <v>665</v>
      </c>
      <c r="T39" s="151" t="s">
        <v>677</v>
      </c>
      <c r="U39" s="146" t="s">
        <v>661</v>
      </c>
      <c r="V39" s="154" t="s">
        <v>675</v>
      </c>
    </row>
    <row r="40" spans="1:22" ht="17.399999999999999">
      <c r="A40" s="145">
        <v>1500</v>
      </c>
      <c r="B40" s="146">
        <v>650</v>
      </c>
      <c r="C40" s="147">
        <f t="shared" si="0"/>
        <v>1645</v>
      </c>
      <c r="D40" s="147">
        <f t="shared" si="1"/>
        <v>855</v>
      </c>
      <c r="E40" s="147">
        <f t="shared" si="2"/>
        <v>1755</v>
      </c>
      <c r="F40" s="148">
        <f t="shared" si="3"/>
        <v>506.66</v>
      </c>
      <c r="G40" s="149">
        <f t="shared" si="4"/>
        <v>1.7135416666666667</v>
      </c>
      <c r="H40" s="146">
        <v>240</v>
      </c>
      <c r="I40" s="146">
        <v>4</v>
      </c>
      <c r="J40" s="146">
        <f t="shared" si="5"/>
        <v>104</v>
      </c>
      <c r="K40" s="146">
        <v>120</v>
      </c>
      <c r="L40" s="146">
        <v>2000</v>
      </c>
      <c r="M40" s="146" t="s">
        <v>668</v>
      </c>
      <c r="N40" s="146" t="s">
        <v>669</v>
      </c>
      <c r="O40" s="150">
        <f t="shared" si="6"/>
        <v>2056.25</v>
      </c>
      <c r="P40" s="153" t="s">
        <v>615</v>
      </c>
      <c r="Q40" s="146"/>
      <c r="R40" s="146" t="s">
        <v>671</v>
      </c>
      <c r="S40" s="151" t="s">
        <v>665</v>
      </c>
      <c r="T40" s="151" t="s">
        <v>672</v>
      </c>
      <c r="U40" s="146" t="s">
        <v>661</v>
      </c>
      <c r="V40" s="154" t="s">
        <v>675</v>
      </c>
    </row>
    <row r="41" spans="1:22" ht="17.399999999999999">
      <c r="A41" s="145">
        <v>1600</v>
      </c>
      <c r="B41" s="146">
        <v>690</v>
      </c>
      <c r="C41" s="147">
        <f>ROUNDUP(A41/(B41*0.9)/3^0.5*1000/0.9,0)</f>
        <v>1653</v>
      </c>
      <c r="D41" s="147">
        <f>ROUNDUP(B41*2^0.5*0.93,0)</f>
        <v>908</v>
      </c>
      <c r="E41" s="147">
        <f>ROUNDUP(A41*1000/D41,0)</f>
        <v>1763</v>
      </c>
      <c r="F41" s="148">
        <f>30.8*100*C41/(1000*10)</f>
        <v>509.12400000000002</v>
      </c>
      <c r="G41" s="149">
        <f>C41/(H41*I41)</f>
        <v>1.721875</v>
      </c>
      <c r="H41" s="146">
        <v>240</v>
      </c>
      <c r="I41" s="146">
        <v>4</v>
      </c>
      <c r="J41" s="146">
        <f>L41*0.052</f>
        <v>104</v>
      </c>
      <c r="K41" s="146">
        <v>120</v>
      </c>
      <c r="L41" s="146">
        <v>2000</v>
      </c>
      <c r="M41" s="146" t="s">
        <v>668</v>
      </c>
      <c r="N41" s="146" t="s">
        <v>669</v>
      </c>
      <c r="O41" s="150">
        <f>SUM(C41*1.25)</f>
        <v>2066.25</v>
      </c>
      <c r="P41" s="153" t="s">
        <v>615</v>
      </c>
      <c r="Q41" s="146"/>
      <c r="R41" s="146" t="s">
        <v>671</v>
      </c>
      <c r="S41" s="151" t="s">
        <v>665</v>
      </c>
      <c r="T41" s="151" t="s">
        <v>672</v>
      </c>
      <c r="U41" s="146" t="s">
        <v>661</v>
      </c>
      <c r="V41" s="154" t="s">
        <v>678</v>
      </c>
    </row>
    <row r="42" spans="1:22" ht="17.399999999999999">
      <c r="A42" s="145">
        <v>2000</v>
      </c>
      <c r="B42" s="146">
        <v>460</v>
      </c>
      <c r="C42" s="147">
        <f t="shared" si="0"/>
        <v>3100</v>
      </c>
      <c r="D42" s="147">
        <f t="shared" si="1"/>
        <v>606</v>
      </c>
      <c r="E42" s="147">
        <f t="shared" si="2"/>
        <v>3301</v>
      </c>
      <c r="F42" s="148">
        <f t="shared" si="3"/>
        <v>954.8</v>
      </c>
      <c r="G42" s="149">
        <f t="shared" si="4"/>
        <v>1.2916666666666667</v>
      </c>
      <c r="H42" s="146">
        <v>400</v>
      </c>
      <c r="I42" s="146">
        <v>6</v>
      </c>
      <c r="J42" s="146">
        <f t="shared" si="5"/>
        <v>166.4</v>
      </c>
      <c r="K42" s="146">
        <v>185</v>
      </c>
      <c r="L42" s="146">
        <v>3200</v>
      </c>
      <c r="M42" s="146" t="s">
        <v>679</v>
      </c>
      <c r="N42" s="146" t="s">
        <v>680</v>
      </c>
      <c r="O42" s="150">
        <f t="shared" si="6"/>
        <v>3875</v>
      </c>
      <c r="P42" s="153" t="s">
        <v>615</v>
      </c>
      <c r="Q42" s="146" t="s">
        <v>681</v>
      </c>
      <c r="R42" s="146" t="s">
        <v>682</v>
      </c>
      <c r="S42" s="151" t="s">
        <v>665</v>
      </c>
      <c r="T42" s="151" t="s">
        <v>683</v>
      </c>
      <c r="U42" s="146" t="s">
        <v>661</v>
      </c>
      <c r="V42" s="154" t="s">
        <v>684</v>
      </c>
    </row>
    <row r="43" spans="1:22" ht="17.399999999999999">
      <c r="A43" s="145">
        <v>2000</v>
      </c>
      <c r="B43" s="146">
        <v>650</v>
      </c>
      <c r="C43" s="147">
        <f t="shared" si="0"/>
        <v>2194</v>
      </c>
      <c r="D43" s="147">
        <f t="shared" si="1"/>
        <v>855</v>
      </c>
      <c r="E43" s="147">
        <f t="shared" si="2"/>
        <v>2340</v>
      </c>
      <c r="F43" s="148">
        <f t="shared" si="3"/>
        <v>675.75199999999995</v>
      </c>
      <c r="G43" s="149">
        <f t="shared" si="4"/>
        <v>1.4626666666666666</v>
      </c>
      <c r="H43" s="146">
        <v>300</v>
      </c>
      <c r="I43" s="146">
        <v>5</v>
      </c>
      <c r="J43" s="146">
        <f t="shared" si="5"/>
        <v>130</v>
      </c>
      <c r="K43" s="146">
        <v>150</v>
      </c>
      <c r="L43" s="146">
        <v>2500</v>
      </c>
      <c r="M43" s="146" t="s">
        <v>673</v>
      </c>
      <c r="N43" s="146" t="s">
        <v>674</v>
      </c>
      <c r="O43" s="150">
        <f t="shared" si="6"/>
        <v>2742.5</v>
      </c>
      <c r="P43" s="153" t="s">
        <v>615</v>
      </c>
      <c r="Q43" s="146" t="s">
        <v>676</v>
      </c>
      <c r="R43" s="146" t="s">
        <v>671</v>
      </c>
      <c r="S43" s="151" t="s">
        <v>665</v>
      </c>
      <c r="T43" s="151" t="s">
        <v>677</v>
      </c>
      <c r="U43" s="146" t="s">
        <v>661</v>
      </c>
      <c r="V43" s="154" t="s">
        <v>675</v>
      </c>
    </row>
    <row r="44" spans="1:22" ht="17.399999999999999">
      <c r="A44" s="145">
        <v>2500</v>
      </c>
      <c r="B44" s="146">
        <v>460</v>
      </c>
      <c r="C44" s="147">
        <f t="shared" si="0"/>
        <v>3874</v>
      </c>
      <c r="D44" s="147">
        <f t="shared" si="1"/>
        <v>606</v>
      </c>
      <c r="E44" s="147">
        <f t="shared" si="2"/>
        <v>4126</v>
      </c>
      <c r="F44" s="148">
        <f t="shared" si="3"/>
        <v>1193.192</v>
      </c>
      <c r="G44" s="149">
        <f t="shared" si="4"/>
        <v>1.6141666666666667</v>
      </c>
      <c r="H44" s="146">
        <v>400</v>
      </c>
      <c r="I44" s="146">
        <v>6</v>
      </c>
      <c r="J44" s="146">
        <f t="shared" si="5"/>
        <v>208</v>
      </c>
      <c r="K44" s="146">
        <v>240</v>
      </c>
      <c r="L44" s="146">
        <v>4000</v>
      </c>
      <c r="M44" s="146" t="s">
        <v>685</v>
      </c>
      <c r="N44" s="146" t="s">
        <v>680</v>
      </c>
      <c r="O44" s="150">
        <f t="shared" si="6"/>
        <v>4842.5</v>
      </c>
      <c r="P44" s="153" t="s">
        <v>615</v>
      </c>
      <c r="Q44" s="146" t="s">
        <v>681</v>
      </c>
      <c r="R44" s="146" t="s">
        <v>682</v>
      </c>
      <c r="S44" s="151" t="s">
        <v>665</v>
      </c>
      <c r="T44" s="151" t="s">
        <v>686</v>
      </c>
      <c r="U44" s="146" t="s">
        <v>661</v>
      </c>
      <c r="V44" s="154" t="s">
        <v>684</v>
      </c>
    </row>
    <row r="45" spans="1:22" ht="17.399999999999999">
      <c r="A45" s="155">
        <v>2500</v>
      </c>
      <c r="B45" s="146">
        <v>650</v>
      </c>
      <c r="C45" s="147">
        <f t="shared" si="0"/>
        <v>2742</v>
      </c>
      <c r="D45" s="147">
        <f t="shared" si="1"/>
        <v>855</v>
      </c>
      <c r="E45" s="147">
        <f t="shared" si="2"/>
        <v>2924</v>
      </c>
      <c r="F45" s="156"/>
      <c r="G45" s="149">
        <f t="shared" si="4"/>
        <v>1.1425000000000001</v>
      </c>
      <c r="H45" s="146">
        <v>400</v>
      </c>
      <c r="I45" s="146">
        <v>6</v>
      </c>
      <c r="J45" s="146">
        <f t="shared" si="5"/>
        <v>166.4</v>
      </c>
      <c r="K45" s="146">
        <v>185</v>
      </c>
      <c r="L45" s="146">
        <v>3200</v>
      </c>
      <c r="M45" s="146" t="s">
        <v>679</v>
      </c>
      <c r="N45" s="146" t="s">
        <v>680</v>
      </c>
      <c r="O45" s="150">
        <f t="shared" si="6"/>
        <v>3427.5</v>
      </c>
      <c r="P45" s="153" t="s">
        <v>615</v>
      </c>
      <c r="Q45" s="146" t="s">
        <v>681</v>
      </c>
      <c r="R45" s="146" t="s">
        <v>682</v>
      </c>
      <c r="S45" s="151" t="s">
        <v>665</v>
      </c>
      <c r="T45" s="151" t="s">
        <v>683</v>
      </c>
      <c r="U45" s="146" t="s">
        <v>661</v>
      </c>
      <c r="V45" s="154" t="s">
        <v>684</v>
      </c>
    </row>
    <row r="46" spans="1:22" ht="17.399999999999999">
      <c r="A46" s="155">
        <v>3000</v>
      </c>
      <c r="B46" s="157">
        <v>460</v>
      </c>
      <c r="C46" s="158">
        <f>ROUNDUP(A46/(B46*0.9)/3^0.5*1000/0.9,0)</f>
        <v>4649</v>
      </c>
      <c r="D46" s="158">
        <f t="shared" si="1"/>
        <v>606</v>
      </c>
      <c r="E46" s="158">
        <f t="shared" si="2"/>
        <v>4951</v>
      </c>
      <c r="F46" s="156">
        <f>30.8*100*C46/(1000*10)</f>
        <v>1431.8920000000001</v>
      </c>
      <c r="G46" s="159">
        <f t="shared" si="4"/>
        <v>1.5496666666666667</v>
      </c>
      <c r="H46" s="157">
        <v>500</v>
      </c>
      <c r="I46" s="157">
        <v>6</v>
      </c>
      <c r="J46" s="157">
        <f t="shared" si="5"/>
        <v>208</v>
      </c>
      <c r="K46" s="157">
        <v>240</v>
      </c>
      <c r="L46" s="157">
        <v>4000</v>
      </c>
      <c r="M46" s="157" t="s">
        <v>685</v>
      </c>
      <c r="N46" s="157" t="s">
        <v>680</v>
      </c>
      <c r="O46" s="160">
        <f t="shared" si="6"/>
        <v>5811.25</v>
      </c>
      <c r="P46" s="161" t="s">
        <v>615</v>
      </c>
      <c r="Q46" s="157" t="s">
        <v>681</v>
      </c>
      <c r="R46" s="157" t="s">
        <v>682</v>
      </c>
      <c r="S46" s="151" t="s">
        <v>665</v>
      </c>
      <c r="T46" s="162" t="s">
        <v>687</v>
      </c>
      <c r="U46" s="157" t="s">
        <v>688</v>
      </c>
      <c r="V46" s="163" t="s">
        <v>689</v>
      </c>
    </row>
    <row r="47" spans="1:22" ht="18" thickBot="1">
      <c r="A47" s="164">
        <v>3000</v>
      </c>
      <c r="B47" s="165">
        <v>650</v>
      </c>
      <c r="C47" s="166">
        <f t="shared" si="0"/>
        <v>3290</v>
      </c>
      <c r="D47" s="166">
        <f t="shared" si="1"/>
        <v>855</v>
      </c>
      <c r="E47" s="166">
        <f t="shared" si="2"/>
        <v>3509</v>
      </c>
      <c r="F47" s="167">
        <f t="shared" si="3"/>
        <v>1013.32</v>
      </c>
      <c r="G47" s="168">
        <f t="shared" si="4"/>
        <v>1.3708333333333333</v>
      </c>
      <c r="H47" s="165">
        <v>400</v>
      </c>
      <c r="I47" s="165">
        <v>6</v>
      </c>
      <c r="J47" s="165">
        <f t="shared" si="5"/>
        <v>166.4</v>
      </c>
      <c r="K47" s="165">
        <v>185</v>
      </c>
      <c r="L47" s="165">
        <v>3200</v>
      </c>
      <c r="M47" s="165" t="s">
        <v>679</v>
      </c>
      <c r="N47" s="165" t="s">
        <v>680</v>
      </c>
      <c r="O47" s="169">
        <f t="shared" si="6"/>
        <v>4112.5</v>
      </c>
      <c r="P47" s="170" t="s">
        <v>615</v>
      </c>
      <c r="Q47" s="165" t="s">
        <v>681</v>
      </c>
      <c r="R47" s="165" t="s">
        <v>682</v>
      </c>
      <c r="S47" s="171" t="s">
        <v>690</v>
      </c>
      <c r="T47" s="165" t="s">
        <v>691</v>
      </c>
      <c r="U47" s="165" t="s">
        <v>692</v>
      </c>
      <c r="V47" s="172" t="s">
        <v>693</v>
      </c>
    </row>
  </sheetData>
  <mergeCells count="41"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U14:V14"/>
    <mergeCell ref="M2:M3"/>
    <mergeCell ref="N2:N3"/>
    <mergeCell ref="O2:O3"/>
    <mergeCell ref="P2:P3"/>
    <mergeCell ref="Q2:R2"/>
    <mergeCell ref="S2:S3"/>
    <mergeCell ref="T2:T3"/>
    <mergeCell ref="U2:U3"/>
    <mergeCell ref="V2:V3"/>
    <mergeCell ref="U10:V10"/>
    <mergeCell ref="U13:V13"/>
    <mergeCell ref="U26:V26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27:V27"/>
    <mergeCell ref="U28:V28"/>
    <mergeCell ref="U29:V29"/>
    <mergeCell ref="U30:V30"/>
    <mergeCell ref="U31:V31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직병렬공진 동작점설계</vt:lpstr>
      <vt:lpstr>DC 인덕터 설계</vt:lpstr>
      <vt:lpstr>직렬 인덕터 설계</vt:lpstr>
      <vt:lpstr>설계 결과표</vt:lpstr>
      <vt:lpstr>SW 요청자료</vt:lpstr>
      <vt:lpstr>시운전데이터 및 매칭확인</vt:lpstr>
      <vt:lpstr>입력정류부</vt:lpstr>
    </vt:vector>
  </TitlesOfParts>
  <Company>PSTEK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shh</dc:creator>
  <cp:lastModifiedBy>Windows User</cp:lastModifiedBy>
  <cp:lastPrinted>2020-12-03T06:34:16Z</cp:lastPrinted>
  <dcterms:created xsi:type="dcterms:W3CDTF">2002-10-01T05:20:05Z</dcterms:created>
  <dcterms:modified xsi:type="dcterms:W3CDTF">2020-12-08T23:51:20Z</dcterms:modified>
</cp:coreProperties>
</file>