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1_PSA02Y21-0001_한전KPS_펌프수차 Shaft Nut Jack 유도가열시스템제작\전장설계\"/>
    </mc:Choice>
  </mc:AlternateContent>
  <bookViews>
    <workbookView xWindow="0" yWindow="0" windowWidth="28800" windowHeight="12975" tabRatio="821" activeTab="1"/>
  </bookViews>
  <sheets>
    <sheet name="직렬공진_PWM_공진CAP 10uF이용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M24" i="37" l="1"/>
  <c r="M25" i="37"/>
  <c r="M26" i="37"/>
  <c r="M27" i="37" l="1"/>
  <c r="D32" i="37" l="1"/>
  <c r="D18" i="37"/>
  <c r="D16" i="37"/>
  <c r="D22" i="37" s="1"/>
  <c r="D25" i="37" s="1"/>
  <c r="D10" i="37"/>
  <c r="D37" i="37" s="1"/>
  <c r="D39" i="37" s="1"/>
  <c r="D6" i="37"/>
  <c r="D8" i="37" s="1"/>
  <c r="M7" i="37"/>
  <c r="M9" i="37" s="1"/>
  <c r="M14" i="37" s="1"/>
  <c r="D28" i="37" l="1"/>
  <c r="D21" i="37"/>
  <c r="D11" i="37"/>
  <c r="D24" i="37" l="1"/>
  <c r="D23" i="37"/>
  <c r="D26" i="37" s="1"/>
  <c r="D31" i="37" s="1"/>
  <c r="D41" i="37" s="1"/>
  <c r="D29" i="37"/>
  <c r="D43" i="37"/>
  <c r="D44" i="37" s="1"/>
  <c r="D45" i="37" s="1"/>
  <c r="D46" i="37" s="1"/>
  <c r="D30" i="37"/>
  <c r="D33" i="37" l="1"/>
  <c r="D34" i="37"/>
  <c r="L7" i="37"/>
  <c r="Y63" i="37" l="1"/>
  <c r="F67" i="37" l="1"/>
  <c r="F32" i="37"/>
  <c r="F18" i="37"/>
  <c r="F16" i="37"/>
  <c r="F22" i="37" s="1"/>
  <c r="F25" i="37" s="1"/>
  <c r="F10" i="37"/>
  <c r="F37" i="37" s="1"/>
  <c r="F39" i="37" s="1"/>
  <c r="F6" i="37"/>
  <c r="F8" i="37" s="1"/>
  <c r="F28" i="37" l="1"/>
  <c r="F21" i="37"/>
  <c r="F11" i="37"/>
  <c r="C67" i="37"/>
  <c r="C32" i="37"/>
  <c r="C18" i="37"/>
  <c r="C16" i="37"/>
  <c r="C22" i="37" s="1"/>
  <c r="C25" i="37" s="1"/>
  <c r="C10" i="37"/>
  <c r="C37" i="37" s="1"/>
  <c r="C39" i="37" s="1"/>
  <c r="C6" i="37"/>
  <c r="C8" i="37" s="1"/>
  <c r="C21" i="37" l="1"/>
  <c r="C24" i="37" s="1"/>
  <c r="F43" i="37"/>
  <c r="F29" i="37"/>
  <c r="F30" i="37"/>
  <c r="F54" i="37"/>
  <c r="F23" i="37"/>
  <c r="F24" i="37"/>
  <c r="C28" i="37"/>
  <c r="C11" i="37"/>
  <c r="C54" i="37" l="1"/>
  <c r="C60" i="37" s="1"/>
  <c r="C23" i="37"/>
  <c r="C26" i="37" s="1"/>
  <c r="C31" i="37" s="1"/>
  <c r="C41" i="37" s="1"/>
  <c r="C66" i="37" s="1"/>
  <c r="F34" i="37"/>
  <c r="F33" i="37"/>
  <c r="F44" i="37"/>
  <c r="F45" i="37" s="1"/>
  <c r="F46" i="37" s="1"/>
  <c r="F50" i="37"/>
  <c r="F26" i="37"/>
  <c r="F31" i="37" s="1"/>
  <c r="F41" i="37" s="1"/>
  <c r="F66" i="37" s="1"/>
  <c r="F53" i="37"/>
  <c r="F60" i="37"/>
  <c r="F59" i="37"/>
  <c r="F62" i="37" s="1"/>
  <c r="C43" i="37"/>
  <c r="C30" i="37"/>
  <c r="C29" i="37"/>
  <c r="Y55" i="37"/>
  <c r="Y48" i="37"/>
  <c r="Y41" i="37"/>
  <c r="Y36" i="37"/>
  <c r="Y35" i="37"/>
  <c r="J41" i="45"/>
  <c r="D41" i="45"/>
  <c r="E41" i="45"/>
  <c r="C41" i="45"/>
  <c r="F41" i="45"/>
  <c r="Y30" i="37"/>
  <c r="Y26" i="37"/>
  <c r="Y22" i="37"/>
  <c r="U72" i="37"/>
  <c r="U74" i="37" s="1"/>
  <c r="U66" i="37"/>
  <c r="U67" i="37" s="1"/>
  <c r="U46" i="37"/>
  <c r="U47" i="37" s="1"/>
  <c r="U27" i="37"/>
  <c r="U31" i="37" s="1"/>
  <c r="U34" i="37" s="1"/>
  <c r="U36" i="37" s="1"/>
  <c r="U8" i="37"/>
  <c r="U12" i="37" s="1"/>
  <c r="U15" i="37" s="1"/>
  <c r="U17" i="37" s="1"/>
  <c r="G41" i="45"/>
  <c r="O41" i="45"/>
  <c r="Y15" i="37"/>
  <c r="Y16" i="37" s="1"/>
  <c r="Y17" i="37" s="1"/>
  <c r="Y8" i="37"/>
  <c r="E43" i="46"/>
  <c r="E25" i="46"/>
  <c r="E26" i="46" s="1"/>
  <c r="E9" i="46"/>
  <c r="F11" i="46" s="1"/>
  <c r="F12" i="46" s="1"/>
  <c r="E6" i="37"/>
  <c r="E8" i="37" s="1"/>
  <c r="J47" i="45"/>
  <c r="F47" i="45"/>
  <c r="D47" i="45"/>
  <c r="E47" i="45"/>
  <c r="C47" i="45"/>
  <c r="O47" i="45"/>
  <c r="O46" i="45"/>
  <c r="J46" i="45"/>
  <c r="F46" i="45"/>
  <c r="E46" i="45"/>
  <c r="D46" i="45"/>
  <c r="C46" i="45"/>
  <c r="G46" i="45"/>
  <c r="J45" i="45"/>
  <c r="D45" i="45"/>
  <c r="E45" i="45"/>
  <c r="C45" i="45"/>
  <c r="J44" i="45"/>
  <c r="F44" i="45"/>
  <c r="D44" i="45"/>
  <c r="E44" i="45"/>
  <c r="C44" i="45"/>
  <c r="O44" i="45"/>
  <c r="O43" i="45"/>
  <c r="J43" i="45"/>
  <c r="F43" i="45"/>
  <c r="E43" i="45"/>
  <c r="D43" i="45"/>
  <c r="C43" i="45"/>
  <c r="G43" i="45"/>
  <c r="O42" i="45"/>
  <c r="J42" i="45"/>
  <c r="F42" i="45"/>
  <c r="D42" i="45"/>
  <c r="E42" i="45"/>
  <c r="C42" i="45"/>
  <c r="G42" i="45"/>
  <c r="J40" i="45"/>
  <c r="D40" i="45"/>
  <c r="E40" i="45"/>
  <c r="C40" i="45"/>
  <c r="J39" i="45"/>
  <c r="F39" i="45"/>
  <c r="D39" i="45"/>
  <c r="E39" i="45"/>
  <c r="C39" i="45"/>
  <c r="O39" i="45"/>
  <c r="O38" i="45"/>
  <c r="J38" i="45"/>
  <c r="F38" i="45"/>
  <c r="E38" i="45"/>
  <c r="D38" i="45"/>
  <c r="C38" i="45"/>
  <c r="G38" i="45"/>
  <c r="O37" i="45"/>
  <c r="J37" i="45"/>
  <c r="F37" i="45"/>
  <c r="D37" i="45"/>
  <c r="E37" i="45"/>
  <c r="C37" i="45"/>
  <c r="G37" i="45"/>
  <c r="J36" i="45"/>
  <c r="D36" i="45"/>
  <c r="E36" i="45"/>
  <c r="C36" i="45"/>
  <c r="J35" i="45"/>
  <c r="F35" i="45"/>
  <c r="D35" i="45"/>
  <c r="E35" i="45"/>
  <c r="C35" i="45"/>
  <c r="O35" i="45"/>
  <c r="O34" i="45"/>
  <c r="J34" i="45"/>
  <c r="F34" i="45"/>
  <c r="E34" i="45"/>
  <c r="D34" i="45"/>
  <c r="C34" i="45"/>
  <c r="G34" i="45"/>
  <c r="O33" i="45"/>
  <c r="J33" i="45"/>
  <c r="F33" i="45"/>
  <c r="D33" i="45"/>
  <c r="E33" i="45"/>
  <c r="C33" i="45"/>
  <c r="G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O27" i="45"/>
  <c r="J27" i="45"/>
  <c r="F27" i="45"/>
  <c r="E27" i="45"/>
  <c r="D27" i="45"/>
  <c r="C27" i="45"/>
  <c r="G27" i="45"/>
  <c r="O26" i="45"/>
  <c r="J26" i="45"/>
  <c r="F26" i="45"/>
  <c r="E26" i="45"/>
  <c r="D26" i="45"/>
  <c r="C26" i="45"/>
  <c r="G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F20" i="45"/>
  <c r="D20" i="45"/>
  <c r="E20" i="45"/>
  <c r="C20" i="45"/>
  <c r="O20" i="45"/>
  <c r="O19" i="45"/>
  <c r="J19" i="45"/>
  <c r="F19" i="45"/>
  <c r="E19" i="45"/>
  <c r="D19" i="45"/>
  <c r="C19" i="45"/>
  <c r="G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G16" i="45"/>
  <c r="D16" i="45"/>
  <c r="E16" i="45"/>
  <c r="C16" i="45"/>
  <c r="O16" i="45"/>
  <c r="O15" i="45"/>
  <c r="J15" i="45"/>
  <c r="F15" i="45"/>
  <c r="E15" i="45"/>
  <c r="D15" i="45"/>
  <c r="C15" i="45"/>
  <c r="G15" i="45"/>
  <c r="O14" i="45"/>
  <c r="J14" i="45"/>
  <c r="F14" i="45"/>
  <c r="D14" i="45"/>
  <c r="E14" i="45"/>
  <c r="C14" i="45"/>
  <c r="G14" i="45"/>
  <c r="J13" i="45"/>
  <c r="D13" i="45"/>
  <c r="E13" i="45"/>
  <c r="C13" i="45"/>
  <c r="J12" i="45"/>
  <c r="D12" i="45"/>
  <c r="E12" i="45"/>
  <c r="C12" i="45"/>
  <c r="O12" i="45"/>
  <c r="O11" i="45"/>
  <c r="J11" i="45"/>
  <c r="F11" i="45"/>
  <c r="E11" i="45"/>
  <c r="D11" i="45"/>
  <c r="C11" i="45"/>
  <c r="G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G8" i="45"/>
  <c r="F8" i="45"/>
  <c r="D8" i="45"/>
  <c r="E8" i="45"/>
  <c r="C8" i="45"/>
  <c r="O8" i="45"/>
  <c r="O7" i="45"/>
  <c r="J7" i="45"/>
  <c r="F7" i="45"/>
  <c r="E7" i="45"/>
  <c r="D7" i="45"/>
  <c r="C7" i="45"/>
  <c r="G7" i="45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F4" i="45"/>
  <c r="D4" i="45"/>
  <c r="E4" i="45"/>
  <c r="C4" i="45"/>
  <c r="O4" i="45"/>
  <c r="Q53" i="37"/>
  <c r="Q56" i="37" s="1"/>
  <c r="Q58" i="37" s="1"/>
  <c r="L59" i="37"/>
  <c r="L53" i="37"/>
  <c r="Q48" i="37"/>
  <c r="L46" i="37"/>
  <c r="L47" i="37" s="1"/>
  <c r="L45" i="37"/>
  <c r="L36" i="37"/>
  <c r="L35" i="37"/>
  <c r="Q34" i="37"/>
  <c r="Q30" i="37"/>
  <c r="Q26" i="37"/>
  <c r="L26" i="37"/>
  <c r="L25" i="37"/>
  <c r="L24" i="37"/>
  <c r="Q19" i="37"/>
  <c r="Q13" i="37"/>
  <c r="Q8" i="37"/>
  <c r="L9" i="37"/>
  <c r="L14" i="37" s="1"/>
  <c r="O14" i="37" s="1"/>
  <c r="E67" i="37"/>
  <c r="P18" i="40"/>
  <c r="S18" i="40"/>
  <c r="T18" i="40"/>
  <c r="N18" i="40"/>
  <c r="M18" i="40"/>
  <c r="J18" i="40"/>
  <c r="K18" i="40"/>
  <c r="P17" i="40"/>
  <c r="S17" i="40"/>
  <c r="T17" i="40"/>
  <c r="N17" i="40"/>
  <c r="M17" i="40"/>
  <c r="J17" i="40"/>
  <c r="K17" i="40"/>
  <c r="P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S14" i="40"/>
  <c r="T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S11" i="40"/>
  <c r="M11" i="40"/>
  <c r="J11" i="40"/>
  <c r="N11" i="40"/>
  <c r="P10" i="40"/>
  <c r="S10" i="40"/>
  <c r="T10" i="40"/>
  <c r="N10" i="40"/>
  <c r="M10" i="40"/>
  <c r="J10" i="40"/>
  <c r="K10" i="40"/>
  <c r="P9" i="40"/>
  <c r="S9" i="40"/>
  <c r="T9" i="40"/>
  <c r="M9" i="40"/>
  <c r="J9" i="40"/>
  <c r="K9" i="40"/>
  <c r="P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S6" i="40"/>
  <c r="T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T4" i="40"/>
  <c r="M4" i="40"/>
  <c r="J4" i="40"/>
  <c r="K4" i="40"/>
  <c r="Q5" i="40"/>
  <c r="Q6" i="40"/>
  <c r="Q7" i="40"/>
  <c r="Q8" i="40"/>
  <c r="Q9" i="40"/>
  <c r="Q10" i="40"/>
  <c r="Q13" i="40"/>
  <c r="Q14" i="40"/>
  <c r="Q15" i="40"/>
  <c r="Q16" i="40"/>
  <c r="Q17" i="40"/>
  <c r="Q18" i="40"/>
  <c r="E32" i="37"/>
  <c r="E18" i="37"/>
  <c r="E16" i="37"/>
  <c r="E22" i="37" s="1"/>
  <c r="E25" i="37" s="1"/>
  <c r="E10" i="37"/>
  <c r="E37" i="37" s="1"/>
  <c r="E39" i="37" s="1"/>
  <c r="F9" i="45"/>
  <c r="O9" i="45"/>
  <c r="F25" i="45"/>
  <c r="O25" i="45"/>
  <c r="F40" i="45"/>
  <c r="O40" i="45"/>
  <c r="G4" i="45"/>
  <c r="F13" i="45"/>
  <c r="O13" i="45"/>
  <c r="G20" i="45"/>
  <c r="F29" i="45"/>
  <c r="O29" i="45"/>
  <c r="F36" i="45"/>
  <c r="O36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F21" i="45"/>
  <c r="O21" i="45"/>
  <c r="G28" i="45"/>
  <c r="G29" i="45"/>
  <c r="G36" i="45"/>
  <c r="G45" i="45"/>
  <c r="O45" i="45"/>
  <c r="G31" i="45"/>
  <c r="G35" i="45"/>
  <c r="G39" i="45"/>
  <c r="G44" i="45"/>
  <c r="G47" i="45"/>
  <c r="Q4" i="40"/>
  <c r="N4" i="40"/>
  <c r="N12" i="40"/>
  <c r="T12" i="40"/>
  <c r="Q12" i="40"/>
  <c r="K11" i="40"/>
  <c r="T11" i="40"/>
  <c r="Q11" i="40"/>
  <c r="N9" i="40"/>
  <c r="E11" i="46" l="1"/>
  <c r="E12" i="46" s="1"/>
  <c r="U28" i="37"/>
  <c r="C59" i="37"/>
  <c r="C62" i="37" s="1"/>
  <c r="C53" i="37"/>
  <c r="E11" i="37"/>
  <c r="Q35" i="37"/>
  <c r="Q38" i="37"/>
  <c r="Q39" i="37" s="1"/>
  <c r="Q40" i="37" s="1"/>
  <c r="Q41" i="37" s="1"/>
  <c r="Q42" i="37" s="1"/>
  <c r="F63" i="37"/>
  <c r="F55" i="37"/>
  <c r="U9" i="37"/>
  <c r="U75" i="37"/>
  <c r="L27" i="37"/>
  <c r="C34" i="37"/>
  <c r="C33" i="37"/>
  <c r="C50" i="37"/>
  <c r="C44" i="37"/>
  <c r="C45" i="37" s="1"/>
  <c r="C46" i="37" s="1"/>
  <c r="U38" i="37"/>
  <c r="U39" i="37"/>
  <c r="U20" i="37"/>
  <c r="U19" i="37"/>
  <c r="U50" i="37"/>
  <c r="U53" i="37" s="1"/>
  <c r="U56" i="37" s="1"/>
  <c r="E21" i="37"/>
  <c r="E24" i="37" s="1"/>
  <c r="L37" i="37"/>
  <c r="L38" i="37" s="1"/>
  <c r="E28" i="37"/>
  <c r="F68" i="37" l="1"/>
  <c r="F71" i="37" s="1"/>
  <c r="F69" i="37"/>
  <c r="F72" i="37" s="1"/>
  <c r="F70" i="37"/>
  <c r="F73" i="37" s="1"/>
  <c r="F75" i="37" s="1"/>
  <c r="C55" i="37"/>
  <c r="C63" i="37"/>
  <c r="U58" i="37"/>
  <c r="U59" i="37"/>
  <c r="E54" i="37"/>
  <c r="E59" i="37" s="1"/>
  <c r="E62" i="37" s="1"/>
  <c r="E23" i="37"/>
  <c r="E26" i="37" s="1"/>
  <c r="E31" i="37" s="1"/>
  <c r="E41" i="37" s="1"/>
  <c r="E66" i="37" s="1"/>
  <c r="E30" i="37"/>
  <c r="E29" i="37"/>
  <c r="E43" i="37"/>
  <c r="F92" i="37" l="1"/>
  <c r="F77" i="37"/>
  <c r="F89" i="37"/>
  <c r="F81" i="37"/>
  <c r="F87" i="37" s="1"/>
  <c r="F83" i="37"/>
  <c r="F80" i="37"/>
  <c r="F86" i="37" s="1"/>
  <c r="F88" i="37"/>
  <c r="F82" i="37"/>
  <c r="C68" i="37"/>
  <c r="C71" i="37" s="1"/>
  <c r="C70" i="37"/>
  <c r="C73" i="37" s="1"/>
  <c r="C75" i="37" s="1"/>
  <c r="C69" i="37"/>
  <c r="C72" i="37" s="1"/>
  <c r="E53" i="37"/>
  <c r="E60" i="37"/>
  <c r="E50" i="37"/>
  <c r="E44" i="37"/>
  <c r="E45" i="37" s="1"/>
  <c r="E46" i="37" s="1"/>
  <c r="E34" i="37"/>
  <c r="E33" i="37"/>
  <c r="C81" i="37" l="1"/>
  <c r="C87" i="37" s="1"/>
  <c r="C89" i="37"/>
  <c r="C83" i="37"/>
  <c r="C92" i="37"/>
  <c r="C77" i="37"/>
  <c r="C80" i="37"/>
  <c r="C86" i="37" s="1"/>
  <c r="C88" i="37"/>
  <c r="C82" i="37"/>
  <c r="E63" i="37"/>
  <c r="E55" i="37"/>
  <c r="E70" i="37" l="1"/>
  <c r="E73" i="37" s="1"/>
  <c r="E75" i="37" s="1"/>
  <c r="E68" i="37"/>
  <c r="E71" i="37" s="1"/>
  <c r="E69" i="37"/>
  <c r="E72" i="37" s="1"/>
  <c r="E83" i="37" l="1"/>
  <c r="E81" i="37"/>
  <c r="E87" i="37" s="1"/>
  <c r="E89" i="37"/>
  <c r="E88" i="37"/>
  <c r="E82" i="37"/>
  <c r="E80" i="37"/>
  <c r="E86" i="37" s="1"/>
  <c r="E92" i="37"/>
  <c r="E77" i="37"/>
</calcChain>
</file>

<file path=xl/sharedStrings.xml><?xml version="1.0" encoding="utf-8"?>
<sst xmlns="http://schemas.openxmlformats.org/spreadsheetml/2006/main" count="1291" uniqueCount="714">
  <si>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</si>
  <si>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</si>
  <si>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</si>
  <si>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</si>
  <si>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</si>
  <si>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</si>
  <si>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</si>
  <si>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</si>
  <si>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</si>
  <si>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</si>
  <si>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Turns</t>
    <phoneticPr fontId="3" type="noConversion"/>
  </si>
  <si>
    <t>mm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</si>
  <si>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</si>
  <si>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</si>
  <si>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</si>
  <si>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</si>
  <si>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</si>
  <si>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</si>
  <si>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최대자속밀도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</si>
  <si>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</si>
  <si>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</si>
  <si>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</si>
  <si>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</si>
  <si>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</si>
  <si>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</si>
  <si>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</si>
  <si>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</si>
  <si>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</si>
  <si>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</si>
  <si>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</si>
  <si>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</si>
  <si>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</si>
  <si>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</si>
  <si>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</si>
  <si>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</si>
  <si>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</si>
  <si>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</si>
  <si>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</si>
  <si>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</si>
  <si>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</si>
  <si>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</si>
  <si>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</si>
  <si>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</si>
  <si>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</si>
  <si>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</si>
  <si>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</si>
  <si>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mm</t>
    <phoneticPr fontId="3" type="noConversion"/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</si>
  <si>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</si>
  <si>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</si>
  <si>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</si>
  <si>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</si>
  <si>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</si>
  <si>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</si>
  <si>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</si>
  <si>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</si>
  <si>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</si>
  <si>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</si>
  <si>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</si>
  <si>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</si>
  <si>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</si>
  <si>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</si>
  <si>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</si>
  <si>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</si>
  <si>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</si>
  <si>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</si>
  <si>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</si>
  <si>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</si>
  <si>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</si>
  <si>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</si>
  <si>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</si>
  <si>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</si>
  <si>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</si>
  <si>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</si>
  <si>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</si>
  <si>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</si>
  <si>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</si>
  <si>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</si>
  <si>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</si>
  <si>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</si>
  <si>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</si>
  <si>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</si>
  <si>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</si>
  <si>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</si>
  <si>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</si>
  <si>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</si>
  <si>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</si>
  <si>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</si>
  <si>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</si>
  <si>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</si>
  <si>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</si>
  <si>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</si>
  <si>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</si>
  <si>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</si>
  <si>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부하 인덕턴스</t>
    <phoneticPr fontId="3" type="noConversion"/>
  </si>
  <si>
    <t>코일 병렬 수</t>
    <phoneticPr fontId="3" type="noConversion"/>
  </si>
  <si>
    <t>L값 감소율</t>
    <phoneticPr fontId="3" type="noConversion"/>
  </si>
  <si>
    <t>코일 직렬 수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</si>
  <si>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</si>
  <si>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</si>
  <si>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</si>
  <si>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</si>
  <si>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</si>
  <si>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</si>
  <si>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</si>
  <si>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</si>
  <si>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</si>
  <si>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</si>
  <si>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</si>
  <si>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</si>
  <si>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</si>
  <si>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</si>
  <si>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</si>
  <si>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</si>
  <si>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</si>
  <si>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</si>
  <si>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</si>
  <si>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</si>
  <si>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</si>
  <si>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</si>
  <si>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</si>
  <si>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</si>
  <si>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</si>
  <si>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</si>
  <si>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</si>
  <si>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</si>
  <si>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</si>
  <si>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</si>
  <si>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</si>
  <si>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</si>
  <si>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</si>
  <si>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</si>
  <si>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</si>
  <si>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</si>
  <si>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</si>
  <si>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</si>
  <si>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</si>
  <si>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</si>
  <si>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</si>
  <si>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</si>
  <si>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</si>
  <si>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</si>
  <si>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</si>
  <si>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</si>
  <si>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</si>
  <si>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</si>
  <si>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</si>
  <si>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</si>
  <si>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</si>
  <si>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</si>
  <si>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</si>
  <si>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</si>
  <si>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C스너버 개당 C값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</si>
  <si>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</si>
  <si>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</si>
  <si>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</si>
  <si>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</si>
  <si>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</si>
  <si>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</si>
  <si>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</si>
  <si>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</si>
  <si>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</si>
  <si>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</si>
  <si>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</si>
  <si>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</si>
  <si>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</si>
  <si>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</si>
  <si>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</si>
  <si>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</si>
  <si>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</si>
  <si>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</si>
  <si>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</si>
  <si>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</si>
  <si>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</si>
  <si>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</si>
  <si>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</si>
  <si>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</si>
  <si>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</si>
  <si>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</si>
  <si>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</si>
  <si>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</si>
  <si>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</si>
  <si>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</si>
  <si>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</si>
  <si>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</si>
  <si>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</si>
  <si>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</si>
  <si>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날짜</t>
    <phoneticPr fontId="5" type="noConversion"/>
  </si>
  <si>
    <t>운전데이터</t>
    <phoneticPr fontId="5" type="noConversion"/>
  </si>
  <si>
    <t>운전데이터기준_예상데이터</t>
    <phoneticPr fontId="5" type="noConversion"/>
  </si>
  <si>
    <t>운전데이터 기준_탭비변경 예상데이터</t>
    <phoneticPr fontId="5" type="noConversion"/>
  </si>
  <si>
    <t>탭비변경 기준_예상데이터</t>
    <phoneticPr fontId="5" type="noConversion"/>
  </si>
  <si>
    <t>Po[kW]</t>
    <phoneticPr fontId="5" type="noConversion"/>
  </si>
  <si>
    <t>Vo[V]</t>
    <phoneticPr fontId="5" type="noConversion"/>
  </si>
  <si>
    <t>Io[A]</t>
    <phoneticPr fontId="5" type="noConversion"/>
  </si>
  <si>
    <t>Fr[kHz]</t>
    <phoneticPr fontId="5" type="noConversion"/>
  </si>
  <si>
    <t>M/T 탭비</t>
    <phoneticPr fontId="5" type="noConversion"/>
  </si>
  <si>
    <t>Ir[A]</t>
    <phoneticPr fontId="5" type="noConversion"/>
  </si>
  <si>
    <t>위상각</t>
    <phoneticPr fontId="5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</si>
  <si>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5" type="noConversion"/>
  </si>
  <si>
    <t>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</si>
  <si>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</si>
  <si>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</si>
  <si>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</si>
  <si>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변경 탭비</t>
    <phoneticPr fontId="5" type="noConversion"/>
  </si>
  <si>
    <t>변경 Ir[A]</t>
    <phoneticPr fontId="5" type="noConversion"/>
  </si>
  <si>
    <t>변경 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</si>
  <si>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</si>
  <si>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</si>
  <si>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</si>
  <si>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</si>
  <si>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</si>
  <si>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</si>
  <si>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</si>
  <si>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</si>
  <si>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</si>
  <si>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</si>
  <si>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</si>
  <si>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</si>
  <si>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</si>
  <si>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</si>
  <si>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</si>
  <si>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</si>
  <si>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</si>
  <si>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</si>
  <si>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</si>
  <si>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</si>
  <si>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</si>
  <si>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</si>
  <si>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</si>
  <si>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</si>
  <si>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</si>
  <si>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</si>
  <si>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</si>
  <si>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</si>
  <si>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</si>
  <si>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</si>
  <si>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</si>
  <si>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</si>
  <si>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</si>
  <si>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</si>
  <si>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</si>
  <si>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</si>
  <si>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</si>
  <si>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</si>
  <si>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</si>
  <si>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</si>
  <si>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</si>
  <si>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</si>
  <si>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</si>
  <si>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</si>
  <si>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</si>
  <si>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</si>
  <si>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</si>
  <si>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</si>
  <si>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</si>
  <si>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</si>
  <si>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</si>
  <si>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</si>
  <si>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</si>
  <si>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</si>
  <si>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</si>
  <si>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</si>
  <si>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</si>
  <si>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</si>
  <si>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</si>
  <si>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</si>
  <si>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</si>
  <si>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</si>
  <si>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위상각(기준 30° ,상황에 따라 20° 까지 적용)</t>
    <phoneticPr fontId="3" type="noConversion"/>
  </si>
  <si>
    <t>100%이하(98%정도이하),Turn Ratio값을 조정하여 변경</t>
    <phoneticPr fontId="3" type="noConversion"/>
  </si>
  <si>
    <t>Matching Transformer 의 권선비(Duty가 100%넘지 않도록 조정)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</si>
  <si>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</si>
  <si>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</si>
  <si>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</si>
  <si>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</si>
  <si>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</si>
  <si>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</si>
  <si>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C/T권선비</t>
    <phoneticPr fontId="3" type="noConversion"/>
  </si>
  <si>
    <t>C/T1차 인덕턴스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</si>
  <si>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</si>
  <si>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</si>
  <si>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</si>
  <si>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</si>
  <si>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</si>
  <si>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</si>
  <si>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코일의 Q값 (예상값 범위를 입력)</t>
    <phoneticPr fontId="3" type="noConversion"/>
  </si>
  <si>
    <t>공진 콘덴서 총 C값 (Fs 및 Fr을 원하는 주파수에 맞게 C값을 조정)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</si>
  <si>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</si>
  <si>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</si>
  <si>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</si>
  <si>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</si>
  <si>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</si>
  <si>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</si>
  <si>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</si>
  <si>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</si>
  <si>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</si>
  <si>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</si>
  <si>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</si>
  <si>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</si>
  <si>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</si>
  <si>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</si>
  <si>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</si>
  <si>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</si>
  <si>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</si>
  <si>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</si>
  <si>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</si>
  <si>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Zl at Fr</t>
    <phoneticPr fontId="3" type="noConversion"/>
  </si>
  <si>
    <t xml:space="preserve">직렬공진회로 설계 시트_PAM,PWM 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</si>
  <si>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</si>
  <si>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</si>
  <si>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</si>
  <si>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비유전율</t>
    <phoneticPr fontId="3" type="noConversion"/>
  </si>
  <si>
    <t>판폭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</si>
  <si>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</si>
  <si>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</si>
  <si>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</si>
  <si>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</si>
  <si>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외부도체내경</t>
    <phoneticPr fontId="3" type="noConversion"/>
  </si>
  <si>
    <t>공기유전율 (ε0)</t>
    <phoneticPr fontId="7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</si>
  <si>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</si>
  <si>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</si>
  <si>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</si>
  <si>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</si>
  <si>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</si>
  <si>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</si>
  <si>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</si>
  <si>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</si>
  <si>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</si>
  <si>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</si>
  <si>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</si>
  <si>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</si>
  <si>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</si>
  <si>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</si>
  <si>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</si>
  <si>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</si>
  <si>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</si>
  <si>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</si>
  <si>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</si>
  <si>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</si>
  <si>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</si>
  <si>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</si>
  <si>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</si>
  <si>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</si>
  <si>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</si>
  <si>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</si>
  <si>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</si>
  <si>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</si>
  <si>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</si>
  <si>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</si>
  <si>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</si>
  <si>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</si>
  <si>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</si>
  <si>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</si>
  <si>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</si>
  <si>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</si>
  <si>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</si>
  <si>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</si>
  <si>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</si>
  <si>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</si>
  <si>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</si>
  <si>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</si>
  <si>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</si>
  <si>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</si>
  <si>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</si>
  <si>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</si>
  <si>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</si>
  <si>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</si>
  <si>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</si>
  <si>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</si>
  <si>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</si>
  <si>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</si>
  <si>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</si>
  <si>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</si>
  <si>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</si>
  <si>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</si>
  <si>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</si>
  <si>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</si>
  <si>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</si>
  <si>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</si>
  <si>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</si>
  <si>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</si>
  <si>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</si>
  <si>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</si>
  <si>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</si>
  <si>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</si>
  <si>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</si>
  <si>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</si>
  <si>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</si>
  <si>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</si>
  <si>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</si>
  <si>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</si>
  <si>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</si>
  <si>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</si>
  <si>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</si>
  <si>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</si>
  <si>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</si>
  <si>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</si>
  <si>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</si>
  <si>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</si>
  <si>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</si>
  <si>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</si>
  <si>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</si>
  <si>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</si>
  <si>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</si>
  <si>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</si>
  <si>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</si>
  <si>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</si>
  <si>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</si>
  <si>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</si>
  <si>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</si>
  <si>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</si>
  <si>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</si>
  <si>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</si>
  <si>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</si>
  <si>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</si>
  <si>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</si>
  <si>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</si>
  <si>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</si>
  <si>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</si>
  <si>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</si>
  <si>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</si>
  <si>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</si>
  <si>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</si>
  <si>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</si>
  <si>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</si>
  <si>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</si>
  <si>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</si>
  <si>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</si>
  <si>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</si>
  <si>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</si>
  <si>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</si>
  <si>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</si>
  <si>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</si>
  <si>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</si>
  <si>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</si>
  <si>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</si>
  <si>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</si>
  <si>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</si>
  <si>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</si>
  <si>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</si>
  <si>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</si>
  <si>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</si>
  <si>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</si>
  <si>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</si>
  <si>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</si>
  <si>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</si>
  <si>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</si>
  <si>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</si>
  <si>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</si>
  <si>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</si>
  <si>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</si>
  <si>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</si>
  <si>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 xml:space="preserve">PROJECT </t>
    <phoneticPr fontId="9" type="noConversion"/>
  </si>
  <si>
    <t>작성일시</t>
    <phoneticPr fontId="9" type="noConversion"/>
  </si>
  <si>
    <t>요청 일시</t>
  </si>
  <si>
    <t>시운전일시</t>
    <phoneticPr fontId="9" type="noConversion"/>
  </si>
  <si>
    <t>납품 일시</t>
  </si>
  <si>
    <t>PROGRAM SPECIFICATION</t>
    <phoneticPr fontId="9" type="noConversion"/>
  </si>
  <si>
    <t>CLOCK</t>
    <phoneticPr fontId="9" type="noConversion"/>
  </si>
  <si>
    <t>M</t>
    <phoneticPr fontId="9" type="noConversion"/>
  </si>
  <si>
    <t>SCALE</t>
    <phoneticPr fontId="9" type="noConversion"/>
  </si>
  <si>
    <t>분주</t>
    <phoneticPr fontId="9" type="noConversion"/>
  </si>
  <si>
    <t>ECAP_CLOCK_10HZ</t>
    <phoneticPr fontId="9" type="noConversion"/>
  </si>
  <si>
    <t>FREQUENCY</t>
    <phoneticPr fontId="9" type="noConversion"/>
  </si>
  <si>
    <t>PERIOD</t>
    <phoneticPr fontId="9" type="noConversion"/>
  </si>
  <si>
    <t>HALF PERIOD</t>
    <phoneticPr fontId="9" type="noConversion"/>
  </si>
  <si>
    <t>POWER</t>
    <phoneticPr fontId="9" type="noConversion"/>
  </si>
  <si>
    <t>MAXIMUM</t>
    <phoneticPr fontId="9" type="noConversion"/>
  </si>
  <si>
    <t>kW</t>
    <phoneticPr fontId="9" type="noConversion"/>
  </si>
  <si>
    <t>MINIMUM</t>
    <phoneticPr fontId="9" type="noConversion"/>
  </si>
  <si>
    <t>INPUT VOLTAGE</t>
    <phoneticPr fontId="9" type="noConversion"/>
  </si>
  <si>
    <t>VAC</t>
    <phoneticPr fontId="9" type="noConversion"/>
  </si>
  <si>
    <t>Vo MAX</t>
    <phoneticPr fontId="9" type="noConversion"/>
  </si>
  <si>
    <t>V</t>
    <phoneticPr fontId="9" type="noConversion"/>
  </si>
  <si>
    <t>INRUSH Voltage</t>
    <phoneticPr fontId="9" type="noConversion"/>
  </si>
  <si>
    <t>UVP</t>
    <phoneticPr fontId="9" type="noConversion"/>
  </si>
  <si>
    <t>전류 센싱</t>
    <phoneticPr fontId="9" type="noConversion"/>
  </si>
  <si>
    <t>SHUNT</t>
    <phoneticPr fontId="9" type="noConversion"/>
  </si>
  <si>
    <t>A/50mV</t>
    <phoneticPr fontId="9" type="noConversion"/>
  </si>
  <si>
    <t>Io OCP</t>
    <phoneticPr fontId="9" type="noConversion"/>
  </si>
  <si>
    <t>A</t>
    <phoneticPr fontId="9" type="noConversion"/>
  </si>
  <si>
    <t>공진 전류 센싱</t>
    <phoneticPr fontId="9" type="noConversion"/>
  </si>
  <si>
    <t>RESISTOR</t>
    <phoneticPr fontId="9" type="noConversion"/>
  </si>
  <si>
    <t>Ω</t>
    <phoneticPr fontId="9" type="noConversion"/>
  </si>
  <si>
    <t>PARALLEL</t>
    <phoneticPr fontId="9" type="noConversion"/>
  </si>
  <si>
    <t>개수</t>
    <phoneticPr fontId="9" type="noConversion"/>
  </si>
  <si>
    <t>CT</t>
    <phoneticPr fontId="9" type="noConversion"/>
  </si>
  <si>
    <t>:1</t>
    <phoneticPr fontId="9" type="noConversion"/>
  </si>
  <si>
    <t>실제 CURRENT</t>
    <phoneticPr fontId="9" type="noConversion"/>
  </si>
  <si>
    <t>IR RMS</t>
    <phoneticPr fontId="9" type="noConversion"/>
  </si>
  <si>
    <t>IR AVG(LCD)</t>
    <phoneticPr fontId="9" type="noConversion"/>
  </si>
  <si>
    <t>IR OCP</t>
    <phoneticPr fontId="9" type="noConversion"/>
  </si>
  <si>
    <t>AD REF
(4 ~ 20mA)</t>
    <phoneticPr fontId="9" type="noConversion"/>
  </si>
  <si>
    <t xml:space="preserve">kW </t>
    <phoneticPr fontId="9" type="noConversion"/>
  </si>
  <si>
    <t>DA POWER</t>
    <phoneticPr fontId="9" type="noConversion"/>
  </si>
  <si>
    <t>DA FREQUENCY</t>
    <phoneticPr fontId="9" type="noConversion"/>
  </si>
  <si>
    <t>Hz</t>
    <phoneticPr fontId="9" type="noConversion"/>
  </si>
  <si>
    <t>공진 CAP</t>
    <phoneticPr fontId="9" type="noConversion"/>
  </si>
  <si>
    <t>RESONANT_CAP</t>
    <phoneticPr fontId="9" type="noConversion"/>
  </si>
  <si>
    <t xml:space="preserve">uF </t>
    <phoneticPr fontId="9" type="noConversion"/>
  </si>
  <si>
    <t>VOLTAGE</t>
    <phoneticPr fontId="9" type="noConversion"/>
  </si>
  <si>
    <t>SET_Vr</t>
    <phoneticPr fontId="9" type="noConversion"/>
  </si>
  <si>
    <t>M/T</t>
    <phoneticPr fontId="9" type="noConversion"/>
  </si>
  <si>
    <t>SET_TURN_RATIO</t>
  </si>
  <si>
    <t>동작 주파수</t>
    <phoneticPr fontId="9" type="noConversion"/>
  </si>
  <si>
    <t>START FREQUENCY</t>
    <phoneticPr fontId="9" type="noConversion"/>
  </si>
  <si>
    <t>PWM FREQUENCY</t>
    <phoneticPr fontId="9" type="noConversion"/>
  </si>
  <si>
    <t>DEAD TIME</t>
    <phoneticPr fontId="9" type="noConversion"/>
  </si>
  <si>
    <t xml:space="preserve">uS </t>
    <phoneticPr fontId="9" type="noConversion"/>
  </si>
  <si>
    <t>분주 주파수</t>
    <phoneticPr fontId="9" type="noConversion"/>
  </si>
  <si>
    <t>SET DEAD TIME</t>
    <phoneticPr fontId="9" type="noConversion"/>
  </si>
  <si>
    <t>COUNT</t>
    <phoneticPr fontId="9" type="noConversion"/>
  </si>
  <si>
    <t>EXT FAULT</t>
    <phoneticPr fontId="9" type="noConversion"/>
  </si>
  <si>
    <t>FLT1</t>
    <phoneticPr fontId="9" type="noConversion"/>
  </si>
  <si>
    <t>DOOR OPEN</t>
    <phoneticPr fontId="9" type="noConversion"/>
  </si>
  <si>
    <t>○</t>
    <phoneticPr fontId="9" type="noConversion"/>
  </si>
  <si>
    <t>FLT2</t>
  </si>
  <si>
    <t>OPP CAP</t>
    <phoneticPr fontId="9" type="noConversion"/>
  </si>
  <si>
    <t>FLT3</t>
  </si>
  <si>
    <t>OTP WATER</t>
    <phoneticPr fontId="9" type="noConversion"/>
  </si>
  <si>
    <t>FLT4</t>
  </si>
  <si>
    <t>FLOW WATER</t>
    <phoneticPr fontId="9" type="noConversion"/>
  </si>
  <si>
    <t>FLT5</t>
  </si>
  <si>
    <t>MA/CB AUX</t>
    <phoneticPr fontId="9" type="noConversion"/>
  </si>
  <si>
    <t>FLT6</t>
  </si>
  <si>
    <t>SPARE</t>
    <phoneticPr fontId="9" type="noConversion"/>
  </si>
  <si>
    <t>X</t>
    <phoneticPr fontId="9" type="noConversion"/>
  </si>
  <si>
    <t>FLT7</t>
  </si>
  <si>
    <t>LEAK WATER</t>
    <phoneticPr fontId="9" type="noConversion"/>
  </si>
  <si>
    <t>CONTROL MODE</t>
    <phoneticPr fontId="9" type="noConversion"/>
  </si>
  <si>
    <t>공진회로</t>
    <phoneticPr fontId="9" type="noConversion"/>
  </si>
  <si>
    <t>특이 사항</t>
    <phoneticPr fontId="9" type="noConversion"/>
  </si>
  <si>
    <t>IH PROGRAM SETTING VALUE_Digital</t>
    <phoneticPr fontId="9" type="noConversion"/>
  </si>
  <si>
    <t>공정</t>
    <phoneticPr fontId="10" type="noConversion"/>
  </si>
  <si>
    <t>전력</t>
    <phoneticPr fontId="10" type="noConversion"/>
  </si>
  <si>
    <t>예상 동작 주파수</t>
    <phoneticPr fontId="10" type="noConversion"/>
  </si>
  <si>
    <t>MCCB</t>
    <phoneticPr fontId="10" type="noConversion"/>
  </si>
  <si>
    <t>FUSE</t>
    <phoneticPr fontId="10" type="noConversion"/>
  </si>
  <si>
    <t xml:space="preserve">DIODE </t>
    <phoneticPr fontId="10" type="noConversion"/>
  </si>
  <si>
    <t>인러쉬 충전 및 과전압보호</t>
    <phoneticPr fontId="10" type="noConversion"/>
  </si>
  <si>
    <t>DC 인덕터</t>
    <phoneticPr fontId="10" type="noConversion"/>
  </si>
  <si>
    <t>전류센싱 션트저항</t>
    <phoneticPr fontId="10" type="noConversion"/>
  </si>
  <si>
    <t>인버팅 소자(IGBT)</t>
    <phoneticPr fontId="10" type="noConversion"/>
  </si>
  <si>
    <t>제어방식</t>
    <phoneticPr fontId="10" type="noConversion"/>
  </si>
  <si>
    <t>DC LINK CAPACITOR</t>
    <phoneticPr fontId="10" type="noConversion"/>
  </si>
  <si>
    <t>M/T(Matching Transformer)</t>
    <phoneticPr fontId="10" type="noConversion"/>
  </si>
  <si>
    <t>전류센싱 C/T</t>
    <phoneticPr fontId="10" type="noConversion"/>
  </si>
  <si>
    <t>DC BLOCKING CAP</t>
    <phoneticPr fontId="10" type="noConversion"/>
  </si>
  <si>
    <t>공진 CAP</t>
    <phoneticPr fontId="10" type="noConversion"/>
  </si>
  <si>
    <t>공진 CAP 구조</t>
    <phoneticPr fontId="10" type="noConversion"/>
  </si>
  <si>
    <t xml:space="preserve">코일 </t>
    <phoneticPr fontId="10" type="noConversion"/>
  </si>
  <si>
    <t>코일 연결 구조</t>
    <phoneticPr fontId="10" type="noConversion"/>
  </si>
  <si>
    <t>예상 Q값</t>
    <phoneticPr fontId="10" type="noConversion"/>
  </si>
  <si>
    <t>입력 선전류( 마진포함)</t>
    <phoneticPr fontId="10" type="noConversion"/>
  </si>
  <si>
    <t>입력 DC전류</t>
    <phoneticPr fontId="10" type="noConversion"/>
  </si>
  <si>
    <t>인버터 출력전류(M/T 1차)</t>
    <phoneticPr fontId="10" type="noConversion"/>
  </si>
  <si>
    <t>공진전류(공진CAP,출력케이블)</t>
    <phoneticPr fontId="10" type="noConversion"/>
  </si>
  <si>
    <t>고객사</t>
    <phoneticPr fontId="10" type="noConversion"/>
  </si>
  <si>
    <t>MAIN C/T</t>
    <phoneticPr fontId="3" type="noConversion"/>
  </si>
  <si>
    <t>사용안함</t>
    <phoneticPr fontId="10" type="noConversion"/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</si>
  <si>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</si>
  <si>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</si>
  <si>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</si>
  <si>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</si>
  <si>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</si>
  <si>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</si>
  <si>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</si>
  <si>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</si>
  <si>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</si>
  <si>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</si>
  <si>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</si>
  <si>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</si>
  <si>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</si>
  <si>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</si>
  <si>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</si>
  <si>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</si>
  <si>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</si>
  <si>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</si>
  <si>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</si>
  <si>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&lt;코아 중족 단면적 ( 1조 기준, 주사용품)&gt;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</si>
  <si>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</si>
  <si>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</si>
  <si>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</si>
  <si>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</si>
  <si>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</si>
  <si>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</si>
  <si>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</si>
  <si>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</si>
  <si>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</si>
  <si>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</si>
  <si>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</si>
  <si>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</si>
  <si>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</si>
  <si>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8" type="noConversion"/>
  </si>
  <si>
    <t>FLT8</t>
    <phoneticPr fontId="3" type="noConversion"/>
  </si>
  <si>
    <t>COIL TOUCH(열처리)
GOUND LEAK(용해로)</t>
    <phoneticPr fontId="3" type="noConversion"/>
  </si>
  <si>
    <t>FLT9</t>
    <phoneticPr fontId="4" type="noConversion"/>
  </si>
  <si>
    <t>FUSE OPEN</t>
    <phoneticPr fontId="4" type="noConversion"/>
  </si>
  <si>
    <t>○</t>
    <phoneticPr fontId="4" type="noConversion"/>
  </si>
  <si>
    <t>FLT10</t>
    <phoneticPr fontId="4" type="noConversion"/>
  </si>
  <si>
    <t>OVGR</t>
    <phoneticPr fontId="4" type="noConversion"/>
  </si>
  <si>
    <t>IR OCP</t>
    <phoneticPr fontId="4" type="noConversion"/>
  </si>
  <si>
    <t>IIN OCP</t>
    <phoneticPr fontId="4" type="noConversion"/>
  </si>
  <si>
    <t>MD FAULT</t>
    <phoneticPr fontId="4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</si>
  <si>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</si>
  <si>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</si>
  <si>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</si>
  <si>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</si>
  <si>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</si>
  <si>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</si>
  <si>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</si>
  <si>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</si>
  <si>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</si>
  <si>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kVar</t>
    <phoneticPr fontId="3" type="noConversion"/>
  </si>
  <si>
    <t>코일전류</t>
    <phoneticPr fontId="3" type="noConversion"/>
  </si>
  <si>
    <t>메인 컨트롤 보드</t>
    <phoneticPr fontId="3" type="noConversion"/>
  </si>
  <si>
    <t>게이트 드라이버 보드</t>
    <phoneticPr fontId="3" type="noConversion"/>
  </si>
  <si>
    <t>확장(익스펜션) 보드</t>
    <phoneticPr fontId="3" type="noConversion"/>
  </si>
  <si>
    <t>모듈 컨트롤 보드</t>
    <phoneticPr fontId="3" type="noConversion"/>
  </si>
  <si>
    <t>&lt;DC 인덕터 L값)&gt;</t>
    <phoneticPr fontId="3" type="noConversion"/>
  </si>
  <si>
    <t>규격</t>
    <phoneticPr fontId="3" type="noConversion"/>
  </si>
  <si>
    <t>자재코드</t>
    <phoneticPr fontId="3" type="noConversion"/>
  </si>
  <si>
    <t>L값(360Hz)</t>
    <phoneticPr fontId="3" type="noConversion"/>
  </si>
  <si>
    <t xml:space="preserve">[PSIH-50XF-L1F-V1] </t>
    <phoneticPr fontId="3" type="noConversion"/>
  </si>
  <si>
    <t>LLL00001</t>
    <phoneticPr fontId="11" type="noConversion"/>
  </si>
  <si>
    <t>60uH</t>
    <phoneticPr fontId="11" type="noConversion"/>
  </si>
  <si>
    <t xml:space="preserve">[PSIH-050HF-LO-01] </t>
    <phoneticPr fontId="3" type="noConversion"/>
  </si>
  <si>
    <t>LLL00005</t>
    <phoneticPr fontId="11" type="noConversion"/>
  </si>
  <si>
    <t>390uH</t>
    <phoneticPr fontId="11" type="noConversion"/>
  </si>
  <si>
    <t>[PSIH-100XF-LI-V1]</t>
    <phoneticPr fontId="3" type="noConversion"/>
  </si>
  <si>
    <t>LLL00060</t>
    <phoneticPr fontId="11" type="noConversion"/>
  </si>
  <si>
    <t>900uH</t>
    <phoneticPr fontId="11" type="noConversion"/>
  </si>
  <si>
    <t xml:space="preserve">[PSIH-200XF-LI-V1] </t>
    <phoneticPr fontId="3" type="noConversion"/>
  </si>
  <si>
    <t>LLL00012</t>
    <phoneticPr fontId="11" type="noConversion"/>
  </si>
  <si>
    <t>630uH</t>
    <phoneticPr fontId="11" type="noConversion"/>
  </si>
  <si>
    <t xml:space="preserve">[PSIH-400XF-LI-V1]  </t>
    <phoneticPr fontId="3" type="noConversion"/>
  </si>
  <si>
    <t>LLL00013</t>
    <phoneticPr fontId="11" type="noConversion"/>
  </si>
  <si>
    <t>375uH</t>
    <phoneticPr fontId="11" type="noConversion"/>
  </si>
  <si>
    <t xml:space="preserve">[PSIH-500XF-LI-V2] </t>
    <phoneticPr fontId="3" type="noConversion"/>
  </si>
  <si>
    <t>LLL00051</t>
    <phoneticPr fontId="11" type="noConversion"/>
  </si>
  <si>
    <t>515uH</t>
    <phoneticPr fontId="11" type="noConversion"/>
  </si>
  <si>
    <t>&lt;트랜스포머(C/T) 최소 턴수 계산 공식&gt;</t>
    <phoneticPr fontId="3" type="noConversion"/>
  </si>
  <si>
    <t>통전전류</t>
    <phoneticPr fontId="3" type="noConversion"/>
  </si>
  <si>
    <t>&lt;콘덴서 전류 계산 공식&gt;</t>
    <phoneticPr fontId="3" type="noConversion"/>
  </si>
  <si>
    <t>&lt;Q값 계산 공식 :공진 C 기준&gt;: 기존설비 데이터</t>
    <phoneticPr fontId="3" type="noConversion"/>
  </si>
  <si>
    <t>FM+ LBPWM (Full Bridge)</t>
    <phoneticPr fontId="10" type="noConversion"/>
  </si>
  <si>
    <t>IH_GATE_DRIVER_V21_DUAL_R6_800A</t>
    <phoneticPr fontId="3" type="noConversion"/>
  </si>
  <si>
    <t>FM+LBPWM</t>
    <phoneticPr fontId="4" type="noConversion"/>
  </si>
  <si>
    <t>직렬공진회로(FULL BRIDGE)</t>
    <phoneticPr fontId="4" type="noConversion"/>
  </si>
  <si>
    <r>
      <t>o</t>
    </r>
    <r>
      <rPr>
        <sz val="11"/>
        <rFont val="돋움"/>
        <family val="3"/>
        <charset val="129"/>
      </rPr>
      <t>k</t>
    </r>
    <phoneticPr fontId="3" type="noConversion"/>
  </si>
  <si>
    <t>ok</t>
    <phoneticPr fontId="3" type="noConversion"/>
  </si>
  <si>
    <t xml:space="preserve">센싱범위는 동일함 </t>
    <phoneticPr fontId="3" type="noConversion"/>
  </si>
  <si>
    <t>코일턴수 T</t>
    <phoneticPr fontId="3" type="noConversion"/>
  </si>
  <si>
    <t>Turns</t>
    <phoneticPr fontId="3" type="noConversion"/>
  </si>
  <si>
    <t>내부직경 r</t>
    <phoneticPr fontId="3" type="noConversion"/>
  </si>
  <si>
    <t>mm</t>
    <phoneticPr fontId="3" type="noConversion"/>
  </si>
  <si>
    <t>권취 수평폭 W</t>
    <phoneticPr fontId="3" type="noConversion"/>
  </si>
  <si>
    <t>인덕턴스 L</t>
    <phoneticPr fontId="3" type="noConversion"/>
  </si>
  <si>
    <t>uH</t>
    <phoneticPr fontId="3" type="noConversion"/>
  </si>
  <si>
    <t>&lt;코일 인덕턴스 계산 공식 (팬케익)&gt;</t>
    <phoneticPr fontId="3" type="noConversion"/>
  </si>
  <si>
    <t>&lt;코일 인덕턴스 계산 공식: 팬케익형, C/T 및 출력케이블포함&gt;</t>
    <phoneticPr fontId="3" type="noConversion"/>
  </si>
  <si>
    <t>사용안함</t>
    <phoneticPr fontId="10" type="noConversion"/>
  </si>
  <si>
    <t>사용안함</t>
    <phoneticPr fontId="3" type="noConversion"/>
  </si>
  <si>
    <t>LCD MAX 설정치</t>
    <phoneticPr fontId="3" type="noConversion"/>
  </si>
  <si>
    <t>실제 동작예상주파수는 20~30kHz</t>
    <phoneticPr fontId="3" type="noConversion"/>
  </si>
  <si>
    <t>cm^2</t>
    <phoneticPr fontId="3" type="noConversion"/>
  </si>
  <si>
    <t>너트 외곽</t>
    <phoneticPr fontId="3" type="noConversion"/>
  </si>
  <si>
    <t>너트 홈</t>
    <phoneticPr fontId="3" type="noConversion"/>
  </si>
  <si>
    <t>Shaft Nut Jack 유도가열</t>
    <phoneticPr fontId="10" type="noConversion"/>
  </si>
  <si>
    <t>20kHz</t>
    <phoneticPr fontId="10" type="noConversion"/>
  </si>
  <si>
    <t>한전 KPS</t>
    <phoneticPr fontId="10" type="noConversion"/>
  </si>
  <si>
    <t>50kW</t>
    <phoneticPr fontId="10" type="noConversion"/>
  </si>
  <si>
    <t>ABS103c 125A</t>
    <phoneticPr fontId="4" type="noConversion"/>
  </si>
  <si>
    <t>[JRS62-120] 600V 120A</t>
    <phoneticPr fontId="10" type="noConversion"/>
  </si>
  <si>
    <t>SCC00087</t>
    <phoneticPr fontId="3" type="noConversion"/>
  </si>
  <si>
    <t>UFF00010</t>
    <phoneticPr fontId="3" type="noConversion"/>
  </si>
  <si>
    <t>DDB6U215N16L</t>
    <phoneticPr fontId="3" type="noConversion"/>
  </si>
  <si>
    <t>EBB00016</t>
    <phoneticPr fontId="3" type="noConversion"/>
  </si>
  <si>
    <t>INRUSH_MC_V6_1</t>
    <phoneticPr fontId="3" type="noConversion"/>
  </si>
  <si>
    <t>과전압보호회로 없음</t>
    <phoneticPr fontId="3" type="noConversion"/>
  </si>
  <si>
    <t>PSIH-50XF-L1F-V1</t>
    <phoneticPr fontId="4" type="noConversion"/>
  </si>
  <si>
    <t>[SK-S-02] 150A</t>
    <phoneticPr fontId="4" type="noConversion"/>
  </si>
  <si>
    <t>[DD500943] DC LINK CAP Module, 장착위치: IGBT(62mm package) DIRECT 연결, CAP 용량: 50uF 900V, 가로(행)수: 4, 세로(열)수: 3</t>
    <phoneticPr fontId="10" type="noConversion"/>
  </si>
  <si>
    <t>전류검출용 CT 100:1</t>
    <phoneticPr fontId="10" type="noConversion"/>
  </si>
  <si>
    <t>81A</t>
    <phoneticPr fontId="10" type="noConversion"/>
  </si>
  <si>
    <t>86A</t>
    <phoneticPr fontId="10" type="noConversion"/>
  </si>
  <si>
    <t>[FF450R12KT4] 1200V, 450A, MODULE 2병렬 4EA</t>
    <phoneticPr fontId="10" type="noConversion"/>
  </si>
  <si>
    <t>팬케익형</t>
    <phoneticPr fontId="3" type="noConversion"/>
  </si>
  <si>
    <t>너트 외각 &amp; 홈 직렬구조</t>
    <phoneticPr fontId="3" type="noConversion"/>
  </si>
  <si>
    <t>IH DIGITAL CONTROL BOARD V3.8</t>
    <phoneticPr fontId="3" type="noConversion"/>
  </si>
  <si>
    <t>2병렬</t>
    <phoneticPr fontId="3" type="noConversion"/>
  </si>
  <si>
    <t>X</t>
    <phoneticPr fontId="9" type="noConversion"/>
  </si>
  <si>
    <t>X</t>
    <phoneticPr fontId="9" type="noConversion"/>
  </si>
  <si>
    <t>X</t>
    <phoneticPr fontId="9" type="noConversion"/>
  </si>
  <si>
    <t>X</t>
    <phoneticPr fontId="3" type="noConversion"/>
  </si>
  <si>
    <t>X</t>
    <phoneticPr fontId="4" type="noConversion"/>
  </si>
  <si>
    <t>한전KPS_50kW</t>
    <phoneticPr fontId="9" type="noConversion"/>
  </si>
  <si>
    <t>2021.01.18</t>
    <phoneticPr fontId="9" type="noConversion"/>
  </si>
  <si>
    <t>2021.02.15</t>
    <phoneticPr fontId="9" type="noConversion"/>
  </si>
  <si>
    <t>2021.02.28</t>
    <phoneticPr fontId="3" type="noConversion"/>
  </si>
  <si>
    <t>[DHF-S500P1000A] 700V 10uF, 1000A DHF-S500P, W*T*H=100*100*47</t>
    <phoneticPr fontId="10" type="noConversion"/>
  </si>
  <si>
    <r>
      <t>2</t>
    </r>
    <r>
      <rPr>
        <sz val="11"/>
        <rFont val="돋움"/>
        <family val="3"/>
        <charset val="129"/>
      </rPr>
      <t>15m옴</t>
    </r>
    <phoneticPr fontId="3" type="noConversion"/>
  </si>
  <si>
    <r>
      <t>3</t>
    </r>
    <r>
      <rPr>
        <sz val="11"/>
        <rFont val="돋움"/>
        <family val="3"/>
        <charset val="129"/>
      </rPr>
      <t>D</t>
    </r>
    <phoneticPr fontId="3" type="noConversion"/>
  </si>
  <si>
    <t>3D</t>
    <phoneticPr fontId="3" type="noConversion"/>
  </si>
  <si>
    <r>
      <t>70</t>
    </r>
    <r>
      <rPr>
        <sz val="11"/>
        <rFont val="돋움"/>
        <family val="3"/>
        <charset val="129"/>
      </rPr>
      <t>7m옴</t>
    </r>
    <phoneticPr fontId="3" type="noConversion"/>
  </si>
  <si>
    <r>
      <t>2</t>
    </r>
    <r>
      <rPr>
        <sz val="11"/>
        <rFont val="돋움"/>
        <family val="3"/>
        <charset val="129"/>
      </rPr>
      <t>55A</t>
    </r>
    <phoneticPr fontId="3" type="noConversion"/>
  </si>
  <si>
    <t>2m 2가닥 기준</t>
    <phoneticPr fontId="3" type="noConversion"/>
  </si>
  <si>
    <t>4직렬</t>
    <phoneticPr fontId="3" type="noConversion"/>
  </si>
  <si>
    <t>3~5</t>
    <phoneticPr fontId="3" type="noConversion"/>
  </si>
  <si>
    <t>최대 180A</t>
    <phoneticPr fontId="10" type="noConversion"/>
  </si>
  <si>
    <t>최대 360A</t>
    <phoneticPr fontId="10" type="noConversion"/>
  </si>
  <si>
    <t>4직렬 1병렬, 
 : 총 2.5uF, 2000V, 1000A</t>
    <phoneticPr fontId="10" type="noConversion"/>
  </si>
  <si>
    <t>1차 : 2차 : 1차 구조 권선</t>
    <phoneticPr fontId="3" type="noConversion"/>
  </si>
  <si>
    <t>1. 동파이프 + 동파이프
2. 1차 권선 : 동파이프 7.9파이 14, 12 턴
3. 2차 권선 : 동파이프 9.5파이 7턴
4. 코아 : UU120C 4조 (중족 단면적 48cm2)
5. 턴비 : 14, 12 : 7 (기본 14 : 7), 2 : 1
--&gt; 1차 최대 전류 : 180A, 2차 전류 : 360A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</si>
</sst>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/>
  </cellStyleXfs>
  <cellXfs count="307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83" fontId="0" fillId="7" borderId="11" xfId="0" applyNumberFormat="1" applyFill="1" applyBorder="1" applyAlignment="1">
      <alignment horizontal="center" vertical="center"/>
    </xf>
    <xf numFmtId="184" fontId="0" fillId="7" borderId="12" xfId="0" applyNumberFormat="1" applyFill="1" applyBorder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185" fontId="0" fillId="2" borderId="12" xfId="0" applyNumberFormat="1" applyFill="1" applyBorder="1" applyAlignment="1">
      <alignment horizontal="center" vertical="center"/>
    </xf>
    <xf numFmtId="0" fontId="0" fillId="7" borderId="13" xfId="0" applyNumberFormat="1" applyFill="1" applyBorder="1" applyAlignment="1">
      <alignment horizontal="center" vertical="center"/>
    </xf>
    <xf numFmtId="186" fontId="0" fillId="4" borderId="11" xfId="0" applyNumberFormat="1" applyFill="1" applyBorder="1" applyAlignment="1">
      <alignment horizontal="center" vertical="center"/>
    </xf>
    <xf numFmtId="185" fontId="0" fillId="4" borderId="14" xfId="0" applyNumberFormat="1" applyFill="1" applyBorder="1" applyAlignment="1">
      <alignment horizontal="center" vertical="center"/>
    </xf>
    <xf numFmtId="183" fontId="0" fillId="7" borderId="13" xfId="0" applyNumberFormat="1" applyFill="1" applyBorder="1" applyAlignment="1">
      <alignment horizontal="center" vertical="center"/>
    </xf>
    <xf numFmtId="186" fontId="0" fillId="5" borderId="11" xfId="0" applyNumberFormat="1" applyFill="1" applyBorder="1" applyAlignment="1">
      <alignment horizontal="center" vertical="center"/>
    </xf>
    <xf numFmtId="185" fontId="0" fillId="5" borderId="12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86" fontId="0" fillId="6" borderId="11" xfId="0" applyNumberFormat="1" applyFill="1" applyBorder="1" applyAlignment="1">
      <alignment horizontal="center" vertical="center"/>
    </xf>
    <xf numFmtId="185" fontId="0" fillId="6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83" fontId="0" fillId="7" borderId="17" xfId="0" applyNumberFormat="1" applyFill="1" applyBorder="1" applyAlignment="1">
      <alignment horizontal="center" vertical="center"/>
    </xf>
    <xf numFmtId="184" fontId="0" fillId="7" borderId="18" xfId="0" applyNumberFormat="1" applyFill="1" applyBorder="1" applyAlignment="1">
      <alignment horizontal="center" vertical="center"/>
    </xf>
    <xf numFmtId="177" fontId="0" fillId="2" borderId="17" xfId="0" applyNumberFormat="1" applyFill="1" applyBorder="1" applyAlignment="1">
      <alignment horizontal="center" vertical="center"/>
    </xf>
    <xf numFmtId="185" fontId="0" fillId="2" borderId="18" xfId="0" applyNumberFormat="1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186" fontId="0" fillId="4" borderId="17" xfId="0" applyNumberFormat="1" applyFill="1" applyBorder="1" applyAlignment="1">
      <alignment horizontal="center" vertical="center"/>
    </xf>
    <xf numFmtId="185" fontId="0" fillId="4" borderId="20" xfId="0" applyNumberFormat="1" applyFill="1" applyBorder="1" applyAlignment="1">
      <alignment horizontal="center" vertical="center"/>
    </xf>
    <xf numFmtId="183" fontId="0" fillId="7" borderId="19" xfId="0" applyNumberFormat="1" applyFill="1" applyBorder="1" applyAlignment="1">
      <alignment horizontal="center" vertical="center"/>
    </xf>
    <xf numFmtId="186" fontId="0" fillId="5" borderId="17" xfId="0" applyNumberFormat="1" applyFill="1" applyBorder="1" applyAlignment="1">
      <alignment horizontal="center" vertical="center"/>
    </xf>
    <xf numFmtId="185" fontId="0" fillId="5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86" fontId="0" fillId="6" borderId="17" xfId="0" applyNumberFormat="1" applyFill="1" applyBorder="1" applyAlignment="1">
      <alignment horizontal="center" vertical="center"/>
    </xf>
    <xf numFmtId="185" fontId="0" fillId="6" borderId="21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14" fontId="0" fillId="0" borderId="22" xfId="0" applyNumberFormat="1" applyBorder="1" applyAlignment="1">
      <alignment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183" fontId="0" fillId="7" borderId="24" xfId="0" applyNumberFormat="1" applyFill="1" applyBorder="1" applyAlignment="1">
      <alignment horizontal="center" vertical="center"/>
    </xf>
    <xf numFmtId="184" fontId="0" fillId="7" borderId="25" xfId="0" applyNumberFormat="1" applyFill="1" applyBorder="1" applyAlignment="1">
      <alignment horizontal="center" vertical="center"/>
    </xf>
    <xf numFmtId="177" fontId="0" fillId="2" borderId="24" xfId="0" applyNumberFormat="1" applyFill="1" applyBorder="1" applyAlignment="1">
      <alignment horizontal="center" vertical="center"/>
    </xf>
    <xf numFmtId="185" fontId="0" fillId="2" borderId="25" xfId="0" applyNumberFormat="1" applyFill="1" applyBorder="1" applyAlignment="1">
      <alignment horizontal="center" vertical="center"/>
    </xf>
    <xf numFmtId="0" fontId="0" fillId="7" borderId="26" xfId="0" applyNumberFormat="1" applyFill="1" applyBorder="1" applyAlignment="1">
      <alignment horizontal="center" vertical="center"/>
    </xf>
    <xf numFmtId="186" fontId="0" fillId="4" borderId="24" xfId="0" applyNumberFormat="1" applyFill="1" applyBorder="1" applyAlignment="1">
      <alignment horizontal="center" vertical="center"/>
    </xf>
    <xf numFmtId="185" fontId="0" fillId="4" borderId="27" xfId="0" applyNumberFormat="1" applyFill="1" applyBorder="1" applyAlignment="1">
      <alignment horizontal="center" vertical="center"/>
    </xf>
    <xf numFmtId="183" fontId="0" fillId="7" borderId="26" xfId="0" applyNumberFormat="1" applyFill="1" applyBorder="1" applyAlignment="1">
      <alignment horizontal="center" vertical="center"/>
    </xf>
    <xf numFmtId="186" fontId="0" fillId="5" borderId="24" xfId="0" applyNumberFormat="1" applyFill="1" applyBorder="1" applyAlignment="1">
      <alignment horizontal="center" vertical="center"/>
    </xf>
    <xf numFmtId="185" fontId="0" fillId="5" borderId="25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86" fontId="0" fillId="6" borderId="24" xfId="0" applyNumberFormat="1" applyFill="1" applyBorder="1" applyAlignment="1">
      <alignment horizontal="center" vertical="center"/>
    </xf>
    <xf numFmtId="185" fontId="0" fillId="6" borderId="28" xfId="0" applyNumberForma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10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/>
    </xf>
    <xf numFmtId="178" fontId="14" fillId="8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vertical="center"/>
    </xf>
    <xf numFmtId="0" fontId="13" fillId="10" borderId="1" xfId="0" applyNumberFormat="1" applyFont="1" applyFill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0" fontId="12" fillId="9" borderId="1" xfId="0" applyNumberFormat="1" applyFont="1" applyFill="1" applyBorder="1" applyAlignment="1">
      <alignment vertical="center"/>
    </xf>
    <xf numFmtId="0" fontId="14" fillId="9" borderId="1" xfId="0" applyNumberFormat="1" applyFont="1" applyFill="1" applyBorder="1" applyAlignment="1">
      <alignment vertical="center"/>
    </xf>
    <xf numFmtId="0" fontId="14" fillId="0" borderId="1" xfId="2" applyFont="1" applyBorder="1" applyAlignment="1">
      <alignment vertical="center"/>
    </xf>
    <xf numFmtId="0" fontId="14" fillId="9" borderId="1" xfId="2" applyFont="1" applyFill="1" applyBorder="1" applyAlignment="1">
      <alignment vertical="center"/>
    </xf>
    <xf numFmtId="0" fontId="14" fillId="8" borderId="1" xfId="2" applyFont="1" applyFill="1" applyBorder="1" applyAlignment="1">
      <alignment vertical="center"/>
    </xf>
    <xf numFmtId="178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178" fontId="12" fillId="9" borderId="1" xfId="0" applyNumberFormat="1" applyFont="1" applyFill="1" applyBorder="1" applyAlignment="1">
      <alignment vertical="center"/>
    </xf>
    <xf numFmtId="178" fontId="12" fillId="8" borderId="1" xfId="0" applyNumberFormat="1" applyFont="1" applyFill="1" applyBorder="1" applyAlignment="1">
      <alignment vertical="center"/>
    </xf>
    <xf numFmtId="178" fontId="15" fillId="12" borderId="1" xfId="0" applyNumberFormat="1" applyFont="1" applyFill="1" applyBorder="1" applyAlignment="1">
      <alignment vertical="center"/>
    </xf>
    <xf numFmtId="0" fontId="15" fillId="8" borderId="1" xfId="2" quotePrefix="1" applyFont="1" applyFill="1" applyBorder="1" applyAlignment="1">
      <alignment vertical="center"/>
    </xf>
    <xf numFmtId="0" fontId="15" fillId="8" borderId="1" xfId="2" applyFont="1" applyFill="1" applyBorder="1" applyAlignment="1">
      <alignment vertical="center"/>
    </xf>
    <xf numFmtId="182" fontId="15" fillId="8" borderId="1" xfId="0" applyNumberFormat="1" applyFont="1" applyFill="1" applyBorder="1" applyAlignment="1">
      <alignment vertical="center"/>
    </xf>
    <xf numFmtId="178" fontId="13" fillId="8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14" fillId="9" borderId="1" xfId="0" applyFont="1" applyFill="1" applyBorder="1"/>
    <xf numFmtId="0" fontId="14" fillId="9" borderId="1" xfId="0" applyFont="1" applyFill="1" applyBorder="1" applyAlignment="1">
      <alignment horizontal="right"/>
    </xf>
    <xf numFmtId="0" fontId="15" fillId="0" borderId="1" xfId="0" applyFont="1" applyBorder="1"/>
    <xf numFmtId="178" fontId="15" fillId="8" borderId="1" xfId="0" applyNumberFormat="1" applyFont="1" applyFill="1" applyBorder="1"/>
    <xf numFmtId="0" fontId="14" fillId="0" borderId="1" xfId="0" applyFont="1" applyFill="1" applyBorder="1"/>
    <xf numFmtId="0" fontId="15" fillId="8" borderId="1" xfId="0" applyFont="1" applyFill="1" applyBorder="1"/>
    <xf numFmtId="178" fontId="14" fillId="9" borderId="1" xfId="0" applyNumberFormat="1" applyFont="1" applyFill="1" applyBorder="1" applyAlignment="1">
      <alignment horizontal="right"/>
    </xf>
    <xf numFmtId="178" fontId="14" fillId="13" borderId="1" xfId="0" applyNumberFormat="1" applyFont="1" applyFill="1" applyBorder="1" applyAlignment="1">
      <alignment horizontal="right"/>
    </xf>
    <xf numFmtId="178" fontId="14" fillId="13" borderId="1" xfId="0" applyNumberFormat="1" applyFont="1" applyFill="1" applyBorder="1"/>
    <xf numFmtId="178" fontId="16" fillId="8" borderId="1" xfId="0" applyNumberFormat="1" applyFont="1" applyFill="1" applyBorder="1" applyAlignment="1">
      <alignment horizontal="right"/>
    </xf>
    <xf numFmtId="178" fontId="14" fillId="10" borderId="1" xfId="0" applyNumberFormat="1" applyFont="1" applyFill="1" applyBorder="1" applyAlignment="1">
      <alignment horizontal="right"/>
    </xf>
    <xf numFmtId="178" fontId="13" fillId="8" borderId="1" xfId="0" applyNumberFormat="1" applyFont="1" applyFill="1" applyBorder="1" applyAlignment="1">
      <alignment horizontal="right"/>
    </xf>
    <xf numFmtId="178" fontId="15" fillId="8" borderId="1" xfId="0" applyNumberFormat="1" applyFont="1" applyFill="1" applyBorder="1" applyAlignment="1">
      <alignment horizontal="right"/>
    </xf>
    <xf numFmtId="178" fontId="16" fillId="9" borderId="1" xfId="0" applyNumberFormat="1" applyFont="1" applyFill="1" applyBorder="1" applyAlignment="1">
      <alignment horizontal="right"/>
    </xf>
    <xf numFmtId="0" fontId="14" fillId="14" borderId="1" xfId="2" applyFont="1" applyFill="1" applyBorder="1">
      <alignment vertical="center"/>
    </xf>
    <xf numFmtId="0" fontId="14" fillId="0" borderId="0" xfId="2" applyFont="1">
      <alignment vertical="center"/>
    </xf>
    <xf numFmtId="0" fontId="14" fillId="0" borderId="1" xfId="2" applyFont="1" applyBorder="1">
      <alignment vertical="center"/>
    </xf>
    <xf numFmtId="187" fontId="14" fillId="9" borderId="1" xfId="2" applyNumberFormat="1" applyFont="1" applyFill="1" applyBorder="1">
      <alignment vertical="center"/>
    </xf>
    <xf numFmtId="0" fontId="16" fillId="0" borderId="1" xfId="2" applyFont="1" applyBorder="1" applyAlignment="1">
      <alignment horizontal="center" vertical="center"/>
    </xf>
    <xf numFmtId="0" fontId="15" fillId="0" borderId="1" xfId="2" applyFont="1" applyBorder="1">
      <alignment vertical="center"/>
    </xf>
    <xf numFmtId="187" fontId="14" fillId="10" borderId="1" xfId="2" applyNumberFormat="1" applyFont="1" applyFill="1" applyBorder="1">
      <alignment vertical="center"/>
    </xf>
    <xf numFmtId="187" fontId="14" fillId="13" borderId="1" xfId="2" applyNumberFormat="1" applyFont="1" applyFill="1" applyBorder="1">
      <alignment vertical="center"/>
    </xf>
    <xf numFmtId="187" fontId="14" fillId="0" borderId="1" xfId="2" applyNumberFormat="1" applyFont="1" applyBorder="1">
      <alignment vertical="center"/>
    </xf>
    <xf numFmtId="187" fontId="14" fillId="8" borderId="1" xfId="2" applyNumberFormat="1" applyFont="1" applyFill="1" applyBorder="1">
      <alignment vertical="center"/>
    </xf>
    <xf numFmtId="0" fontId="16" fillId="0" borderId="1" xfId="2" applyFont="1" applyBorder="1">
      <alignment vertical="center"/>
    </xf>
    <xf numFmtId="187" fontId="14" fillId="14" borderId="1" xfId="2" applyNumberFormat="1" applyFont="1" applyFill="1" applyBorder="1">
      <alignment vertical="center"/>
    </xf>
    <xf numFmtId="0" fontId="16" fillId="0" borderId="1" xfId="2" applyFont="1" applyBorder="1" applyAlignment="1">
      <alignment vertical="center" wrapText="1"/>
    </xf>
    <xf numFmtId="0" fontId="16" fillId="0" borderId="1" xfId="0" applyFont="1" applyBorder="1"/>
    <xf numFmtId="0" fontId="14" fillId="10" borderId="1" xfId="0" applyFont="1" applyFill="1" applyBorder="1"/>
    <xf numFmtId="178" fontId="14" fillId="10" borderId="1" xfId="0" applyNumberFormat="1" applyFont="1" applyFill="1" applyBorder="1"/>
    <xf numFmtId="178" fontId="13" fillId="10" borderId="1" xfId="0" applyNumberFormat="1" applyFont="1" applyFill="1" applyBorder="1"/>
    <xf numFmtId="0" fontId="14" fillId="9" borderId="1" xfId="2" applyFont="1" applyFill="1" applyBorder="1">
      <alignment vertical="center"/>
    </xf>
    <xf numFmtId="0" fontId="17" fillId="0" borderId="0" xfId="2" applyFont="1">
      <alignment vertical="center"/>
    </xf>
    <xf numFmtId="0" fontId="12" fillId="0" borderId="1" xfId="0" applyFont="1" applyBorder="1" applyAlignment="1">
      <alignment horizontal="left" vertical="center"/>
    </xf>
    <xf numFmtId="0" fontId="14" fillId="8" borderId="1" xfId="2" applyFont="1" applyFill="1" applyBorder="1">
      <alignment vertical="center"/>
    </xf>
    <xf numFmtId="0" fontId="15" fillId="12" borderId="1" xfId="2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176" fontId="14" fillId="9" borderId="1" xfId="0" applyNumberFormat="1" applyFont="1" applyFill="1" applyBorder="1"/>
    <xf numFmtId="41" fontId="0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0" fillId="0" borderId="32" xfId="0" applyFont="1" applyBorder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0" fillId="0" borderId="33" xfId="0" applyFont="1" applyBorder="1" applyAlignment="1">
      <alignment vertical="center"/>
    </xf>
    <xf numFmtId="0" fontId="20" fillId="10" borderId="34" xfId="0" applyFont="1" applyFill="1" applyBorder="1" applyAlignment="1">
      <alignment vertical="center"/>
    </xf>
    <xf numFmtId="0" fontId="20" fillId="10" borderId="33" xfId="0" applyFont="1" applyFill="1" applyBorder="1" applyAlignment="1">
      <alignment vertical="center"/>
    </xf>
    <xf numFmtId="0" fontId="20" fillId="10" borderId="33" xfId="0" applyFont="1" applyFill="1" applyBorder="1" applyAlignment="1">
      <alignment vertical="center" wrapText="1"/>
    </xf>
    <xf numFmtId="22" fontId="20" fillId="10" borderId="33" xfId="0" applyNumberFormat="1" applyFont="1" applyFill="1" applyBorder="1" applyAlignment="1">
      <alignment vertical="center"/>
    </xf>
    <xf numFmtId="0" fontId="21" fillId="0" borderId="33" xfId="0" applyFont="1" applyBorder="1" applyAlignment="1">
      <alignment vertical="center" wrapText="1"/>
    </xf>
    <xf numFmtId="0" fontId="20" fillId="0" borderId="35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11" borderId="1" xfId="0" applyFont="1" applyFill="1" applyBorder="1" applyAlignment="1">
      <alignment horizontal="left"/>
    </xf>
    <xf numFmtId="0" fontId="14" fillId="11" borderId="1" xfId="2" applyFont="1" applyFill="1" applyBorder="1">
      <alignment vertical="center"/>
    </xf>
    <xf numFmtId="2" fontId="14" fillId="10" borderId="1" xfId="2" applyNumberFormat="1" applyFont="1" applyFill="1" applyBorder="1">
      <alignment vertical="center"/>
    </xf>
    <xf numFmtId="0" fontId="15" fillId="8" borderId="1" xfId="2" applyFont="1" applyFill="1" applyBorder="1">
      <alignment vertical="center"/>
    </xf>
    <xf numFmtId="0" fontId="14" fillId="11" borderId="1" xfId="2" applyFont="1" applyFill="1" applyBorder="1" applyAlignment="1">
      <alignment vertical="center"/>
    </xf>
    <xf numFmtId="0" fontId="14" fillId="8" borderId="37" xfId="0" applyFont="1" applyFill="1" applyBorder="1" applyAlignment="1">
      <alignment horizontal="center" vertical="center"/>
    </xf>
    <xf numFmtId="0" fontId="14" fillId="14" borderId="38" xfId="0" applyFont="1" applyFill="1" applyBorder="1" applyAlignment="1">
      <alignment horizontal="center" vertical="center"/>
    </xf>
    <xf numFmtId="0" fontId="14" fillId="10" borderId="39" xfId="0" applyFont="1" applyFill="1" applyBorder="1" applyAlignment="1">
      <alignment horizontal="left" vertical="center"/>
    </xf>
    <xf numFmtId="0" fontId="14" fillId="10" borderId="39" xfId="0" applyFont="1" applyFill="1" applyBorder="1" applyAlignment="1">
      <alignment horizontal="left"/>
    </xf>
    <xf numFmtId="180" fontId="14" fillId="10" borderId="39" xfId="0" applyNumberFormat="1" applyFont="1" applyFill="1" applyBorder="1" applyAlignment="1">
      <alignment horizontal="left" vertical="center"/>
    </xf>
    <xf numFmtId="181" fontId="14" fillId="10" borderId="39" xfId="0" applyNumberFormat="1" applyFont="1" applyFill="1" applyBorder="1" applyAlignment="1">
      <alignment horizontal="left" vertical="center"/>
    </xf>
    <xf numFmtId="179" fontId="14" fillId="10" borderId="39" xfId="0" applyNumberFormat="1" applyFont="1" applyFill="1" applyBorder="1" applyAlignment="1">
      <alignment horizontal="left" vertical="center"/>
    </xf>
    <xf numFmtId="0" fontId="14" fillId="10" borderId="40" xfId="0" applyFont="1" applyFill="1" applyBorder="1" applyAlignment="1">
      <alignment horizontal="left" vertical="center"/>
    </xf>
    <xf numFmtId="0" fontId="14" fillId="10" borderId="41" xfId="0" applyFont="1" applyFill="1" applyBorder="1" applyAlignment="1">
      <alignment horizontal="center" vertical="center"/>
    </xf>
    <xf numFmtId="0" fontId="14" fillId="10" borderId="39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left" vertical="center"/>
    </xf>
    <xf numFmtId="0" fontId="14" fillId="14" borderId="42" xfId="0" applyFont="1" applyFill="1" applyBorder="1" applyAlignment="1">
      <alignment horizontal="center" vertical="center"/>
    </xf>
    <xf numFmtId="180" fontId="14" fillId="10" borderId="43" xfId="0" applyNumberFormat="1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left"/>
    </xf>
    <xf numFmtId="181" fontId="14" fillId="10" borderId="43" xfId="0" applyNumberFormat="1" applyFont="1" applyFill="1" applyBorder="1" applyAlignment="1">
      <alignment horizontal="left" vertical="center"/>
    </xf>
    <xf numFmtId="179" fontId="14" fillId="10" borderId="43" xfId="0" applyNumberFormat="1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center" vertical="center"/>
    </xf>
    <xf numFmtId="0" fontId="14" fillId="10" borderId="44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14" borderId="46" xfId="0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left" vertical="center"/>
    </xf>
    <xf numFmtId="0" fontId="14" fillId="10" borderId="47" xfId="0" applyFont="1" applyFill="1" applyBorder="1" applyAlignment="1">
      <alignment horizontal="left"/>
    </xf>
    <xf numFmtId="180" fontId="14" fillId="10" borderId="47" xfId="0" applyNumberFormat="1" applyFont="1" applyFill="1" applyBorder="1" applyAlignment="1">
      <alignment horizontal="left" vertical="center"/>
    </xf>
    <xf numFmtId="181" fontId="14" fillId="10" borderId="47" xfId="0" applyNumberFormat="1" applyFont="1" applyFill="1" applyBorder="1" applyAlignment="1">
      <alignment horizontal="left" vertical="center"/>
    </xf>
    <xf numFmtId="179" fontId="14" fillId="10" borderId="47" xfId="0" applyNumberFormat="1" applyFont="1" applyFill="1" applyBorder="1" applyAlignment="1">
      <alignment horizontal="left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2" fontId="14" fillId="9" borderId="1" xfId="2" applyNumberFormat="1" applyFont="1" applyFill="1" applyBorder="1">
      <alignment vertical="center"/>
    </xf>
    <xf numFmtId="179" fontId="14" fillId="9" borderId="1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/>
    </xf>
    <xf numFmtId="1" fontId="15" fillId="8" borderId="1" xfId="0" applyNumberFormat="1" applyFont="1" applyFill="1" applyBorder="1" applyAlignment="1">
      <alignment vertical="center"/>
    </xf>
    <xf numFmtId="2" fontId="14" fillId="14" borderId="1" xfId="2" applyNumberFormat="1" applyFont="1" applyFill="1" applyBorder="1">
      <alignment vertical="center"/>
    </xf>
    <xf numFmtId="2" fontId="14" fillId="8" borderId="1" xfId="2" applyNumberFormat="1" applyFont="1" applyFill="1" applyBorder="1">
      <alignment vertical="center"/>
    </xf>
    <xf numFmtId="0" fontId="20" fillId="10" borderId="33" xfId="0" applyFont="1" applyFill="1" applyBorder="1" applyAlignment="1">
      <alignment horizontal="left" vertical="center"/>
    </xf>
    <xf numFmtId="0" fontId="20" fillId="10" borderId="35" xfId="0" applyFont="1" applyFill="1" applyBorder="1" applyAlignment="1">
      <alignment vertical="center"/>
    </xf>
    <xf numFmtId="0" fontId="20" fillId="10" borderId="36" xfId="0" applyFont="1" applyFill="1" applyBorder="1" applyAlignment="1">
      <alignment vertical="center"/>
    </xf>
    <xf numFmtId="0" fontId="20" fillId="0" borderId="33" xfId="0" applyFont="1" applyBorder="1" applyAlignment="1">
      <alignment vertical="center" wrapText="1"/>
    </xf>
    <xf numFmtId="188" fontId="12" fillId="10" borderId="1" xfId="0" applyNumberFormat="1" applyFont="1" applyFill="1" applyBorder="1" applyAlignment="1">
      <alignment vertical="center"/>
    </xf>
    <xf numFmtId="41" fontId="14" fillId="10" borderId="1" xfId="1" applyFont="1" applyFill="1" applyBorder="1" applyAlignment="1">
      <alignment vertical="center"/>
    </xf>
    <xf numFmtId="188" fontId="13" fillId="10" borderId="1" xfId="0" applyNumberFormat="1" applyFont="1" applyFill="1" applyBorder="1" applyAlignment="1">
      <alignment vertical="center"/>
    </xf>
    <xf numFmtId="188" fontId="14" fillId="10" borderId="1" xfId="0" applyNumberFormat="1" applyFont="1" applyFill="1" applyBorder="1" applyAlignment="1">
      <alignment vertical="center"/>
    </xf>
    <xf numFmtId="189" fontId="14" fillId="10" borderId="1" xfId="1" applyNumberFormat="1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178" fontId="12" fillId="1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vertical="center" wrapText="1"/>
    </xf>
    <xf numFmtId="180" fontId="14" fillId="10" borderId="1" xfId="1" applyNumberFormat="1" applyFont="1" applyFill="1" applyBorder="1" applyAlignment="1">
      <alignment vertical="center"/>
    </xf>
    <xf numFmtId="0" fontId="18" fillId="10" borderId="30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horizontal="center" vertical="center"/>
    </xf>
    <xf numFmtId="0" fontId="2" fillId="0" borderId="0" xfId="4"/>
    <xf numFmtId="0" fontId="14" fillId="0" borderId="0" xfId="4" applyFont="1"/>
    <xf numFmtId="0" fontId="14" fillId="0" borderId="1" xfId="4" applyFont="1" applyBorder="1"/>
    <xf numFmtId="0" fontId="14" fillId="9" borderId="1" xfId="4" applyFont="1" applyFill="1" applyBorder="1"/>
    <xf numFmtId="0" fontId="15" fillId="8" borderId="1" xfId="4" applyFont="1" applyFill="1" applyBorder="1"/>
    <xf numFmtId="0" fontId="16" fillId="0" borderId="0" xfId="4" applyFont="1"/>
    <xf numFmtId="0" fontId="25" fillId="10" borderId="33" xfId="0" applyFont="1" applyFill="1" applyBorder="1" applyAlignment="1">
      <alignment vertical="center"/>
    </xf>
    <xf numFmtId="0" fontId="25" fillId="10" borderId="33" xfId="0" applyFont="1" applyFill="1" applyBorder="1" applyAlignment="1">
      <alignment vertical="center" wrapText="1"/>
    </xf>
    <xf numFmtId="0" fontId="22" fillId="10" borderId="33" xfId="0" applyFont="1" applyFill="1" applyBorder="1" applyAlignment="1">
      <alignment vertical="center" wrapText="1"/>
    </xf>
    <xf numFmtId="190" fontId="14" fillId="10" borderId="1" xfId="1" applyNumberFormat="1" applyFont="1" applyFill="1" applyBorder="1" applyAlignment="1">
      <alignment vertical="center"/>
    </xf>
    <xf numFmtId="0" fontId="25" fillId="0" borderId="33" xfId="0" applyFont="1" applyBorder="1" applyAlignment="1">
      <alignment vertical="center"/>
    </xf>
    <xf numFmtId="0" fontId="14" fillId="0" borderId="0" xfId="2" applyFont="1" applyAlignment="1">
      <alignment horizontal="center" vertical="center"/>
    </xf>
    <xf numFmtId="0" fontId="22" fillId="10" borderId="33" xfId="0" applyFont="1" applyFill="1" applyBorder="1" applyAlignment="1">
      <alignment vertical="center"/>
    </xf>
    <xf numFmtId="182" fontId="14" fillId="0" borderId="0" xfId="2" applyNumberFormat="1" applyFont="1" applyAlignment="1">
      <alignment vertical="center"/>
    </xf>
    <xf numFmtId="187" fontId="14" fillId="9" borderId="30" xfId="2" applyNumberFormat="1" applyFont="1" applyFill="1" applyBorder="1">
      <alignment vertical="center"/>
    </xf>
    <xf numFmtId="2" fontId="14" fillId="10" borderId="30" xfId="2" applyNumberFormat="1" applyFont="1" applyFill="1" applyBorder="1">
      <alignment vertical="center"/>
    </xf>
    <xf numFmtId="187" fontId="14" fillId="13" borderId="30" xfId="2" applyNumberFormat="1" applyFont="1" applyFill="1" applyBorder="1">
      <alignment vertical="center"/>
    </xf>
    <xf numFmtId="187" fontId="14" fillId="10" borderId="30" xfId="2" applyNumberFormat="1" applyFont="1" applyFill="1" applyBorder="1">
      <alignment vertical="center"/>
    </xf>
    <xf numFmtId="187" fontId="14" fillId="0" borderId="30" xfId="2" applyNumberFormat="1" applyFont="1" applyBorder="1">
      <alignment vertical="center"/>
    </xf>
    <xf numFmtId="2" fontId="14" fillId="9" borderId="30" xfId="2" applyNumberFormat="1" applyFont="1" applyFill="1" applyBorder="1">
      <alignment vertical="center"/>
    </xf>
    <xf numFmtId="187" fontId="14" fillId="8" borderId="30" xfId="2" applyNumberFormat="1" applyFont="1" applyFill="1" applyBorder="1">
      <alignment vertical="center"/>
    </xf>
    <xf numFmtId="187" fontId="14" fillId="14" borderId="30" xfId="2" applyNumberFormat="1" applyFont="1" applyFill="1" applyBorder="1">
      <alignment vertical="center"/>
    </xf>
    <xf numFmtId="0" fontId="14" fillId="0" borderId="31" xfId="2" applyFont="1" applyBorder="1">
      <alignment vertical="center"/>
    </xf>
    <xf numFmtId="191" fontId="14" fillId="9" borderId="1" xfId="2" applyNumberFormat="1" applyFont="1" applyFill="1" applyBorder="1">
      <alignment vertical="center"/>
    </xf>
    <xf numFmtId="191" fontId="14" fillId="9" borderId="30" xfId="2" applyNumberFormat="1" applyFont="1" applyFill="1" applyBorder="1">
      <alignment vertical="center"/>
    </xf>
    <xf numFmtId="187" fontId="14" fillId="9" borderId="31" xfId="2" applyNumberFormat="1" applyFont="1" applyFill="1" applyBorder="1">
      <alignment vertical="center"/>
    </xf>
    <xf numFmtId="2" fontId="14" fillId="10" borderId="31" xfId="2" applyNumberFormat="1" applyFont="1" applyFill="1" applyBorder="1">
      <alignment vertical="center"/>
    </xf>
    <xf numFmtId="187" fontId="14" fillId="13" borderId="31" xfId="2" applyNumberFormat="1" applyFont="1" applyFill="1" applyBorder="1">
      <alignment vertical="center"/>
    </xf>
    <xf numFmtId="187" fontId="14" fillId="10" borderId="31" xfId="2" applyNumberFormat="1" applyFont="1" applyFill="1" applyBorder="1">
      <alignment vertical="center"/>
    </xf>
    <xf numFmtId="187" fontId="14" fillId="0" borderId="31" xfId="2" applyNumberFormat="1" applyFont="1" applyBorder="1">
      <alignment vertical="center"/>
    </xf>
    <xf numFmtId="191" fontId="14" fillId="9" borderId="31" xfId="2" applyNumberFormat="1" applyFont="1" applyFill="1" applyBorder="1">
      <alignment vertical="center"/>
    </xf>
    <xf numFmtId="2" fontId="14" fillId="9" borderId="31" xfId="2" applyNumberFormat="1" applyFont="1" applyFill="1" applyBorder="1">
      <alignment vertical="center"/>
    </xf>
    <xf numFmtId="187" fontId="14" fillId="8" borderId="31" xfId="2" applyNumberFormat="1" applyFont="1" applyFill="1" applyBorder="1">
      <alignment vertical="center"/>
    </xf>
    <xf numFmtId="187" fontId="14" fillId="14" borderId="31" xfId="2" applyNumberFormat="1" applyFont="1" applyFill="1" applyBorder="1">
      <alignment vertical="center"/>
    </xf>
    <xf numFmtId="187" fontId="14" fillId="9" borderId="59" xfId="2" applyNumberFormat="1" applyFont="1" applyFill="1" applyBorder="1">
      <alignment vertical="center"/>
    </xf>
    <xf numFmtId="187" fontId="14" fillId="9" borderId="33" xfId="2" applyNumberFormat="1" applyFont="1" applyFill="1" applyBorder="1">
      <alignment vertical="center"/>
    </xf>
    <xf numFmtId="2" fontId="14" fillId="10" borderId="33" xfId="2" applyNumberFormat="1" applyFont="1" applyFill="1" applyBorder="1">
      <alignment vertical="center"/>
    </xf>
    <xf numFmtId="187" fontId="14" fillId="13" borderId="33" xfId="2" applyNumberFormat="1" applyFont="1" applyFill="1" applyBorder="1">
      <alignment vertical="center"/>
    </xf>
    <xf numFmtId="187" fontId="14" fillId="10" borderId="33" xfId="2" applyNumberFormat="1" applyFont="1" applyFill="1" applyBorder="1">
      <alignment vertical="center"/>
    </xf>
    <xf numFmtId="187" fontId="14" fillId="0" borderId="33" xfId="2" applyNumberFormat="1" applyFont="1" applyBorder="1">
      <alignment vertical="center"/>
    </xf>
    <xf numFmtId="191" fontId="14" fillId="9" borderId="33" xfId="2" applyNumberFormat="1" applyFont="1" applyFill="1" applyBorder="1">
      <alignment vertical="center"/>
    </xf>
    <xf numFmtId="2" fontId="14" fillId="9" borderId="33" xfId="2" applyNumberFormat="1" applyFont="1" applyFill="1" applyBorder="1">
      <alignment vertical="center"/>
    </xf>
    <xf numFmtId="187" fontId="14" fillId="8" borderId="33" xfId="2" applyNumberFormat="1" applyFont="1" applyFill="1" applyBorder="1">
      <alignment vertical="center"/>
    </xf>
    <xf numFmtId="187" fontId="14" fillId="14" borderId="33" xfId="2" applyNumberFormat="1" applyFont="1" applyFill="1" applyBorder="1">
      <alignment vertical="center"/>
    </xf>
    <xf numFmtId="187" fontId="14" fillId="10" borderId="36" xfId="2" applyNumberFormat="1" applyFont="1" applyFill="1" applyBorder="1">
      <alignment vertical="center"/>
    </xf>
    <xf numFmtId="0" fontId="16" fillId="0" borderId="50" xfId="0" applyFont="1" applyBorder="1" applyAlignment="1">
      <alignment horizontal="left"/>
    </xf>
    <xf numFmtId="0" fontId="16" fillId="0" borderId="50" xfId="2" applyFont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9" fillId="10" borderId="30" xfId="0" applyFont="1" applyFill="1" applyBorder="1" applyAlignment="1">
      <alignment horizontal="center" vertical="center"/>
    </xf>
    <xf numFmtId="0" fontId="19" fillId="10" borderId="54" xfId="0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4" fillId="10" borderId="30" xfId="0" applyFont="1" applyFill="1" applyBorder="1" applyAlignment="1">
      <alignment horizontal="center" vertical="center"/>
    </xf>
    <xf numFmtId="0" fontId="24" fillId="10" borderId="31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1" xfId="0" applyFont="1" applyBorder="1" applyAlignment="1">
      <alignment horizontal="left" vertical="center"/>
    </xf>
    <xf numFmtId="0" fontId="14" fillId="0" borderId="53" xfId="0" applyFont="1" applyBorder="1" applyAlignment="1">
      <alignment horizontal="left" vertical="center"/>
    </xf>
    <xf numFmtId="0" fontId="1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left" vertical="center"/>
    </xf>
    <xf numFmtId="0" fontId="14" fillId="0" borderId="51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1" fontId="14" fillId="10" borderId="30" xfId="1" applyFont="1" applyFill="1" applyBorder="1" applyAlignment="1">
      <alignment horizontal="center" vertical="center"/>
    </xf>
    <xf numFmtId="41" fontId="14" fillId="10" borderId="54" xfId="1" applyFont="1" applyFill="1" applyBorder="1" applyAlignment="1">
      <alignment horizontal="center" vertical="center"/>
    </xf>
    <xf numFmtId="41" fontId="14" fillId="10" borderId="31" xfId="1" applyFont="1" applyFill="1" applyBorder="1" applyAlignment="1">
      <alignment horizontal="center" vertical="center"/>
    </xf>
    <xf numFmtId="0" fontId="14" fillId="10" borderId="40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/>
    </xf>
    <xf numFmtId="0" fontId="14" fillId="8" borderId="59" xfId="0" applyFont="1" applyFill="1" applyBorder="1" applyAlignment="1">
      <alignment horizontal="center" vertical="center"/>
    </xf>
    <xf numFmtId="0" fontId="14" fillId="8" borderId="36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4" fillId="8" borderId="55" xfId="0" applyFont="1" applyFill="1" applyBorder="1" applyAlignment="1">
      <alignment horizontal="center" vertical="center"/>
    </xf>
    <xf numFmtId="0" fontId="14" fillId="8" borderId="56" xfId="0" applyFont="1" applyFill="1" applyBorder="1" applyAlignment="1">
      <alignment horizontal="center" vertical="center"/>
    </xf>
    <xf numFmtId="0" fontId="14" fillId="8" borderId="57" xfId="0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14" fillId="15" borderId="32" xfId="0" applyFont="1" applyFill="1" applyBorder="1" applyAlignment="1">
      <alignment horizontal="center" vertical="center"/>
    </xf>
    <xf numFmtId="0" fontId="14" fillId="15" borderId="37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5" borderId="63" xfId="0" applyFont="1" applyFill="1" applyBorder="1" applyAlignment="1">
      <alignment horizontal="center" vertical="center"/>
    </xf>
    <xf numFmtId="0" fontId="13" fillId="6" borderId="63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20" fillId="16" borderId="33" xfId="0" applyFont="1" applyFill="1" applyBorder="1" applyAlignment="1">
      <alignment vertical="center"/>
    </xf>
    <xf numFmtId="0" fontId="22" fillId="16" borderId="33" xfId="0" applyFont="1" applyFill="1" applyBorder="1" applyAlignment="1">
      <alignment vertical="center" wrapText="1"/>
    </xf>
    <xf numFmtId="0" fontId="25" fillId="16" borderId="33" xfId="0" applyFont="1" applyFill="1" applyBorder="1" applyAlignment="1">
      <alignment vertical="center" wrapText="1"/>
    </xf>
  </cellXfs>
  <cellStyles count="5">
    <cellStyle name="쉼표 [0]" xfId="1" builtinId="6"/>
    <cellStyle name="표준" xfId="0" builtinId="0"/>
    <cellStyle name="표준 2" xfId="3"/>
    <cellStyle name="표준_20080312_동작점설계_해송_150MF" xfId="2"/>
    <cellStyle name="표준_계산공식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1557705</xdr:colOff>
      <xdr:row>19</xdr:row>
      <xdr:rowOff>58555</xdr:rowOff>
    </xdr:from>
    <xdr:to>
      <xdr:col>23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1695355</xdr:colOff>
      <xdr:row>19</xdr:row>
      <xdr:rowOff>61441</xdr:rowOff>
    </xdr:from>
    <xdr:to>
      <xdr:col>23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23</xdr:row>
      <xdr:rowOff>58555</xdr:rowOff>
    </xdr:from>
    <xdr:to>
      <xdr:col>23</xdr:col>
      <xdr:colOff>1651260</xdr:colOff>
      <xdr:row>23</xdr:row>
      <xdr:rowOff>148340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1695355</xdr:colOff>
      <xdr:row>23</xdr:row>
      <xdr:rowOff>61441</xdr:rowOff>
    </xdr:from>
    <xdr:to>
      <xdr:col>23</xdr:col>
      <xdr:colOff>1777630</xdr:colOff>
      <xdr:row>23</xdr:row>
      <xdr:rowOff>143982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1819409</xdr:colOff>
      <xdr:row>23</xdr:row>
      <xdr:rowOff>54807</xdr:rowOff>
    </xdr:from>
    <xdr:to>
      <xdr:col>23</xdr:col>
      <xdr:colOff>1912964</xdr:colOff>
      <xdr:row>23</xdr:row>
      <xdr:rowOff>144592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1957059</xdr:colOff>
      <xdr:row>23</xdr:row>
      <xdr:rowOff>57693</xdr:rowOff>
    </xdr:from>
    <xdr:to>
      <xdr:col>23</xdr:col>
      <xdr:colOff>2039334</xdr:colOff>
      <xdr:row>23</xdr:row>
      <xdr:rowOff>140234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1549897</xdr:colOff>
      <xdr:row>27</xdr:row>
      <xdr:rowOff>23231</xdr:rowOff>
    </xdr:from>
    <xdr:to>
      <xdr:col>23</xdr:col>
      <xdr:colOff>1629124</xdr:colOff>
      <xdr:row>27</xdr:row>
      <xdr:rowOff>92041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1668030</xdr:colOff>
      <xdr:row>27</xdr:row>
      <xdr:rowOff>23231</xdr:rowOff>
    </xdr:from>
    <xdr:to>
      <xdr:col>23</xdr:col>
      <xdr:colOff>1736572</xdr:colOff>
      <xdr:row>27</xdr:row>
      <xdr:rowOff>88929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1667817</xdr:colOff>
      <xdr:row>27</xdr:row>
      <xdr:rowOff>120160</xdr:rowOff>
    </xdr:from>
    <xdr:to>
      <xdr:col>23</xdr:col>
      <xdr:colOff>1741046</xdr:colOff>
      <xdr:row>27</xdr:row>
      <xdr:rowOff>184948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1556525</xdr:colOff>
      <xdr:row>27</xdr:row>
      <xdr:rowOff>121015</xdr:rowOff>
    </xdr:from>
    <xdr:to>
      <xdr:col>23</xdr:col>
      <xdr:colOff>1627839</xdr:colOff>
      <xdr:row>27</xdr:row>
      <xdr:rowOff>185853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19</xdr:row>
      <xdr:rowOff>58555</xdr:rowOff>
    </xdr:from>
    <xdr:to>
      <xdr:col>23</xdr:col>
      <xdr:colOff>1651260</xdr:colOff>
      <xdr:row>19</xdr:row>
      <xdr:rowOff>148340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1695356</xdr:colOff>
      <xdr:row>19</xdr:row>
      <xdr:rowOff>55621</xdr:rowOff>
    </xdr:from>
    <xdr:to>
      <xdr:col>23</xdr:col>
      <xdr:colOff>1786806</xdr:colOff>
      <xdr:row>19</xdr:row>
      <xdr:rowOff>147459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23</xdr:row>
      <xdr:rowOff>56203</xdr:rowOff>
    </xdr:from>
    <xdr:to>
      <xdr:col>23</xdr:col>
      <xdr:colOff>1651260</xdr:colOff>
      <xdr:row>23</xdr:row>
      <xdr:rowOff>148340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1690298</xdr:colOff>
      <xdr:row>23</xdr:row>
      <xdr:rowOff>54429</xdr:rowOff>
    </xdr:from>
    <xdr:to>
      <xdr:col>23</xdr:col>
      <xdr:colOff>1779854</xdr:colOff>
      <xdr:row>23</xdr:row>
      <xdr:rowOff>140533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1819409</xdr:colOff>
      <xdr:row>23</xdr:row>
      <xdr:rowOff>53245</xdr:rowOff>
    </xdr:from>
    <xdr:to>
      <xdr:col>23</xdr:col>
      <xdr:colOff>1912964</xdr:colOff>
      <xdr:row>23</xdr:row>
      <xdr:rowOff>144592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1950107</xdr:colOff>
      <xdr:row>23</xdr:row>
      <xdr:rowOff>54428</xdr:rowOff>
    </xdr:from>
    <xdr:to>
      <xdr:col>23</xdr:col>
      <xdr:colOff>2047875</xdr:colOff>
      <xdr:row>23</xdr:row>
      <xdr:rowOff>146277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1553159</xdr:colOff>
      <xdr:row>27</xdr:row>
      <xdr:rowOff>23664</xdr:rowOff>
    </xdr:from>
    <xdr:to>
      <xdr:col>23</xdr:col>
      <xdr:colOff>1632857</xdr:colOff>
      <xdr:row>27</xdr:row>
      <xdr:rowOff>94657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1668030</xdr:colOff>
      <xdr:row>27</xdr:row>
      <xdr:rowOff>23230</xdr:rowOff>
    </xdr:from>
    <xdr:to>
      <xdr:col>23</xdr:col>
      <xdr:colOff>1738638</xdr:colOff>
      <xdr:row>27</xdr:row>
      <xdr:rowOff>91335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1664555</xdr:colOff>
      <xdr:row>27</xdr:row>
      <xdr:rowOff>120160</xdr:rowOff>
    </xdr:from>
    <xdr:to>
      <xdr:col>23</xdr:col>
      <xdr:colOff>1737784</xdr:colOff>
      <xdr:row>27</xdr:row>
      <xdr:rowOff>184948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1556525</xdr:colOff>
      <xdr:row>27</xdr:row>
      <xdr:rowOff>124239</xdr:rowOff>
    </xdr:from>
    <xdr:to>
      <xdr:col>23</xdr:col>
      <xdr:colOff>1627839</xdr:colOff>
      <xdr:row>27</xdr:row>
      <xdr:rowOff>185853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28575</xdr:colOff>
      <xdr:row>57</xdr:row>
      <xdr:rowOff>47625</xdr:rowOff>
    </xdr:from>
    <xdr:to>
      <xdr:col>28</xdr:col>
      <xdr:colOff>0</xdr:colOff>
      <xdr:row>63</xdr:row>
      <xdr:rowOff>76200</xdr:rowOff>
    </xdr:to>
    <xdr:grpSp>
      <xdr:nvGrpSpPr>
        <xdr:cNvPr id="24" name="그룹 73"/>
        <xdr:cNvGrpSpPr>
          <a:grpSpLocks/>
        </xdr:cNvGrpSpPr>
      </xdr:nvGrpSpPr>
      <xdr:grpSpPr bwMode="auto">
        <a:xfrm>
          <a:off x="30996731" y="12263438"/>
          <a:ext cx="1495425" cy="1314450"/>
          <a:chOff x="13722010" y="2477311"/>
          <a:chExt cx="1617739" cy="1066696"/>
        </a:xfrm>
      </xdr:grpSpPr>
      <xdr:sp macro="" textlink="">
        <xdr:nvSpPr>
          <xdr:cNvPr id="25" name="직사각형 24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6" name="직선 화살표 연결선 25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화살표 연결선 26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왼쪽 중괄호 27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32" name="타원 31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3" name="타원 32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6" name="타원 35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7" name="타원 36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8" name="타원 37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9" name="타원 38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0" name="타원 39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1" name="타원 40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2" name="직선 연결선 41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35719</xdr:colOff>
      <xdr:row>3</xdr:row>
      <xdr:rowOff>47625</xdr:rowOff>
    </xdr:from>
    <xdr:to>
      <xdr:col>14</xdr:col>
      <xdr:colOff>1988343</xdr:colOff>
      <xdr:row>8</xdr:row>
      <xdr:rowOff>47625</xdr:rowOff>
    </xdr:to>
    <xdr:grpSp>
      <xdr:nvGrpSpPr>
        <xdr:cNvPr id="43" name="그룹 73"/>
        <xdr:cNvGrpSpPr>
          <a:grpSpLocks/>
        </xdr:cNvGrpSpPr>
      </xdr:nvGrpSpPr>
      <xdr:grpSpPr bwMode="auto">
        <a:xfrm>
          <a:off x="17609344" y="690563"/>
          <a:ext cx="1952624" cy="1071562"/>
          <a:chOff x="13722010" y="2477311"/>
          <a:chExt cx="1617739" cy="1066696"/>
        </a:xfrm>
      </xdr:grpSpPr>
      <xdr:sp macro="" textlink="">
        <xdr:nvSpPr>
          <xdr:cNvPr id="44" name="직사각형 43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5" name="직선 화살표 연결선 44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화살표 연결선 45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왼쪽 중괄호 46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51" name="타원 50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2" name="타원 51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3" name="타원 52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4" name="타원 53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5" name="타원 54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6" name="타원 55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7" name="타원 56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8" name="타원 57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9" name="타원 58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60" name="타원 59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61" name="직선 연결선 60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B92"/>
  <sheetViews>
    <sheetView topLeftCell="J7" zoomScale="80" zoomScaleNormal="80" workbookViewId="0">
      <selection activeCell="X39" sqref="X39"/>
    </sheetView>
  </sheetViews>
  <sheetFormatPr defaultRowHeight="13.5" x14ac:dyDescent="0.15"/>
  <cols>
    <col min="1" max="1" width="8.88671875" style="1"/>
    <col min="2" max="2" width="35.44140625" style="1" customWidth="1"/>
    <col min="3" max="3" width="7.5546875" style="1" bestFit="1" customWidth="1"/>
    <col min="4" max="4" width="7.5546875" style="1" customWidth="1"/>
    <col min="5" max="6" width="7.33203125" style="1" customWidth="1"/>
    <col min="7" max="7" width="6.33203125" style="1" customWidth="1"/>
    <col min="8" max="8" width="8.21875" style="1" bestFit="1" customWidth="1"/>
    <col min="9" max="9" width="56.5546875" style="1" customWidth="1"/>
    <col min="10" max="10" width="5.44140625" style="1" customWidth="1"/>
    <col min="11" max="11" width="15.77734375" style="1" bestFit="1" customWidth="1"/>
    <col min="12" max="12" width="12.88671875" style="1" bestFit="1" customWidth="1"/>
    <col min="13" max="13" width="12.88671875" style="1" customWidth="1"/>
    <col min="14" max="14" width="12.77734375" style="1" bestFit="1" customWidth="1"/>
    <col min="15" max="15" width="23.88671875" style="1" customWidth="1"/>
    <col min="16" max="16" width="20.6640625" style="1" bestFit="1" customWidth="1"/>
    <col min="17" max="18" width="8.88671875" style="1"/>
    <col min="19" max="19" width="4.6640625" style="1" customWidth="1"/>
    <col min="20" max="20" width="17.5546875" style="1" bestFit="1" customWidth="1"/>
    <col min="21" max="21" width="8.88671875" style="1"/>
    <col min="22" max="22" width="10.77734375" style="1" bestFit="1" customWidth="1"/>
    <col min="23" max="23" width="4.21875" style="1" customWidth="1"/>
    <col min="24" max="24" width="30" style="1" customWidth="1"/>
    <col min="25" max="16384" width="8.88671875" style="1"/>
  </cols>
  <sheetData>
    <row r="1" spans="2:26" ht="17.25" x14ac:dyDescent="0.15">
      <c r="B1" s="129" t="s">
        <v>307</v>
      </c>
      <c r="K1" s="2" t="s">
        <v>702</v>
      </c>
      <c r="L1" s="2" t="s">
        <v>705</v>
      </c>
      <c r="M1" s="2" t="s">
        <v>704</v>
      </c>
    </row>
    <row r="2" spans="2:26" ht="17.25" thickBot="1" x14ac:dyDescent="0.2">
      <c r="B2" s="111" t="s">
        <v>236</v>
      </c>
      <c r="C2" s="112"/>
      <c r="D2" s="112"/>
      <c r="E2" s="112"/>
      <c r="F2" s="112"/>
      <c r="G2" s="112"/>
      <c r="H2" s="112" t="s">
        <v>290</v>
      </c>
      <c r="I2" s="112" t="s">
        <v>241</v>
      </c>
      <c r="K2" s="2" t="s">
        <v>703</v>
      </c>
      <c r="L2" s="1">
        <v>26.488</v>
      </c>
      <c r="M2" s="2" t="s">
        <v>701</v>
      </c>
    </row>
    <row r="3" spans="2:26" ht="16.5" x14ac:dyDescent="0.15">
      <c r="B3" s="113" t="s">
        <v>15</v>
      </c>
      <c r="C3" s="224">
        <v>50</v>
      </c>
      <c r="D3" s="244">
        <v>50</v>
      </c>
      <c r="E3" s="235">
        <v>50</v>
      </c>
      <c r="F3" s="114">
        <v>50</v>
      </c>
      <c r="G3" s="232" t="s">
        <v>1</v>
      </c>
      <c r="H3" s="115">
        <v>1</v>
      </c>
      <c r="I3" s="116" t="s">
        <v>239</v>
      </c>
      <c r="K3" s="256" t="s">
        <v>660</v>
      </c>
      <c r="L3" s="256"/>
      <c r="M3" s="256"/>
      <c r="N3" s="256"/>
      <c r="O3" s="77" t="s">
        <v>650</v>
      </c>
      <c r="P3" s="258" t="s">
        <v>237</v>
      </c>
      <c r="Q3" s="258"/>
      <c r="R3" s="258"/>
      <c r="S3" s="77" t="s">
        <v>650</v>
      </c>
      <c r="T3" s="258" t="s">
        <v>589</v>
      </c>
      <c r="U3" s="258"/>
      <c r="V3" s="258"/>
      <c r="W3" s="77"/>
      <c r="X3" s="256" t="s">
        <v>257</v>
      </c>
      <c r="Y3" s="256"/>
      <c r="Z3" s="256"/>
    </row>
    <row r="4" spans="2:26" ht="16.5" x14ac:dyDescent="0.3">
      <c r="B4" s="113" t="s">
        <v>610</v>
      </c>
      <c r="C4" s="224">
        <v>480</v>
      </c>
      <c r="D4" s="245">
        <v>480</v>
      </c>
      <c r="E4" s="235">
        <v>480</v>
      </c>
      <c r="F4" s="114">
        <v>480</v>
      </c>
      <c r="G4" s="232" t="s">
        <v>0</v>
      </c>
      <c r="H4" s="115">
        <v>2</v>
      </c>
      <c r="I4" s="116" t="s">
        <v>240</v>
      </c>
      <c r="K4" s="212" t="s">
        <v>652</v>
      </c>
      <c r="L4" s="213">
        <v>4</v>
      </c>
      <c r="M4" s="213">
        <v>1</v>
      </c>
      <c r="N4" s="212" t="s">
        <v>10</v>
      </c>
      <c r="O4" s="77"/>
      <c r="P4" s="69" t="s">
        <v>17</v>
      </c>
      <c r="Q4" s="71">
        <v>630</v>
      </c>
      <c r="R4" s="69" t="s">
        <v>0</v>
      </c>
      <c r="S4" s="77"/>
      <c r="T4" s="69" t="s">
        <v>209</v>
      </c>
      <c r="U4" s="67" t="s">
        <v>210</v>
      </c>
      <c r="V4" s="67"/>
      <c r="W4" s="77"/>
      <c r="X4" s="70" t="s">
        <v>103</v>
      </c>
      <c r="Y4" s="71">
        <v>200</v>
      </c>
      <c r="Z4" s="70" t="s">
        <v>12</v>
      </c>
    </row>
    <row r="5" spans="2:26" ht="16.5" x14ac:dyDescent="0.3">
      <c r="B5" s="113" t="s">
        <v>71</v>
      </c>
      <c r="C5" s="225">
        <v>0.9</v>
      </c>
      <c r="D5" s="246">
        <v>0.9</v>
      </c>
      <c r="E5" s="236">
        <v>0.9</v>
      </c>
      <c r="F5" s="154">
        <v>0.9</v>
      </c>
      <c r="G5" s="232"/>
      <c r="H5" s="115"/>
      <c r="I5" s="113" t="s">
        <v>578</v>
      </c>
      <c r="K5" s="212" t="s">
        <v>654</v>
      </c>
      <c r="L5" s="213">
        <v>907</v>
      </c>
      <c r="M5" s="213">
        <v>700</v>
      </c>
      <c r="N5" s="212" t="s">
        <v>46</v>
      </c>
      <c r="O5" s="77"/>
      <c r="P5" s="69" t="s">
        <v>18</v>
      </c>
      <c r="Q5" s="71">
        <v>0.35</v>
      </c>
      <c r="R5" s="69" t="s">
        <v>16</v>
      </c>
      <c r="S5" s="77"/>
      <c r="T5" s="76" t="s">
        <v>211</v>
      </c>
      <c r="U5" s="78">
        <v>1.75</v>
      </c>
      <c r="V5" s="76" t="s">
        <v>212</v>
      </c>
      <c r="W5" s="77"/>
      <c r="X5" s="70" t="s">
        <v>104</v>
      </c>
      <c r="Y5" s="71">
        <v>7200</v>
      </c>
      <c r="Z5" s="70" t="s">
        <v>2</v>
      </c>
    </row>
    <row r="6" spans="2:26" ht="16.5" x14ac:dyDescent="0.3">
      <c r="B6" s="113" t="s">
        <v>62</v>
      </c>
      <c r="C6" s="226">
        <f t="shared" ref="C6:F6" si="0">ROUND(C3*1000/(C4*0.9)/(3^0.5)/C5,1)</f>
        <v>74.2</v>
      </c>
      <c r="D6" s="247">
        <f t="shared" ref="D6" si="1">ROUND(D3*1000/(D4*0.9)/(3^0.5)/D5,1)</f>
        <v>74.2</v>
      </c>
      <c r="E6" s="237">
        <f t="shared" si="0"/>
        <v>74.2</v>
      </c>
      <c r="F6" s="118">
        <f t="shared" si="0"/>
        <v>74.2</v>
      </c>
      <c r="G6" s="232" t="s">
        <v>2</v>
      </c>
      <c r="H6" s="115"/>
      <c r="I6" s="113" t="s">
        <v>288</v>
      </c>
      <c r="K6" s="212" t="s">
        <v>656</v>
      </c>
      <c r="L6" s="213">
        <v>150</v>
      </c>
      <c r="M6" s="213">
        <v>10</v>
      </c>
      <c r="N6" s="212" t="s">
        <v>46</v>
      </c>
      <c r="O6" s="77"/>
      <c r="P6" s="69" t="s">
        <v>19</v>
      </c>
      <c r="Q6" s="71">
        <v>48</v>
      </c>
      <c r="R6" s="69" t="s">
        <v>20</v>
      </c>
      <c r="S6" s="77"/>
      <c r="T6" s="76" t="s">
        <v>213</v>
      </c>
      <c r="U6" s="79">
        <v>3.8999999999999998E-3</v>
      </c>
      <c r="V6" s="76" t="s">
        <v>214</v>
      </c>
      <c r="W6" s="77"/>
      <c r="X6" s="70" t="s">
        <v>105</v>
      </c>
      <c r="Y6" s="71">
        <v>12800</v>
      </c>
      <c r="Z6" s="70" t="s">
        <v>25</v>
      </c>
    </row>
    <row r="7" spans="2:26" ht="16.5" x14ac:dyDescent="0.3">
      <c r="B7" s="113" t="s">
        <v>49</v>
      </c>
      <c r="C7" s="227">
        <v>2</v>
      </c>
      <c r="D7" s="248">
        <v>2</v>
      </c>
      <c r="E7" s="238">
        <v>2</v>
      </c>
      <c r="F7" s="117">
        <v>2</v>
      </c>
      <c r="G7" s="232" t="s">
        <v>72</v>
      </c>
      <c r="H7" s="115"/>
      <c r="I7" s="113"/>
      <c r="K7" s="212" t="s">
        <v>657</v>
      </c>
      <c r="L7" s="214">
        <f>((L5/25.4)^2*(L4^2))/(8*L5/25.4+11*L6/25.4)</f>
        <v>58.185952671029533</v>
      </c>
      <c r="M7" s="214">
        <f>((M5/25.4)^2*(M4^2))/(8*M5/25.4+11*M6/25.4)</f>
        <v>3.3785181405739344</v>
      </c>
      <c r="N7" s="212" t="s">
        <v>12</v>
      </c>
      <c r="O7" s="77"/>
      <c r="P7" s="69" t="s">
        <v>21</v>
      </c>
      <c r="Q7" s="71">
        <v>20000</v>
      </c>
      <c r="R7" s="69" t="s">
        <v>22</v>
      </c>
      <c r="S7" s="77"/>
      <c r="T7" s="76" t="s">
        <v>215</v>
      </c>
      <c r="U7" s="80">
        <v>45</v>
      </c>
      <c r="V7" s="76" t="s">
        <v>45</v>
      </c>
      <c r="W7" s="77"/>
      <c r="X7" s="70" t="s">
        <v>280</v>
      </c>
      <c r="Y7" s="71">
        <v>645</v>
      </c>
      <c r="Z7" s="70" t="s">
        <v>0</v>
      </c>
    </row>
    <row r="8" spans="2:26" ht="16.5" x14ac:dyDescent="0.15">
      <c r="B8" s="113" t="s">
        <v>63</v>
      </c>
      <c r="C8" s="227">
        <f t="shared" ref="C8:F8" si="2">ROUND(C6/C7,0)</f>
        <v>37</v>
      </c>
      <c r="D8" s="248">
        <f t="shared" ref="D8" si="3">ROUND(D6/D7,0)</f>
        <v>37</v>
      </c>
      <c r="E8" s="238">
        <f t="shared" si="2"/>
        <v>37</v>
      </c>
      <c r="F8" s="117">
        <f t="shared" si="2"/>
        <v>37</v>
      </c>
      <c r="G8" s="232" t="s">
        <v>3</v>
      </c>
      <c r="H8" s="115"/>
      <c r="I8" s="113"/>
      <c r="K8" s="69" t="s">
        <v>95</v>
      </c>
      <c r="L8" s="71">
        <v>27</v>
      </c>
      <c r="M8" s="71">
        <v>27</v>
      </c>
      <c r="N8" s="69" t="s">
        <v>7</v>
      </c>
      <c r="O8" s="77"/>
      <c r="P8" s="69" t="s">
        <v>23</v>
      </c>
      <c r="Q8" s="88">
        <f>(5000*Q4)/(Q5*Q6*Q7)</f>
        <v>9.3750000000000018</v>
      </c>
      <c r="R8" s="69" t="s">
        <v>238</v>
      </c>
      <c r="S8" s="77"/>
      <c r="T8" s="76" t="s">
        <v>216</v>
      </c>
      <c r="U8" s="79">
        <f>U5*(1+U6*(U7-20))</f>
        <v>1.9206249999999998</v>
      </c>
      <c r="V8" s="76" t="s">
        <v>212</v>
      </c>
      <c r="W8" s="77"/>
      <c r="X8" s="70" t="s">
        <v>279</v>
      </c>
      <c r="Y8" s="88">
        <f>SQRT(Y7^2+Y4*Y5^2/Y6)</f>
        <v>1107.2601320376345</v>
      </c>
      <c r="Z8" s="70" t="s">
        <v>0</v>
      </c>
    </row>
    <row r="9" spans="2:26" ht="16.5" x14ac:dyDescent="0.15">
      <c r="B9" s="113"/>
      <c r="C9" s="228"/>
      <c r="D9" s="249"/>
      <c r="E9" s="239"/>
      <c r="F9" s="119"/>
      <c r="G9" s="232"/>
      <c r="H9" s="115"/>
      <c r="I9" s="113"/>
      <c r="K9" s="69" t="s">
        <v>93</v>
      </c>
      <c r="L9" s="72">
        <f>L7*L8/100</f>
        <v>15.710207221177972</v>
      </c>
      <c r="M9" s="72">
        <f>M7*M8/100</f>
        <v>0.91219989795496237</v>
      </c>
      <c r="N9" s="69" t="s">
        <v>12</v>
      </c>
      <c r="O9" s="77"/>
      <c r="P9" s="77"/>
      <c r="Q9" s="77"/>
      <c r="R9" s="77"/>
      <c r="S9" s="77"/>
      <c r="T9" s="76" t="s">
        <v>217</v>
      </c>
      <c r="U9" s="81">
        <f>1/(U8/100000000)</f>
        <v>52066384.64041654</v>
      </c>
      <c r="V9" s="76" t="s">
        <v>218</v>
      </c>
      <c r="W9" s="77"/>
      <c r="X9" s="77"/>
      <c r="Y9" s="77"/>
      <c r="Z9" s="77"/>
    </row>
    <row r="10" spans="2:26" ht="16.5" x14ac:dyDescent="0.15">
      <c r="B10" s="113" t="s">
        <v>13</v>
      </c>
      <c r="C10" s="226">
        <f t="shared" ref="C10:F10" si="4">ROUND(C4*2^0.5*0.93,1)</f>
        <v>631.29999999999995</v>
      </c>
      <c r="D10" s="247">
        <f t="shared" ref="D10" si="5">ROUND(D4*2^0.5*0.93,1)</f>
        <v>631.29999999999995</v>
      </c>
      <c r="E10" s="237">
        <f t="shared" si="4"/>
        <v>631.29999999999995</v>
      </c>
      <c r="F10" s="118">
        <f t="shared" si="4"/>
        <v>631.29999999999995</v>
      </c>
      <c r="G10" s="232" t="s">
        <v>0</v>
      </c>
      <c r="H10" s="115"/>
      <c r="I10" s="113" t="s">
        <v>287</v>
      </c>
      <c r="K10" s="70" t="s">
        <v>92</v>
      </c>
      <c r="L10" s="71">
        <v>1.8</v>
      </c>
      <c r="M10" s="71">
        <v>0.5</v>
      </c>
      <c r="N10" s="69" t="s">
        <v>12</v>
      </c>
      <c r="O10" s="77" t="s">
        <v>706</v>
      </c>
      <c r="P10" s="258" t="s">
        <v>612</v>
      </c>
      <c r="Q10" s="258"/>
      <c r="R10" s="258"/>
      <c r="S10" s="77"/>
      <c r="T10" s="76" t="s">
        <v>219</v>
      </c>
      <c r="U10" s="67">
        <v>1</v>
      </c>
      <c r="V10" s="76" t="s">
        <v>220</v>
      </c>
      <c r="W10" s="77"/>
      <c r="X10" s="256" t="s">
        <v>267</v>
      </c>
      <c r="Y10" s="256"/>
      <c r="Z10" s="256"/>
    </row>
    <row r="11" spans="2:26" ht="16.5" x14ac:dyDescent="0.15">
      <c r="B11" s="113" t="s">
        <v>14</v>
      </c>
      <c r="C11" s="226">
        <f t="shared" ref="C11:F11" si="6">ROUND(C3*1000/C10,1)</f>
        <v>79.2</v>
      </c>
      <c r="D11" s="247">
        <f t="shared" ref="D11" si="7">ROUND(D3*1000/D10,1)</f>
        <v>79.2</v>
      </c>
      <c r="E11" s="237">
        <f t="shared" si="6"/>
        <v>79.2</v>
      </c>
      <c r="F11" s="118">
        <f t="shared" si="6"/>
        <v>79.2</v>
      </c>
      <c r="G11" s="232" t="s">
        <v>2</v>
      </c>
      <c r="H11" s="115"/>
      <c r="I11" s="113" t="s">
        <v>289</v>
      </c>
      <c r="K11" s="70" t="s">
        <v>277</v>
      </c>
      <c r="L11" s="71">
        <v>1</v>
      </c>
      <c r="M11" s="71">
        <v>1</v>
      </c>
      <c r="N11" s="69" t="s">
        <v>39</v>
      </c>
      <c r="O11" s="77"/>
      <c r="P11" s="69" t="s">
        <v>24</v>
      </c>
      <c r="Q11" s="71">
        <v>2500</v>
      </c>
      <c r="R11" s="69" t="s">
        <v>25</v>
      </c>
      <c r="S11" s="77"/>
      <c r="T11" s="76" t="s">
        <v>34</v>
      </c>
      <c r="U11" s="82">
        <v>1000</v>
      </c>
      <c r="V11" s="76" t="s">
        <v>221</v>
      </c>
      <c r="W11" s="77"/>
      <c r="X11" s="69" t="s">
        <v>105</v>
      </c>
      <c r="Y11" s="71">
        <v>9284</v>
      </c>
      <c r="Z11" s="69" t="s">
        <v>25</v>
      </c>
    </row>
    <row r="12" spans="2:26" ht="16.5" x14ac:dyDescent="0.15">
      <c r="B12" s="113"/>
      <c r="C12" s="228"/>
      <c r="D12" s="249"/>
      <c r="E12" s="239"/>
      <c r="F12" s="119"/>
      <c r="G12" s="232"/>
      <c r="H12" s="115"/>
      <c r="I12" s="113"/>
      <c r="K12" s="70" t="s">
        <v>94</v>
      </c>
      <c r="L12" s="71">
        <v>1</v>
      </c>
      <c r="M12" s="71">
        <v>2</v>
      </c>
      <c r="N12" s="69" t="s">
        <v>64</v>
      </c>
      <c r="O12" s="77"/>
      <c r="P12" s="69" t="s">
        <v>26</v>
      </c>
      <c r="Q12" s="71">
        <v>40</v>
      </c>
      <c r="R12" s="69" t="s">
        <v>12</v>
      </c>
      <c r="S12" s="77"/>
      <c r="T12" s="76" t="s">
        <v>250</v>
      </c>
      <c r="U12" s="95">
        <f>503.3*SQRT((U8/100000000)/(U10*U11))*1000</f>
        <v>2.205709020034714</v>
      </c>
      <c r="V12" s="76" t="s">
        <v>222</v>
      </c>
      <c r="W12" s="77"/>
      <c r="X12" s="69" t="s">
        <v>107</v>
      </c>
      <c r="Y12" s="71">
        <v>675</v>
      </c>
      <c r="Z12" s="69" t="s">
        <v>0</v>
      </c>
    </row>
    <row r="13" spans="2:26" ht="16.5" x14ac:dyDescent="0.15">
      <c r="B13" s="111" t="s">
        <v>235</v>
      </c>
      <c r="C13" s="228"/>
      <c r="D13" s="249"/>
      <c r="E13" s="239"/>
      <c r="F13" s="119"/>
      <c r="G13" s="232"/>
      <c r="H13" s="115"/>
      <c r="I13" s="113"/>
      <c r="K13" s="70" t="s">
        <v>96</v>
      </c>
      <c r="L13" s="83">
        <v>1</v>
      </c>
      <c r="M13" s="83">
        <v>1</v>
      </c>
      <c r="N13" s="69" t="s">
        <v>65</v>
      </c>
      <c r="O13" s="77"/>
      <c r="P13" s="69" t="s">
        <v>27</v>
      </c>
      <c r="Q13" s="88">
        <f>1/(2*3.14*SQRT((Q11/1000000)*(Q12/1000000)))</f>
        <v>503.54739811598398</v>
      </c>
      <c r="R13" s="69" t="s">
        <v>28</v>
      </c>
      <c r="S13" s="77"/>
      <c r="T13" s="76" t="s">
        <v>251</v>
      </c>
      <c r="U13" s="89">
        <v>6126</v>
      </c>
      <c r="V13" s="76" t="s">
        <v>222</v>
      </c>
      <c r="W13" s="77"/>
      <c r="X13" s="69" t="s">
        <v>104</v>
      </c>
      <c r="Y13" s="71">
        <v>4300</v>
      </c>
      <c r="Z13" s="69" t="s">
        <v>2</v>
      </c>
    </row>
    <row r="14" spans="2:26" ht="16.5" x14ac:dyDescent="0.15">
      <c r="B14" s="113" t="s">
        <v>73</v>
      </c>
      <c r="C14" s="234">
        <v>26.488</v>
      </c>
      <c r="D14" s="250">
        <v>26.488</v>
      </c>
      <c r="E14" s="240">
        <v>26.488</v>
      </c>
      <c r="F14" s="233">
        <v>26.488</v>
      </c>
      <c r="G14" s="232" t="s">
        <v>12</v>
      </c>
      <c r="H14" s="115">
        <v>3</v>
      </c>
      <c r="I14" s="116" t="s">
        <v>284</v>
      </c>
      <c r="K14" s="70" t="s">
        <v>278</v>
      </c>
      <c r="L14" s="94">
        <f>L9/L12*L13*L11^2+L10</f>
        <v>17.510207221177971</v>
      </c>
      <c r="M14" s="94">
        <f>M9/M12*M13*M11^2+M10</f>
        <v>0.95609994897748118</v>
      </c>
      <c r="N14" s="69" t="s">
        <v>12</v>
      </c>
      <c r="O14" s="223">
        <f>L14+M14</f>
        <v>18.466307170155453</v>
      </c>
      <c r="P14" s="77"/>
      <c r="Q14" s="77"/>
      <c r="R14" s="77"/>
      <c r="S14" s="77"/>
      <c r="T14" s="76" t="s">
        <v>276</v>
      </c>
      <c r="U14" s="89">
        <v>5</v>
      </c>
      <c r="V14" s="76" t="s">
        <v>222</v>
      </c>
      <c r="W14" s="77"/>
      <c r="X14" s="69" t="s">
        <v>109</v>
      </c>
      <c r="Y14" s="71">
        <v>800</v>
      </c>
      <c r="Z14" s="69" t="s">
        <v>22</v>
      </c>
    </row>
    <row r="15" spans="2:26" ht="16.5" x14ac:dyDescent="0.15">
      <c r="B15" s="113" t="s">
        <v>74</v>
      </c>
      <c r="C15" s="229">
        <v>2.5</v>
      </c>
      <c r="D15" s="251">
        <v>2.5</v>
      </c>
      <c r="E15" s="241">
        <v>2.5</v>
      </c>
      <c r="F15" s="186">
        <v>2.5</v>
      </c>
      <c r="G15" s="232" t="s">
        <v>25</v>
      </c>
      <c r="H15" s="115">
        <v>4</v>
      </c>
      <c r="I15" s="116" t="s">
        <v>286</v>
      </c>
      <c r="J15" s="2"/>
      <c r="K15" s="77"/>
      <c r="L15" s="221" t="s">
        <v>666</v>
      </c>
      <c r="M15" s="221" t="s">
        <v>667</v>
      </c>
      <c r="N15" s="77"/>
      <c r="O15" s="77"/>
      <c r="P15" s="258" t="s">
        <v>244</v>
      </c>
      <c r="Q15" s="258"/>
      <c r="R15" s="258"/>
      <c r="S15" s="77"/>
      <c r="T15" s="76" t="s">
        <v>274</v>
      </c>
      <c r="U15" s="90">
        <f>MIN(U12,U14)</f>
        <v>2.205709020034714</v>
      </c>
      <c r="V15" s="76" t="s">
        <v>222</v>
      </c>
      <c r="W15" s="77"/>
      <c r="X15" s="69" t="s">
        <v>110</v>
      </c>
      <c r="Y15" s="72">
        <f>(1.414*Y13*0.421)/(2*3.14159*Y14*Y12*2*Y11*0.000001)*2*100</f>
        <v>8.1262759844751162</v>
      </c>
      <c r="Z15" s="69" t="s">
        <v>7</v>
      </c>
    </row>
    <row r="16" spans="2:26" ht="16.5" x14ac:dyDescent="0.15">
      <c r="B16" s="113" t="s">
        <v>75</v>
      </c>
      <c r="C16" s="226">
        <f t="shared" ref="C16:F16" si="8">1000/(2*PI()*(C14*C15)^0.5)</f>
        <v>19.558049611338653</v>
      </c>
      <c r="D16" s="247">
        <f t="shared" ref="D16" si="9">1000/(2*PI()*(D14*D15)^0.5)</f>
        <v>19.558049611338653</v>
      </c>
      <c r="E16" s="237">
        <f t="shared" si="8"/>
        <v>19.558049611338653</v>
      </c>
      <c r="F16" s="118">
        <f t="shared" si="8"/>
        <v>19.558049611338653</v>
      </c>
      <c r="G16" s="232" t="s">
        <v>4</v>
      </c>
      <c r="H16" s="115"/>
      <c r="I16" s="113" t="s">
        <v>243</v>
      </c>
      <c r="K16" s="256" t="s">
        <v>223</v>
      </c>
      <c r="L16" s="256"/>
      <c r="M16" s="256"/>
      <c r="N16" s="256"/>
      <c r="O16" s="77" t="s">
        <v>650</v>
      </c>
      <c r="P16" s="69" t="s">
        <v>29</v>
      </c>
      <c r="Q16" s="71">
        <v>855</v>
      </c>
      <c r="R16" s="69" t="s">
        <v>30</v>
      </c>
      <c r="S16" s="77"/>
      <c r="T16" s="76" t="s">
        <v>272</v>
      </c>
      <c r="U16" s="89">
        <v>200</v>
      </c>
      <c r="V16" s="76" t="s">
        <v>222</v>
      </c>
      <c r="W16" s="77"/>
      <c r="X16" s="69" t="s">
        <v>106</v>
      </c>
      <c r="Y16" s="88">
        <f>Y12*Y15/100</f>
        <v>54.852362895207037</v>
      </c>
      <c r="Z16" s="69" t="s">
        <v>0</v>
      </c>
    </row>
    <row r="17" spans="2:26" ht="16.5" x14ac:dyDescent="0.15">
      <c r="B17" s="113" t="s">
        <v>76</v>
      </c>
      <c r="C17" s="224">
        <v>30</v>
      </c>
      <c r="D17" s="245">
        <v>30</v>
      </c>
      <c r="E17" s="235">
        <v>30</v>
      </c>
      <c r="F17" s="114">
        <v>30</v>
      </c>
      <c r="G17" s="232" t="s">
        <v>77</v>
      </c>
      <c r="H17" s="115">
        <v>5</v>
      </c>
      <c r="I17" s="116" t="s">
        <v>268</v>
      </c>
      <c r="K17" s="84" t="s">
        <v>228</v>
      </c>
      <c r="L17" s="85">
        <v>10</v>
      </c>
      <c r="M17" s="85">
        <v>8.5</v>
      </c>
      <c r="N17" s="84" t="s">
        <v>25</v>
      </c>
      <c r="O17" s="77"/>
      <c r="P17" s="69" t="s">
        <v>31</v>
      </c>
      <c r="Q17" s="71">
        <v>0.5</v>
      </c>
      <c r="R17" s="69" t="s">
        <v>4</v>
      </c>
      <c r="S17" s="77"/>
      <c r="T17" s="76" t="s">
        <v>271</v>
      </c>
      <c r="U17" s="95">
        <f>U15*U16</f>
        <v>441.14180400694283</v>
      </c>
      <c r="V17" s="76" t="s">
        <v>247</v>
      </c>
      <c r="W17" s="77"/>
      <c r="X17" s="69" t="s">
        <v>108</v>
      </c>
      <c r="Y17" s="88">
        <f>2*3.14159*Y14*Y11*0.000001*Y16</f>
        <v>2559.7641999999996</v>
      </c>
      <c r="Z17" s="69" t="s">
        <v>2</v>
      </c>
    </row>
    <row r="18" spans="2:26" ht="16.5" x14ac:dyDescent="0.15">
      <c r="B18" s="113" t="s">
        <v>78</v>
      </c>
      <c r="C18" s="227">
        <f t="shared" ref="C18:F18" si="10">ROUNDUP(TAN(PI()*C17/180),3)</f>
        <v>0.57799999999999996</v>
      </c>
      <c r="D18" s="248">
        <f t="shared" ref="D18" si="11">ROUNDUP(TAN(PI()*D17/180),3)</f>
        <v>0.57799999999999996</v>
      </c>
      <c r="E18" s="238">
        <f t="shared" si="10"/>
        <v>0.57799999999999996</v>
      </c>
      <c r="F18" s="117">
        <f t="shared" si="10"/>
        <v>0.57799999999999996</v>
      </c>
      <c r="G18" s="232"/>
      <c r="H18" s="115"/>
      <c r="I18" s="113"/>
      <c r="K18" s="84" t="s">
        <v>224</v>
      </c>
      <c r="L18" s="85">
        <v>1</v>
      </c>
      <c r="M18" s="85">
        <v>1</v>
      </c>
      <c r="N18" s="84" t="s">
        <v>231</v>
      </c>
      <c r="O18" s="77"/>
      <c r="P18" s="69" t="s">
        <v>32</v>
      </c>
      <c r="Q18" s="71">
        <v>7200</v>
      </c>
      <c r="R18" s="69" t="s">
        <v>2</v>
      </c>
      <c r="S18" s="77"/>
      <c r="T18" s="76" t="s">
        <v>252</v>
      </c>
      <c r="U18" s="89">
        <v>1000</v>
      </c>
      <c r="V18" s="68" t="s">
        <v>248</v>
      </c>
      <c r="W18" s="77"/>
      <c r="X18" s="77"/>
    </row>
    <row r="19" spans="2:26" ht="16.5" x14ac:dyDescent="0.15">
      <c r="B19" s="113"/>
      <c r="C19" s="228"/>
      <c r="D19" s="249"/>
      <c r="E19" s="239"/>
      <c r="F19" s="119"/>
      <c r="G19" s="232"/>
      <c r="H19" s="115"/>
      <c r="I19" s="113"/>
      <c r="K19" s="84" t="s">
        <v>226</v>
      </c>
      <c r="L19" s="85">
        <v>500</v>
      </c>
      <c r="M19" s="85">
        <v>500</v>
      </c>
      <c r="N19" s="84" t="s">
        <v>0</v>
      </c>
      <c r="O19" s="77"/>
      <c r="P19" s="69" t="s">
        <v>33</v>
      </c>
      <c r="Q19" s="88">
        <f>(Q18)/(2*3.14*Q17*1000*(Q16/1000000))</f>
        <v>2681.8638954073081</v>
      </c>
      <c r="R19" s="69" t="s">
        <v>0</v>
      </c>
      <c r="S19" s="77"/>
      <c r="T19" s="76" t="s">
        <v>592</v>
      </c>
      <c r="U19" s="91">
        <f>U18/U17</f>
        <v>2.2668447898541522</v>
      </c>
      <c r="V19" s="68" t="s">
        <v>248</v>
      </c>
      <c r="W19" s="77"/>
      <c r="X19" s="256" t="s">
        <v>587</v>
      </c>
      <c r="Y19" s="256"/>
      <c r="Z19" s="256"/>
    </row>
    <row r="20" spans="2:26" ht="16.5" x14ac:dyDescent="0.15">
      <c r="B20" s="113" t="s">
        <v>38</v>
      </c>
      <c r="C20" s="229">
        <v>2</v>
      </c>
      <c r="D20" s="251">
        <v>4.5</v>
      </c>
      <c r="E20" s="241">
        <v>6</v>
      </c>
      <c r="F20" s="186">
        <v>8</v>
      </c>
      <c r="G20" s="232"/>
      <c r="H20" s="115">
        <v>6</v>
      </c>
      <c r="I20" s="116" t="s">
        <v>285</v>
      </c>
      <c r="K20" s="84" t="s">
        <v>227</v>
      </c>
      <c r="L20" s="85">
        <v>1000</v>
      </c>
      <c r="M20" s="85">
        <v>1000</v>
      </c>
      <c r="N20" s="84" t="s">
        <v>2</v>
      </c>
      <c r="O20" s="77"/>
      <c r="P20" s="77"/>
      <c r="Q20" s="77"/>
      <c r="R20" s="77"/>
      <c r="S20" s="77"/>
      <c r="T20" s="76" t="s">
        <v>253</v>
      </c>
      <c r="U20" s="91">
        <f>U8/100000000*(U18^2)/(U17/1000000)*U13/1000</f>
        <v>266.71126252670501</v>
      </c>
      <c r="V20" s="68" t="s">
        <v>249</v>
      </c>
      <c r="W20" s="77"/>
      <c r="X20" s="156" t="s">
        <v>581</v>
      </c>
      <c r="Y20" s="113">
        <v>0.9133</v>
      </c>
      <c r="Z20" s="113" t="s">
        <v>580</v>
      </c>
    </row>
    <row r="21" spans="2:26" ht="16.5" x14ac:dyDescent="0.15">
      <c r="B21" s="113" t="s">
        <v>79</v>
      </c>
      <c r="C21" s="230">
        <f t="shared" ref="C21:F21" si="12">C16*((C18/C20)+(((C18/C20)^2+4)^0.5))/2</f>
        <v>22.587321370988793</v>
      </c>
      <c r="D21" s="252">
        <f t="shared" ref="D21" si="13">D16*((D18/D20)+(((D18/D20)^2+4)^0.5))/2</f>
        <v>20.854403043857694</v>
      </c>
      <c r="E21" s="242">
        <f t="shared" si="12"/>
        <v>20.52277013307847</v>
      </c>
      <c r="F21" s="191">
        <f t="shared" si="12"/>
        <v>20.277341772850846</v>
      </c>
      <c r="G21" s="232" t="s">
        <v>4</v>
      </c>
      <c r="H21" s="115"/>
      <c r="I21" s="121" t="s">
        <v>266</v>
      </c>
      <c r="K21" s="84" t="s">
        <v>225</v>
      </c>
      <c r="L21" s="85">
        <v>1</v>
      </c>
      <c r="M21" s="85">
        <v>1</v>
      </c>
      <c r="N21" s="84" t="s">
        <v>231</v>
      </c>
      <c r="O21" s="77"/>
      <c r="P21" s="258" t="s">
        <v>245</v>
      </c>
      <c r="Q21" s="258"/>
      <c r="R21" s="258"/>
      <c r="S21" s="77"/>
      <c r="T21" s="77"/>
      <c r="U21" s="77"/>
      <c r="V21" s="77"/>
      <c r="W21" s="77"/>
      <c r="X21" s="84" t="s">
        <v>582</v>
      </c>
      <c r="Y21" s="128">
        <v>2</v>
      </c>
      <c r="Z21" s="113" t="s">
        <v>323</v>
      </c>
    </row>
    <row r="22" spans="2:26" ht="16.5" x14ac:dyDescent="0.15">
      <c r="B22" s="113" t="s">
        <v>306</v>
      </c>
      <c r="C22" s="227">
        <f t="shared" ref="C22:F22" si="14">2*PI()*C16*C14</f>
        <v>3255.026881609429</v>
      </c>
      <c r="D22" s="248">
        <f t="shared" ref="D22" si="15">2*PI()*D16*D14</f>
        <v>3255.026881609429</v>
      </c>
      <c r="E22" s="238">
        <f t="shared" si="14"/>
        <v>3255.026881609429</v>
      </c>
      <c r="F22" s="117">
        <f t="shared" si="14"/>
        <v>3255.026881609429</v>
      </c>
      <c r="G22" s="232" t="s">
        <v>81</v>
      </c>
      <c r="H22" s="115"/>
      <c r="I22" s="113"/>
      <c r="K22" s="84" t="s">
        <v>232</v>
      </c>
      <c r="L22" s="85">
        <v>4</v>
      </c>
      <c r="M22" s="85">
        <v>2</v>
      </c>
      <c r="N22" s="84" t="s">
        <v>65</v>
      </c>
      <c r="O22" s="77"/>
      <c r="P22" s="70" t="s">
        <v>149</v>
      </c>
      <c r="Q22" s="71">
        <v>600</v>
      </c>
      <c r="R22" s="69" t="s">
        <v>150</v>
      </c>
      <c r="S22" s="77" t="s">
        <v>650</v>
      </c>
      <c r="T22" s="258" t="s">
        <v>590</v>
      </c>
      <c r="U22" s="258"/>
      <c r="V22" s="258"/>
      <c r="W22" s="77"/>
      <c r="X22" s="84" t="s">
        <v>583</v>
      </c>
      <c r="Y22" s="155">
        <f>Y20*Y21</f>
        <v>1.8266</v>
      </c>
      <c r="Z22" s="113" t="s">
        <v>580</v>
      </c>
    </row>
    <row r="23" spans="2:26" ht="16.5" x14ac:dyDescent="0.15">
      <c r="B23" s="113" t="s">
        <v>80</v>
      </c>
      <c r="C23" s="227">
        <f t="shared" ref="C23:F23" si="16">2*PI()*C21*C14</f>
        <v>3759.1855889094159</v>
      </c>
      <c r="D23" s="248">
        <f t="shared" ref="D23" si="17">2*PI()*D21*D14</f>
        <v>3470.7777031264072</v>
      </c>
      <c r="E23" s="238">
        <f t="shared" si="16"/>
        <v>3415.5843653005877</v>
      </c>
      <c r="F23" s="117">
        <f t="shared" si="16"/>
        <v>3374.7379656888852</v>
      </c>
      <c r="G23" s="232" t="s">
        <v>81</v>
      </c>
      <c r="H23" s="115"/>
      <c r="I23" s="113"/>
      <c r="K23" s="84" t="s">
        <v>233</v>
      </c>
      <c r="L23" s="85">
        <v>1</v>
      </c>
      <c r="M23" s="85">
        <v>1</v>
      </c>
      <c r="N23" s="84" t="s">
        <v>64</v>
      </c>
      <c r="O23" s="77"/>
      <c r="P23" s="70" t="s">
        <v>151</v>
      </c>
      <c r="Q23" s="71">
        <v>2.2000000000000002</v>
      </c>
      <c r="R23" s="69" t="s">
        <v>152</v>
      </c>
      <c r="S23" s="77"/>
      <c r="T23" s="69" t="s">
        <v>209</v>
      </c>
      <c r="U23" s="67" t="s">
        <v>210</v>
      </c>
      <c r="V23" s="67"/>
      <c r="W23" s="77"/>
      <c r="X23" s="84"/>
      <c r="Y23" s="113"/>
      <c r="Z23" s="113"/>
    </row>
    <row r="24" spans="2:26" ht="16.5" x14ac:dyDescent="0.15">
      <c r="B24" s="113" t="s">
        <v>82</v>
      </c>
      <c r="C24" s="227">
        <f t="shared" ref="C24:F24" si="18">1000000/(2*PI()*C21*C15)</f>
        <v>2818.4828201242899</v>
      </c>
      <c r="D24" s="248">
        <f t="shared" ref="D24" si="19">1000000/(2*PI()*D21*D15)</f>
        <v>3052.6875836663507</v>
      </c>
      <c r="E24" s="238">
        <f t="shared" si="18"/>
        <v>3102.0167757055451</v>
      </c>
      <c r="F24" s="117">
        <f t="shared" si="18"/>
        <v>3139.5622734926033</v>
      </c>
      <c r="G24" s="232" t="s">
        <v>81</v>
      </c>
      <c r="H24" s="115"/>
      <c r="I24" s="113"/>
      <c r="K24" s="84" t="s">
        <v>258</v>
      </c>
      <c r="L24" s="93">
        <f>L17*(L21/L18)*L23/L22</f>
        <v>2.5</v>
      </c>
      <c r="M24" s="93">
        <f>M17*(M21/M18)*M23/M22</f>
        <v>4.25</v>
      </c>
      <c r="N24" s="84" t="s">
        <v>25</v>
      </c>
      <c r="O24" s="77"/>
      <c r="P24" s="70" t="s">
        <v>155</v>
      </c>
      <c r="Q24" s="71">
        <v>22</v>
      </c>
      <c r="R24" s="69" t="s">
        <v>156</v>
      </c>
      <c r="S24" s="77"/>
      <c r="T24" s="76" t="s">
        <v>211</v>
      </c>
      <c r="U24" s="78">
        <v>1.75</v>
      </c>
      <c r="V24" s="76" t="s">
        <v>212</v>
      </c>
      <c r="W24" s="77"/>
      <c r="X24" s="156" t="s">
        <v>584</v>
      </c>
      <c r="Y24" s="113">
        <v>0.48</v>
      </c>
      <c r="Z24" s="113" t="s">
        <v>580</v>
      </c>
    </row>
    <row r="25" spans="2:26" ht="16.5" x14ac:dyDescent="0.15">
      <c r="B25" s="113" t="s">
        <v>66</v>
      </c>
      <c r="C25" s="227">
        <f t="shared" ref="C25:F25" si="20">C22/C20</f>
        <v>1627.5134408047145</v>
      </c>
      <c r="D25" s="248">
        <f t="shared" ref="D25" si="21">D22/D20</f>
        <v>723.33930702431758</v>
      </c>
      <c r="E25" s="238">
        <f t="shared" si="20"/>
        <v>542.50448026823813</v>
      </c>
      <c r="F25" s="117">
        <f t="shared" si="20"/>
        <v>406.87836020117862</v>
      </c>
      <c r="G25" s="232" t="s">
        <v>81</v>
      </c>
      <c r="H25" s="115"/>
      <c r="I25" s="113"/>
      <c r="K25" s="84" t="s">
        <v>229</v>
      </c>
      <c r="L25" s="86">
        <f>L19*L22</f>
        <v>2000</v>
      </c>
      <c r="M25" s="86">
        <f>M19*M22</f>
        <v>1000</v>
      </c>
      <c r="N25" s="84" t="s">
        <v>0</v>
      </c>
      <c r="O25" s="77"/>
      <c r="P25" s="70" t="s">
        <v>159</v>
      </c>
      <c r="Q25" s="71">
        <v>2</v>
      </c>
      <c r="R25" s="69"/>
      <c r="S25" s="77"/>
      <c r="T25" s="76" t="s">
        <v>213</v>
      </c>
      <c r="U25" s="79">
        <v>3.8999999999999998E-3</v>
      </c>
      <c r="V25" s="76" t="s">
        <v>214</v>
      </c>
      <c r="W25" s="77"/>
      <c r="X25" s="84" t="s">
        <v>585</v>
      </c>
      <c r="Y25" s="128">
        <v>5</v>
      </c>
      <c r="Z25" s="113" t="s">
        <v>323</v>
      </c>
    </row>
    <row r="26" spans="2:26" ht="16.5" x14ac:dyDescent="0.15">
      <c r="B26" s="113" t="s">
        <v>83</v>
      </c>
      <c r="C26" s="227">
        <f t="shared" ref="C26:F26" si="22">(C25^2+(C23-C24)^2)^0.5</f>
        <v>1879.8195921949539</v>
      </c>
      <c r="D26" s="248">
        <f t="shared" ref="D26" si="23">(D25^2+(D23-D24)^2)^0.5</f>
        <v>835.47537430886871</v>
      </c>
      <c r="E26" s="238">
        <f t="shared" si="22"/>
        <v>626.60653073165167</v>
      </c>
      <c r="F26" s="117">
        <f t="shared" si="22"/>
        <v>469.95489804873876</v>
      </c>
      <c r="G26" s="232" t="s">
        <v>81</v>
      </c>
      <c r="H26" s="115"/>
      <c r="I26" s="113"/>
      <c r="K26" s="84" t="s">
        <v>230</v>
      </c>
      <c r="L26" s="86">
        <f>L20*(L21/L18)*L23</f>
        <v>1000</v>
      </c>
      <c r="M26" s="86">
        <f>M20*(M21/M18)*M23</f>
        <v>1000</v>
      </c>
      <c r="N26" s="84" t="s">
        <v>2</v>
      </c>
      <c r="O26" s="77"/>
      <c r="P26" s="70" t="s">
        <v>162</v>
      </c>
      <c r="Q26" s="72">
        <f>Q23*Q24*Q25*2</f>
        <v>193.60000000000002</v>
      </c>
      <c r="R26" s="69" t="s">
        <v>152</v>
      </c>
      <c r="S26" s="77"/>
      <c r="T26" s="76" t="s">
        <v>215</v>
      </c>
      <c r="U26" s="80">
        <v>45</v>
      </c>
      <c r="V26" s="76" t="s">
        <v>45</v>
      </c>
      <c r="W26" s="77"/>
      <c r="X26" s="84" t="s">
        <v>586</v>
      </c>
      <c r="Y26" s="155">
        <f>Y24*Y25</f>
        <v>2.4</v>
      </c>
      <c r="Z26" s="113" t="s">
        <v>580</v>
      </c>
    </row>
    <row r="27" spans="2:26" ht="16.5" x14ac:dyDescent="0.15">
      <c r="B27" s="113"/>
      <c r="C27" s="228"/>
      <c r="D27" s="249"/>
      <c r="E27" s="239"/>
      <c r="F27" s="119"/>
      <c r="G27" s="232"/>
      <c r="H27" s="115"/>
      <c r="I27" s="113"/>
      <c r="K27" s="84" t="s">
        <v>44</v>
      </c>
      <c r="L27" s="86">
        <f>L25*L26/1000</f>
        <v>2000</v>
      </c>
      <c r="M27" s="86">
        <f>M25*M26/1000</f>
        <v>1000</v>
      </c>
      <c r="N27" s="84" t="s">
        <v>44</v>
      </c>
      <c r="O27" s="77"/>
      <c r="P27" s="70" t="s">
        <v>165</v>
      </c>
      <c r="Q27" s="71">
        <v>1.5</v>
      </c>
      <c r="R27" s="69" t="s">
        <v>166</v>
      </c>
      <c r="S27" s="77"/>
      <c r="T27" s="76" t="s">
        <v>216</v>
      </c>
      <c r="U27" s="79">
        <f>U24*(1+U25*(U26-20))</f>
        <v>1.9206249999999998</v>
      </c>
      <c r="V27" s="76" t="s">
        <v>212</v>
      </c>
      <c r="W27" s="77"/>
      <c r="X27" s="84"/>
      <c r="Y27" s="113"/>
      <c r="Z27" s="113"/>
    </row>
    <row r="28" spans="2:26" ht="16.5" x14ac:dyDescent="0.15">
      <c r="B28" s="113" t="s">
        <v>102</v>
      </c>
      <c r="C28" s="230">
        <f t="shared" ref="C28:F28" si="24">(C3*1000000/C25)^0.5</f>
        <v>175.27610358734901</v>
      </c>
      <c r="D28" s="252">
        <f t="shared" ref="D28" si="25">(D3*1000000/D25)^0.5</f>
        <v>262.91415538102353</v>
      </c>
      <c r="E28" s="242">
        <f t="shared" si="24"/>
        <v>303.58711676599404</v>
      </c>
      <c r="F28" s="120">
        <f t="shared" si="24"/>
        <v>350.55220717469803</v>
      </c>
      <c r="G28" s="232" t="s">
        <v>2</v>
      </c>
      <c r="H28" s="115"/>
      <c r="I28" s="121" t="s">
        <v>265</v>
      </c>
      <c r="K28" s="77"/>
      <c r="L28" s="77"/>
      <c r="M28" s="77"/>
      <c r="N28" s="77"/>
      <c r="O28" s="77"/>
      <c r="P28" s="70" t="s">
        <v>167</v>
      </c>
      <c r="Q28" s="71">
        <v>400</v>
      </c>
      <c r="R28" s="69" t="s">
        <v>168</v>
      </c>
      <c r="S28" s="77"/>
      <c r="T28" s="76" t="s">
        <v>217</v>
      </c>
      <c r="U28" s="81">
        <f>1/(U27/100000000)</f>
        <v>52066384.64041654</v>
      </c>
      <c r="V28" s="76" t="s">
        <v>218</v>
      </c>
      <c r="W28" s="77"/>
      <c r="X28" s="156" t="s">
        <v>584</v>
      </c>
      <c r="Y28" s="113">
        <v>0.4133</v>
      </c>
      <c r="Z28" s="113" t="s">
        <v>580</v>
      </c>
    </row>
    <row r="29" spans="2:26" ht="16.5" x14ac:dyDescent="0.15">
      <c r="B29" s="113" t="s">
        <v>100</v>
      </c>
      <c r="C29" s="227">
        <f t="shared" ref="C29:F29" si="26">C28*C25/1000</f>
        <v>285.26421444028995</v>
      </c>
      <c r="D29" s="248">
        <f t="shared" ref="D29" si="27">D28*D25/1000</f>
        <v>190.17614296019332</v>
      </c>
      <c r="E29" s="238">
        <f t="shared" si="26"/>
        <v>164.69737099726854</v>
      </c>
      <c r="F29" s="117">
        <f t="shared" si="26"/>
        <v>142.63210722014497</v>
      </c>
      <c r="G29" s="232" t="s">
        <v>0</v>
      </c>
      <c r="H29" s="115"/>
      <c r="I29" s="113"/>
      <c r="K29" s="256" t="s">
        <v>644</v>
      </c>
      <c r="L29" s="256"/>
      <c r="M29" s="256"/>
      <c r="N29" s="256"/>
      <c r="O29" s="77" t="s">
        <v>650</v>
      </c>
      <c r="P29" s="70" t="s">
        <v>169</v>
      </c>
      <c r="Q29" s="71">
        <v>1</v>
      </c>
      <c r="R29" s="69" t="s">
        <v>170</v>
      </c>
      <c r="S29" s="77"/>
      <c r="T29" s="76" t="s">
        <v>219</v>
      </c>
      <c r="U29" s="67">
        <v>1</v>
      </c>
      <c r="V29" s="76" t="s">
        <v>220</v>
      </c>
      <c r="W29" s="77"/>
      <c r="X29" s="84" t="s">
        <v>585</v>
      </c>
      <c r="Y29" s="128">
        <v>5</v>
      </c>
      <c r="Z29" s="113" t="s">
        <v>323</v>
      </c>
    </row>
    <row r="30" spans="2:26" ht="16.5" x14ac:dyDescent="0.15">
      <c r="B30" s="113" t="s">
        <v>302</v>
      </c>
      <c r="C30" s="230">
        <f t="shared" ref="C30:F30" si="28">C28/(2*3.14159*C21*1000*C15/1000000)</f>
        <v>494.0131040142864</v>
      </c>
      <c r="D30" s="252">
        <f t="shared" ref="D30" si="29">D28/(2*3.14159*D21*1000*D15/1000000)</f>
        <v>802.59545562515586</v>
      </c>
      <c r="E30" s="242">
        <f t="shared" si="28"/>
        <v>941.73312454413269</v>
      </c>
      <c r="F30" s="120">
        <f t="shared" si="28"/>
        <v>1100.5814141565963</v>
      </c>
      <c r="G30" s="232" t="s">
        <v>0</v>
      </c>
      <c r="H30" s="115"/>
      <c r="I30" s="121" t="s">
        <v>69</v>
      </c>
      <c r="K30" s="70" t="s">
        <v>34</v>
      </c>
      <c r="L30" s="71">
        <v>41870</v>
      </c>
      <c r="M30" s="71"/>
      <c r="N30" s="70" t="s">
        <v>22</v>
      </c>
      <c r="O30" s="77"/>
      <c r="P30" s="70" t="s">
        <v>171</v>
      </c>
      <c r="Q30" s="72">
        <f>Q28*Q29</f>
        <v>400</v>
      </c>
      <c r="R30" s="69" t="s">
        <v>168</v>
      </c>
      <c r="S30" s="77"/>
      <c r="T30" s="76" t="s">
        <v>34</v>
      </c>
      <c r="U30" s="82">
        <v>20000</v>
      </c>
      <c r="V30" s="76" t="s">
        <v>221</v>
      </c>
      <c r="W30" s="77"/>
      <c r="X30" s="84" t="s">
        <v>586</v>
      </c>
      <c r="Y30" s="155">
        <f>Y28*Y29</f>
        <v>2.0665</v>
      </c>
      <c r="Z30" s="113" t="s">
        <v>580</v>
      </c>
    </row>
    <row r="31" spans="2:26" ht="16.5" x14ac:dyDescent="0.15">
      <c r="B31" s="113" t="s">
        <v>101</v>
      </c>
      <c r="C31" s="227">
        <f t="shared" ref="C31:F31" si="30">C28*C26/1000</f>
        <v>329.48745356709094</v>
      </c>
      <c r="D31" s="248">
        <f t="shared" ref="D31" si="31">D28*D26/1000</f>
        <v>219.65830237806071</v>
      </c>
      <c r="E31" s="238">
        <f t="shared" si="30"/>
        <v>190.22967001156437</v>
      </c>
      <c r="F31" s="117">
        <f t="shared" si="30"/>
        <v>164.74372678354558</v>
      </c>
      <c r="G31" s="232" t="s">
        <v>0</v>
      </c>
      <c r="H31" s="115"/>
      <c r="I31" s="113"/>
      <c r="K31" s="70" t="s">
        <v>50</v>
      </c>
      <c r="L31" s="71">
        <v>5</v>
      </c>
      <c r="M31" s="71"/>
      <c r="N31" s="70" t="s">
        <v>25</v>
      </c>
      <c r="O31" s="77"/>
      <c r="P31" s="69"/>
      <c r="Q31" s="69"/>
      <c r="R31" s="69"/>
      <c r="S31" s="77"/>
      <c r="T31" s="76" t="s">
        <v>250</v>
      </c>
      <c r="U31" s="95">
        <f>503.3*SQRT((U27/100000000)/(U29*U30))*1000</f>
        <v>0.49321153073820667</v>
      </c>
      <c r="V31" s="76" t="s">
        <v>222</v>
      </c>
      <c r="W31" s="77"/>
      <c r="X31" s="77"/>
    </row>
    <row r="32" spans="2:26" ht="16.5" x14ac:dyDescent="0.15">
      <c r="B32" s="113" t="s">
        <v>99</v>
      </c>
      <c r="C32" s="227">
        <f t="shared" ref="C32:F32" si="32">ROUNDUP(COS(PI()*C17/180),3)</f>
        <v>0.86699999999999999</v>
      </c>
      <c r="D32" s="248">
        <f t="shared" ref="D32" si="33">ROUNDUP(COS(PI()*D17/180),3)</f>
        <v>0.86699999999999999</v>
      </c>
      <c r="E32" s="238">
        <f t="shared" si="32"/>
        <v>0.86699999999999999</v>
      </c>
      <c r="F32" s="117">
        <f t="shared" si="32"/>
        <v>0.86699999999999999</v>
      </c>
      <c r="G32" s="232"/>
      <c r="H32" s="115"/>
      <c r="I32" s="113"/>
      <c r="K32" s="70" t="s">
        <v>51</v>
      </c>
      <c r="L32" s="71">
        <v>200</v>
      </c>
      <c r="M32" s="71"/>
      <c r="N32" s="70" t="s">
        <v>2</v>
      </c>
      <c r="O32" s="77"/>
      <c r="P32" s="73" t="s">
        <v>172</v>
      </c>
      <c r="Q32" s="257" t="s">
        <v>173</v>
      </c>
      <c r="R32" s="257"/>
      <c r="S32" s="77"/>
      <c r="T32" s="76" t="s">
        <v>251</v>
      </c>
      <c r="U32" s="89">
        <v>6126</v>
      </c>
      <c r="V32" s="76" t="s">
        <v>222</v>
      </c>
      <c r="W32" s="77"/>
      <c r="X32" s="258" t="s">
        <v>604</v>
      </c>
      <c r="Y32" s="258"/>
      <c r="Z32" s="258"/>
    </row>
    <row r="33" spans="2:27" ht="16.5" x14ac:dyDescent="0.15">
      <c r="B33" s="113" t="s">
        <v>98</v>
      </c>
      <c r="C33" s="231">
        <f t="shared" ref="C33:F33" si="34">C30/(C25*C28/1000)</f>
        <v>1.7317738398543177</v>
      </c>
      <c r="D33" s="253">
        <f t="shared" ref="D33" si="35">D30/(D25*D28/1000)</f>
        <v>4.2202741265667116</v>
      </c>
      <c r="E33" s="243">
        <f t="shared" si="34"/>
        <v>5.7179608808676798</v>
      </c>
      <c r="F33" s="190">
        <f t="shared" si="34"/>
        <v>7.7162248781609053</v>
      </c>
      <c r="G33" s="232"/>
      <c r="H33" s="115"/>
      <c r="I33" s="121" t="s">
        <v>263</v>
      </c>
      <c r="K33" s="70" t="s">
        <v>52</v>
      </c>
      <c r="L33" s="71">
        <v>63</v>
      </c>
      <c r="M33" s="71"/>
      <c r="N33" s="70" t="s">
        <v>1</v>
      </c>
      <c r="O33" s="77"/>
      <c r="P33" s="70" t="s">
        <v>174</v>
      </c>
      <c r="Q33" s="71">
        <v>30</v>
      </c>
      <c r="R33" s="69" t="s">
        <v>175</v>
      </c>
      <c r="S33" s="77"/>
      <c r="T33" s="76" t="s">
        <v>275</v>
      </c>
      <c r="U33" s="89">
        <v>1.2</v>
      </c>
      <c r="V33" s="76" t="s">
        <v>222</v>
      </c>
      <c r="W33" s="77"/>
      <c r="X33" s="69" t="s">
        <v>605</v>
      </c>
      <c r="Y33" s="71">
        <v>440</v>
      </c>
      <c r="Z33" s="69" t="s">
        <v>0</v>
      </c>
    </row>
    <row r="34" spans="2:27" ht="16.5" x14ac:dyDescent="0.15">
      <c r="B34" s="113" t="s">
        <v>303</v>
      </c>
      <c r="C34" s="230">
        <f t="shared" ref="C34:F34" si="36">C30+C28*C18*C25/1000</f>
        <v>658.89581996077402</v>
      </c>
      <c r="D34" s="252">
        <f t="shared" ref="D34" si="37">D30+D28*D18*D25/1000</f>
        <v>912.51726625614765</v>
      </c>
      <c r="E34" s="242">
        <f t="shared" si="36"/>
        <v>1036.9282049805538</v>
      </c>
      <c r="F34" s="120">
        <f t="shared" si="36"/>
        <v>1183.0227721298402</v>
      </c>
      <c r="G34" s="232" t="s">
        <v>0</v>
      </c>
      <c r="H34" s="115"/>
      <c r="I34" s="121" t="s">
        <v>262</v>
      </c>
      <c r="K34" s="70" t="s">
        <v>281</v>
      </c>
      <c r="L34" s="71">
        <v>4.6660000000000004</v>
      </c>
      <c r="M34" s="71"/>
      <c r="N34" s="70" t="s">
        <v>39</v>
      </c>
      <c r="O34" s="77"/>
      <c r="P34" s="70" t="s">
        <v>176</v>
      </c>
      <c r="Q34" s="74">
        <f>Q28*SQRT(2)*SIN(Q33*PI()/180)</f>
        <v>282.84271247461896</v>
      </c>
      <c r="R34" s="69" t="s">
        <v>177</v>
      </c>
      <c r="S34" s="77"/>
      <c r="T34" s="76" t="s">
        <v>274</v>
      </c>
      <c r="U34" s="90">
        <f>MIN(U31,U33)</f>
        <v>0.49321153073820667</v>
      </c>
      <c r="V34" s="76" t="s">
        <v>222</v>
      </c>
      <c r="W34" s="77"/>
      <c r="X34" s="69" t="s">
        <v>62</v>
      </c>
      <c r="Y34" s="71">
        <v>300</v>
      </c>
      <c r="Z34" s="69" t="s">
        <v>2</v>
      </c>
    </row>
    <row r="35" spans="2:27" ht="16.5" x14ac:dyDescent="0.15">
      <c r="B35" s="113"/>
      <c r="C35" s="228"/>
      <c r="D35" s="249"/>
      <c r="E35" s="239"/>
      <c r="F35" s="119"/>
      <c r="G35" s="232"/>
      <c r="H35" s="115"/>
      <c r="I35" s="113"/>
      <c r="K35" s="70" t="s">
        <v>53</v>
      </c>
      <c r="L35" s="72">
        <f>(L32*L34)/(2*3.1415*L30*(L31/1000000))</f>
        <v>709.47109317734282</v>
      </c>
      <c r="M35" s="72"/>
      <c r="N35" s="70" t="s">
        <v>54</v>
      </c>
      <c r="O35" s="77"/>
      <c r="P35" s="70" t="s">
        <v>178</v>
      </c>
      <c r="Q35" s="87">
        <f>Q22*Q26/Q34</f>
        <v>410.6876185131469</v>
      </c>
      <c r="R35" s="69" t="s">
        <v>179</v>
      </c>
      <c r="S35" s="77"/>
      <c r="T35" s="76" t="s">
        <v>254</v>
      </c>
      <c r="U35" s="89">
        <v>9.5</v>
      </c>
      <c r="V35" s="76" t="s">
        <v>222</v>
      </c>
      <c r="W35" s="77"/>
      <c r="X35" s="69" t="s">
        <v>608</v>
      </c>
      <c r="Y35" s="88">
        <f>Y33</f>
        <v>440</v>
      </c>
      <c r="Z35" s="69" t="s">
        <v>606</v>
      </c>
    </row>
    <row r="36" spans="2:27" ht="16.5" x14ac:dyDescent="0.15">
      <c r="B36" s="113" t="s">
        <v>84</v>
      </c>
      <c r="C36" s="227">
        <v>1</v>
      </c>
      <c r="D36" s="248">
        <v>1</v>
      </c>
      <c r="E36" s="238">
        <v>1</v>
      </c>
      <c r="F36" s="117">
        <v>1</v>
      </c>
      <c r="G36" s="232"/>
      <c r="H36" s="115"/>
      <c r="I36" s="113" t="s">
        <v>85</v>
      </c>
      <c r="K36" s="70" t="s">
        <v>55</v>
      </c>
      <c r="L36" s="72">
        <f>L32*L34</f>
        <v>933.2</v>
      </c>
      <c r="M36" s="72"/>
      <c r="N36" s="70"/>
      <c r="O36" s="77"/>
      <c r="P36" s="69"/>
      <c r="Q36" s="69"/>
      <c r="R36" s="69"/>
      <c r="S36" s="77"/>
      <c r="T36" s="76" t="s">
        <v>273</v>
      </c>
      <c r="U36" s="95">
        <f>(PI()*(U35/2)^2)-(PI()*(U35/2-U34)^2)</f>
        <v>13.955746022273715</v>
      </c>
      <c r="V36" s="76" t="s">
        <v>247</v>
      </c>
      <c r="W36" s="77"/>
      <c r="X36" s="69" t="s">
        <v>609</v>
      </c>
      <c r="Y36" s="88">
        <f>Y34*1.25</f>
        <v>375</v>
      </c>
      <c r="Z36" s="69" t="s">
        <v>607</v>
      </c>
    </row>
    <row r="37" spans="2:27" ht="16.5" x14ac:dyDescent="0.15">
      <c r="B37" s="113" t="s">
        <v>304</v>
      </c>
      <c r="C37" s="227">
        <f t="shared" ref="C37:F37" si="38">C10/C36*4/PI()/2^0.5</f>
        <v>568.36969038998097</v>
      </c>
      <c r="D37" s="248">
        <f t="shared" ref="D37" si="39">D10/D36*4/PI()/2^0.5</f>
        <v>568.36969038998097</v>
      </c>
      <c r="E37" s="238">
        <f t="shared" si="38"/>
        <v>568.36969038998097</v>
      </c>
      <c r="F37" s="117">
        <f t="shared" si="38"/>
        <v>568.36969038998097</v>
      </c>
      <c r="G37" s="232" t="s">
        <v>0</v>
      </c>
      <c r="H37" s="115"/>
      <c r="I37" s="113" t="s">
        <v>242</v>
      </c>
      <c r="K37" s="70" t="s">
        <v>613</v>
      </c>
      <c r="L37" s="72">
        <f>L35*L36/1000</f>
        <v>662.07842415309642</v>
      </c>
      <c r="M37" s="72"/>
      <c r="N37" s="70" t="s">
        <v>613</v>
      </c>
      <c r="O37" s="77"/>
      <c r="P37" s="73" t="s">
        <v>180</v>
      </c>
      <c r="Q37" s="70"/>
      <c r="R37" s="70"/>
      <c r="S37" s="77"/>
      <c r="T37" s="76" t="s">
        <v>252</v>
      </c>
      <c r="U37" s="89">
        <v>350</v>
      </c>
      <c r="V37" s="68" t="s">
        <v>248</v>
      </c>
      <c r="W37" s="77"/>
      <c r="X37" s="77"/>
    </row>
    <row r="38" spans="2:27" ht="16.5" x14ac:dyDescent="0.15">
      <c r="B38" s="113" t="s">
        <v>86</v>
      </c>
      <c r="C38" s="229">
        <v>1.71</v>
      </c>
      <c r="D38" s="251">
        <v>2</v>
      </c>
      <c r="E38" s="241">
        <v>2</v>
      </c>
      <c r="F38" s="186">
        <v>2</v>
      </c>
      <c r="G38" s="232" t="s">
        <v>39</v>
      </c>
      <c r="H38" s="115">
        <v>7</v>
      </c>
      <c r="I38" s="116" t="s">
        <v>270</v>
      </c>
      <c r="K38" s="70" t="s">
        <v>38</v>
      </c>
      <c r="L38" s="88">
        <f>L37/L33</f>
        <v>10.509181335763435</v>
      </c>
      <c r="M38" s="88"/>
      <c r="N38" s="70"/>
      <c r="O38" s="77"/>
      <c r="P38" s="70" t="s">
        <v>181</v>
      </c>
      <c r="Q38" s="74">
        <f>Q22*Q26/Q27/1000</f>
        <v>77.440000000000012</v>
      </c>
      <c r="R38" s="69" t="s">
        <v>177</v>
      </c>
      <c r="S38" s="77"/>
      <c r="T38" s="76" t="s">
        <v>592</v>
      </c>
      <c r="U38" s="91">
        <f>U37/U36</f>
        <v>25.079275550113291</v>
      </c>
      <c r="V38" s="68" t="s">
        <v>248</v>
      </c>
      <c r="W38" s="77"/>
      <c r="X38" s="258" t="s">
        <v>611</v>
      </c>
      <c r="Y38" s="258"/>
      <c r="Z38" s="258"/>
    </row>
    <row r="39" spans="2:27" ht="16.5" x14ac:dyDescent="0.15">
      <c r="B39" s="113" t="s">
        <v>87</v>
      </c>
      <c r="C39" s="227">
        <f t="shared" ref="C39:F39" si="40">ROUND(C37/C38,1)</f>
        <v>332.4</v>
      </c>
      <c r="D39" s="248">
        <f t="shared" ref="D39" si="41">ROUND(D37/D38,1)</f>
        <v>284.2</v>
      </c>
      <c r="E39" s="238">
        <f t="shared" si="40"/>
        <v>284.2</v>
      </c>
      <c r="F39" s="117">
        <f t="shared" si="40"/>
        <v>284.2</v>
      </c>
      <c r="G39" s="232" t="s">
        <v>0</v>
      </c>
      <c r="H39" s="115"/>
      <c r="I39" s="113" t="s">
        <v>305</v>
      </c>
      <c r="K39" s="77"/>
      <c r="L39" s="77"/>
      <c r="M39" s="77"/>
      <c r="N39" s="77"/>
      <c r="O39" s="77"/>
      <c r="P39" s="70" t="s">
        <v>182</v>
      </c>
      <c r="Q39" s="74">
        <f>Q38/SIN(Q33*PI()/180)/SQRT(2)</f>
        <v>109.51669827017251</v>
      </c>
      <c r="R39" s="69" t="s">
        <v>168</v>
      </c>
      <c r="S39" s="77"/>
      <c r="T39" s="76" t="s">
        <v>253</v>
      </c>
      <c r="U39" s="91">
        <f>U27/100000000*(U37^2)/(U36/1000000)*U32/1000</f>
        <v>1032.7675923412785</v>
      </c>
      <c r="V39" s="68" t="s">
        <v>249</v>
      </c>
      <c r="W39" s="77"/>
      <c r="X39" s="69" t="s">
        <v>24</v>
      </c>
      <c r="Y39" s="71">
        <v>0.52800000000000002</v>
      </c>
      <c r="Z39" s="69" t="s">
        <v>25</v>
      </c>
    </row>
    <row r="40" spans="2:27" ht="16.5" x14ac:dyDescent="0.15">
      <c r="B40" s="113"/>
      <c r="C40" s="228"/>
      <c r="D40" s="249"/>
      <c r="E40" s="239"/>
      <c r="F40" s="119"/>
      <c r="G40" s="232"/>
      <c r="H40" s="115"/>
      <c r="I40" s="113"/>
      <c r="K40" s="256" t="s">
        <v>234</v>
      </c>
      <c r="L40" s="256"/>
      <c r="M40" s="256"/>
      <c r="N40" s="256"/>
      <c r="O40" s="77"/>
      <c r="P40" s="70" t="s">
        <v>171</v>
      </c>
      <c r="Q40" s="87">
        <f>Q39*Q29</f>
        <v>109.51669827017251</v>
      </c>
      <c r="R40" s="69" t="s">
        <v>168</v>
      </c>
      <c r="S40" s="77"/>
      <c r="T40" s="77"/>
      <c r="U40" s="77"/>
      <c r="V40" s="77"/>
      <c r="W40" s="77"/>
      <c r="X40" s="69" t="s">
        <v>26</v>
      </c>
      <c r="Y40" s="71">
        <v>0.27</v>
      </c>
      <c r="Z40" s="69" t="s">
        <v>12</v>
      </c>
    </row>
    <row r="41" spans="2:27" ht="16.5" x14ac:dyDescent="0.15">
      <c r="B41" s="113" t="s">
        <v>70</v>
      </c>
      <c r="C41" s="231">
        <f t="shared" ref="C41:F41" si="42">C31/C39*100</f>
        <v>99.12378266157971</v>
      </c>
      <c r="D41" s="253">
        <f t="shared" ref="D41" si="43">D31/D39*100</f>
        <v>77.290043060542118</v>
      </c>
      <c r="E41" s="243">
        <f t="shared" si="42"/>
        <v>66.935140750022654</v>
      </c>
      <c r="F41" s="122">
        <f t="shared" si="42"/>
        <v>57.967532295406613</v>
      </c>
      <c r="G41" s="232" t="s">
        <v>7</v>
      </c>
      <c r="H41" s="115"/>
      <c r="I41" s="123" t="s">
        <v>269</v>
      </c>
      <c r="K41" s="84" t="s">
        <v>15</v>
      </c>
      <c r="L41" s="85">
        <v>40</v>
      </c>
      <c r="M41" s="85"/>
      <c r="N41" s="84" t="s">
        <v>259</v>
      </c>
      <c r="O41" s="77"/>
      <c r="P41" s="70" t="s">
        <v>183</v>
      </c>
      <c r="Q41" s="74">
        <f>Q40/Q30*100</f>
        <v>27.379174567543132</v>
      </c>
      <c r="R41" s="75" t="s">
        <v>184</v>
      </c>
      <c r="S41" s="77"/>
      <c r="T41" s="258" t="s">
        <v>591</v>
      </c>
      <c r="U41" s="258"/>
      <c r="V41" s="258"/>
      <c r="W41" s="77"/>
      <c r="X41" s="69" t="s">
        <v>27</v>
      </c>
      <c r="Y41" s="88">
        <f>1/(2*3.14*SQRT((Y39/1000000)*(Y40/1000000)))</f>
        <v>421736.81406829093</v>
      </c>
      <c r="Z41" s="69" t="s">
        <v>28</v>
      </c>
    </row>
    <row r="42" spans="2:27" ht="16.5" x14ac:dyDescent="0.15">
      <c r="B42" s="113"/>
      <c r="C42" s="228"/>
      <c r="D42" s="249"/>
      <c r="E42" s="239"/>
      <c r="F42" s="119"/>
      <c r="G42" s="232"/>
      <c r="H42" s="115"/>
      <c r="I42" s="113"/>
      <c r="K42" s="84" t="s">
        <v>97</v>
      </c>
      <c r="L42" s="85">
        <v>127</v>
      </c>
      <c r="M42" s="85"/>
      <c r="N42" s="84" t="s">
        <v>2</v>
      </c>
      <c r="O42" s="77"/>
      <c r="P42" s="70" t="s">
        <v>185</v>
      </c>
      <c r="Q42" s="74">
        <f>Q41*Q41/100</f>
        <v>7.4961920000000068</v>
      </c>
      <c r="R42" s="75" t="s">
        <v>184</v>
      </c>
      <c r="S42" s="77"/>
      <c r="T42" s="69" t="s">
        <v>209</v>
      </c>
      <c r="U42" s="67" t="s">
        <v>210</v>
      </c>
      <c r="V42" s="67"/>
      <c r="W42" s="77"/>
      <c r="X42" s="77"/>
    </row>
    <row r="43" spans="2:27" ht="16.5" x14ac:dyDescent="0.15">
      <c r="B43" s="113" t="s">
        <v>88</v>
      </c>
      <c r="C43" s="230">
        <f t="shared" ref="C43:F43" si="44">C28/C38</f>
        <v>102.50064537271872</v>
      </c>
      <c r="D43" s="252">
        <f t="shared" ref="D43" si="45">D28/D38</f>
        <v>131.45707769051177</v>
      </c>
      <c r="E43" s="242">
        <f t="shared" si="44"/>
        <v>151.79355838299702</v>
      </c>
      <c r="F43" s="120">
        <f t="shared" si="44"/>
        <v>175.27610358734901</v>
      </c>
      <c r="G43" s="232" t="s">
        <v>2</v>
      </c>
      <c r="H43" s="115"/>
      <c r="I43" s="121" t="s">
        <v>264</v>
      </c>
      <c r="K43" s="84" t="s">
        <v>41</v>
      </c>
      <c r="L43" s="85">
        <v>401</v>
      </c>
      <c r="M43" s="85"/>
      <c r="N43" s="84" t="s">
        <v>0</v>
      </c>
      <c r="O43" s="77"/>
      <c r="P43" s="77"/>
      <c r="Q43" s="77"/>
      <c r="R43" s="77"/>
      <c r="S43" s="77"/>
      <c r="T43" s="76" t="s">
        <v>211</v>
      </c>
      <c r="U43" s="78">
        <v>1.75</v>
      </c>
      <c r="V43" s="76" t="s">
        <v>212</v>
      </c>
      <c r="W43" s="77"/>
      <c r="X43" s="258" t="s">
        <v>641</v>
      </c>
      <c r="Y43" s="258"/>
      <c r="Z43" s="258"/>
      <c r="AA43" s="2" t="s">
        <v>649</v>
      </c>
    </row>
    <row r="44" spans="2:27" ht="16.5" x14ac:dyDescent="0.15">
      <c r="B44" s="113" t="s">
        <v>89</v>
      </c>
      <c r="C44" s="227">
        <f t="shared" ref="C44:F44" si="46">ROUND(C43*2^0.5*2/PI(),0)</f>
        <v>92</v>
      </c>
      <c r="D44" s="248">
        <f t="shared" ref="D44" si="47">ROUND(D43*2^0.5*2/PI(),0)</f>
        <v>118</v>
      </c>
      <c r="E44" s="238">
        <f t="shared" si="46"/>
        <v>137</v>
      </c>
      <c r="F44" s="117">
        <f t="shared" si="46"/>
        <v>158</v>
      </c>
      <c r="G44" s="232" t="s">
        <v>2</v>
      </c>
      <c r="H44" s="115"/>
      <c r="I44" s="113"/>
      <c r="K44" s="84" t="s">
        <v>567</v>
      </c>
      <c r="L44" s="85">
        <v>1</v>
      </c>
      <c r="M44" s="85"/>
      <c r="N44" s="84"/>
      <c r="O44" s="77"/>
      <c r="P44" s="258" t="s">
        <v>246</v>
      </c>
      <c r="Q44" s="258"/>
      <c r="R44" s="258"/>
      <c r="S44" s="77"/>
      <c r="T44" s="76" t="s">
        <v>213</v>
      </c>
      <c r="U44" s="79">
        <v>3.8999999999999998E-3</v>
      </c>
      <c r="V44" s="76" t="s">
        <v>214</v>
      </c>
      <c r="W44" s="77"/>
      <c r="X44" s="69" t="s">
        <v>17</v>
      </c>
      <c r="Y44" s="71">
        <v>1100</v>
      </c>
      <c r="Z44" s="69" t="s">
        <v>0</v>
      </c>
    </row>
    <row r="45" spans="2:27" ht="16.5" x14ac:dyDescent="0.15">
      <c r="B45" s="113" t="s">
        <v>90</v>
      </c>
      <c r="C45" s="227">
        <f t="shared" ref="C45:F45" si="48">C44/C36</f>
        <v>92</v>
      </c>
      <c r="D45" s="248">
        <f t="shared" ref="D45" si="49">D44/D36</f>
        <v>118</v>
      </c>
      <c r="E45" s="238">
        <f t="shared" si="48"/>
        <v>137</v>
      </c>
      <c r="F45" s="117">
        <f t="shared" si="48"/>
        <v>158</v>
      </c>
      <c r="G45" s="232" t="s">
        <v>2</v>
      </c>
      <c r="H45" s="115"/>
      <c r="I45" s="113"/>
      <c r="K45" s="84" t="s">
        <v>54</v>
      </c>
      <c r="L45" s="86">
        <f>L43*0.9/L44</f>
        <v>360.90000000000003</v>
      </c>
      <c r="M45" s="86"/>
      <c r="N45" s="84" t="s">
        <v>0</v>
      </c>
      <c r="O45" s="77"/>
      <c r="P45" s="70" t="s">
        <v>153</v>
      </c>
      <c r="Q45" s="71">
        <v>5808</v>
      </c>
      <c r="R45" s="70" t="s">
        <v>154</v>
      </c>
      <c r="S45" s="77"/>
      <c r="T45" s="76" t="s">
        <v>215</v>
      </c>
      <c r="U45" s="80">
        <v>45</v>
      </c>
      <c r="V45" s="76" t="s">
        <v>45</v>
      </c>
      <c r="W45" s="77"/>
      <c r="X45" s="69" t="s">
        <v>18</v>
      </c>
      <c r="Y45" s="71">
        <v>0.35</v>
      </c>
      <c r="Z45" s="69" t="s">
        <v>16</v>
      </c>
    </row>
    <row r="46" spans="2:27" ht="17.25" thickBot="1" x14ac:dyDescent="0.2">
      <c r="B46" s="113" t="s">
        <v>91</v>
      </c>
      <c r="C46" s="227">
        <f t="shared" ref="C46:F46" si="50">ROUND(C45/C11,3)</f>
        <v>1.1619999999999999</v>
      </c>
      <c r="D46" s="254">
        <f t="shared" ref="D46" si="51">ROUND(D45/D11,3)</f>
        <v>1.49</v>
      </c>
      <c r="E46" s="238">
        <f t="shared" si="50"/>
        <v>1.73</v>
      </c>
      <c r="F46" s="117">
        <f t="shared" si="50"/>
        <v>1.9950000000000001</v>
      </c>
      <c r="G46" s="232"/>
      <c r="H46" s="115"/>
      <c r="I46" s="113"/>
      <c r="K46" s="84" t="s">
        <v>260</v>
      </c>
      <c r="L46" s="86">
        <f>(L41*1000)/(L42*L43*0.9/L44)</f>
        <v>0.87270886650390644</v>
      </c>
      <c r="M46" s="86"/>
      <c r="N46" s="84"/>
      <c r="O46" s="77"/>
      <c r="P46" s="70" t="s">
        <v>157</v>
      </c>
      <c r="Q46" s="71">
        <v>680</v>
      </c>
      <c r="R46" s="70" t="s">
        <v>158</v>
      </c>
      <c r="S46" s="77"/>
      <c r="T46" s="76" t="s">
        <v>216</v>
      </c>
      <c r="U46" s="79">
        <f>U43*(1+U44*(U45-20))</f>
        <v>1.9206249999999998</v>
      </c>
      <c r="V46" s="76" t="s">
        <v>212</v>
      </c>
      <c r="W46" s="77"/>
      <c r="X46" s="69" t="s">
        <v>19</v>
      </c>
      <c r="Y46" s="71">
        <v>78.540000000000006</v>
      </c>
      <c r="Z46" s="69" t="s">
        <v>20</v>
      </c>
    </row>
    <row r="47" spans="2:27" ht="16.5" x14ac:dyDescent="0.15">
      <c r="K47" s="84" t="s">
        <v>261</v>
      </c>
      <c r="L47" s="92">
        <f>DEGREES(ACOS(L46))</f>
        <v>29.225030363895115</v>
      </c>
      <c r="M47" s="92"/>
      <c r="N47" s="84"/>
      <c r="O47" s="77"/>
      <c r="P47" s="70" t="s">
        <v>160</v>
      </c>
      <c r="Q47" s="71">
        <v>300</v>
      </c>
      <c r="R47" s="70" t="s">
        <v>161</v>
      </c>
      <c r="S47" s="77"/>
      <c r="T47" s="76" t="s">
        <v>217</v>
      </c>
      <c r="U47" s="81">
        <f>1/(U46/100000000)</f>
        <v>52066384.64041654</v>
      </c>
      <c r="V47" s="76" t="s">
        <v>218</v>
      </c>
      <c r="W47" s="77"/>
      <c r="X47" s="69" t="s">
        <v>21</v>
      </c>
      <c r="Y47" s="71">
        <v>20000</v>
      </c>
      <c r="Z47" s="69" t="s">
        <v>22</v>
      </c>
    </row>
    <row r="48" spans="2:27" ht="16.5" x14ac:dyDescent="0.15">
      <c r="B48" s="111" t="s">
        <v>308</v>
      </c>
      <c r="K48" s="77"/>
      <c r="L48" s="77"/>
      <c r="M48" s="77"/>
      <c r="N48" s="77"/>
      <c r="O48" s="77"/>
      <c r="P48" s="70" t="s">
        <v>163</v>
      </c>
      <c r="Q48" s="88">
        <f>Q45*Q46/Q47</f>
        <v>13164.8</v>
      </c>
      <c r="R48" s="70" t="s">
        <v>164</v>
      </c>
      <c r="S48" s="77"/>
      <c r="T48" s="76" t="s">
        <v>219</v>
      </c>
      <c r="U48" s="67">
        <v>1</v>
      </c>
      <c r="V48" s="76" t="s">
        <v>220</v>
      </c>
      <c r="W48" s="77"/>
      <c r="X48" s="69" t="s">
        <v>23</v>
      </c>
      <c r="Y48" s="88">
        <f>(5000*Y44)/(Y45*Y46*Y47)</f>
        <v>10.004001600640256</v>
      </c>
      <c r="Z48" s="69" t="s">
        <v>238</v>
      </c>
    </row>
    <row r="49" spans="2:28" ht="16.5" x14ac:dyDescent="0.3">
      <c r="B49" s="96" t="s">
        <v>292</v>
      </c>
      <c r="C49" s="98">
        <v>1</v>
      </c>
      <c r="D49" s="98"/>
      <c r="E49" s="98">
        <v>1</v>
      </c>
      <c r="F49" s="98">
        <v>1</v>
      </c>
      <c r="G49" s="96" t="s">
        <v>47</v>
      </c>
      <c r="H49" s="115">
        <v>8</v>
      </c>
      <c r="I49" s="99" t="s">
        <v>296</v>
      </c>
      <c r="K49" s="256" t="s">
        <v>283</v>
      </c>
      <c r="L49" s="256"/>
      <c r="M49" s="256"/>
      <c r="N49" s="256"/>
      <c r="O49" s="77"/>
      <c r="P49" s="77"/>
      <c r="Q49" s="77"/>
      <c r="R49" s="77"/>
      <c r="S49" s="77"/>
      <c r="T49" s="76" t="s">
        <v>34</v>
      </c>
      <c r="U49" s="82">
        <v>500</v>
      </c>
      <c r="V49" s="76" t="s">
        <v>221</v>
      </c>
      <c r="W49" s="77"/>
      <c r="X49" s="77"/>
    </row>
    <row r="50" spans="2:28" ht="16.5" x14ac:dyDescent="0.3">
      <c r="B50" s="96" t="s">
        <v>111</v>
      </c>
      <c r="C50" s="126">
        <f t="shared" ref="C50:F50" si="52">C43/C49</f>
        <v>102.50064537271872</v>
      </c>
      <c r="D50" s="126"/>
      <c r="E50" s="126">
        <f t="shared" si="52"/>
        <v>151.79355838299702</v>
      </c>
      <c r="F50" s="126">
        <f t="shared" si="52"/>
        <v>175.27610358734901</v>
      </c>
      <c r="G50" s="96" t="s">
        <v>2</v>
      </c>
      <c r="H50" s="115"/>
      <c r="I50" s="96" t="s">
        <v>295</v>
      </c>
      <c r="K50" s="96" t="s">
        <v>312</v>
      </c>
      <c r="L50" s="97">
        <v>300</v>
      </c>
      <c r="M50" s="97"/>
      <c r="N50" s="96" t="s">
        <v>11</v>
      </c>
      <c r="O50" s="77"/>
      <c r="P50" s="258" t="s">
        <v>324</v>
      </c>
      <c r="Q50" s="258"/>
      <c r="R50" s="258"/>
      <c r="S50" s="77"/>
      <c r="T50" s="76" t="s">
        <v>250</v>
      </c>
      <c r="U50" s="95">
        <f>503.3*SQRT((U46/100000000)/(U48*U49))*1000</f>
        <v>3.1193436107817618</v>
      </c>
      <c r="V50" s="76" t="s">
        <v>222</v>
      </c>
      <c r="W50" s="77"/>
      <c r="X50" s="77"/>
    </row>
    <row r="51" spans="2:28" ht="16.5" x14ac:dyDescent="0.3">
      <c r="B51" s="96" t="s">
        <v>8</v>
      </c>
      <c r="C51" s="103">
        <v>3.2</v>
      </c>
      <c r="D51" s="103"/>
      <c r="E51" s="103">
        <v>3.2</v>
      </c>
      <c r="F51" s="103">
        <v>3.2</v>
      </c>
      <c r="G51" s="96" t="s">
        <v>42</v>
      </c>
      <c r="H51" s="115">
        <v>9</v>
      </c>
      <c r="I51" s="99" t="s">
        <v>114</v>
      </c>
      <c r="K51" s="96" t="s">
        <v>35</v>
      </c>
      <c r="L51" s="97">
        <v>1</v>
      </c>
      <c r="M51" s="97"/>
      <c r="N51" s="96" t="s">
        <v>11</v>
      </c>
      <c r="O51" s="77"/>
      <c r="P51" s="84" t="s">
        <v>315</v>
      </c>
      <c r="Q51" s="85">
        <v>15.4</v>
      </c>
      <c r="R51" s="84" t="s">
        <v>11</v>
      </c>
      <c r="S51" s="77"/>
      <c r="T51" s="76" t="s">
        <v>251</v>
      </c>
      <c r="U51" s="89">
        <v>16000</v>
      </c>
      <c r="V51" s="76" t="s">
        <v>222</v>
      </c>
      <c r="W51" s="77"/>
      <c r="X51" s="258" t="s">
        <v>643</v>
      </c>
      <c r="Y51" s="258"/>
      <c r="Z51" s="258"/>
    </row>
    <row r="52" spans="2:28" ht="16.5" x14ac:dyDescent="0.3">
      <c r="B52" s="96" t="s">
        <v>115</v>
      </c>
      <c r="C52" s="103">
        <v>25</v>
      </c>
      <c r="D52" s="103"/>
      <c r="E52" s="103">
        <v>25</v>
      </c>
      <c r="F52" s="103">
        <v>25</v>
      </c>
      <c r="G52" s="96" t="s">
        <v>0</v>
      </c>
      <c r="H52" s="115">
        <v>10</v>
      </c>
      <c r="I52" s="99" t="s">
        <v>116</v>
      </c>
      <c r="K52" s="96" t="s">
        <v>36</v>
      </c>
      <c r="L52" s="97">
        <v>100</v>
      </c>
      <c r="M52" s="97"/>
      <c r="N52" s="96" t="s">
        <v>11</v>
      </c>
      <c r="O52" s="77"/>
      <c r="P52" s="84" t="s">
        <v>316</v>
      </c>
      <c r="Q52" s="85">
        <v>2</v>
      </c>
      <c r="R52" s="84" t="s">
        <v>11</v>
      </c>
      <c r="S52" s="77"/>
      <c r="T52" s="76" t="s">
        <v>275</v>
      </c>
      <c r="U52" s="89">
        <v>6</v>
      </c>
      <c r="V52" s="76" t="s">
        <v>222</v>
      </c>
      <c r="W52" s="77"/>
      <c r="X52" s="69" t="s">
        <v>29</v>
      </c>
      <c r="Y52" s="71">
        <v>884.4</v>
      </c>
      <c r="Z52" s="69" t="s">
        <v>30</v>
      </c>
    </row>
    <row r="53" spans="2:28" ht="16.5" x14ac:dyDescent="0.3">
      <c r="B53" s="96" t="s">
        <v>9</v>
      </c>
      <c r="C53" s="107">
        <f t="shared" ref="C53:F53" si="53">C52*C51/1000000*C54*1000</f>
        <v>1.8069857096791035</v>
      </c>
      <c r="D53" s="107"/>
      <c r="E53" s="107">
        <f t="shared" si="53"/>
        <v>1.6418216106462777</v>
      </c>
      <c r="F53" s="107">
        <f t="shared" si="53"/>
        <v>1.6221873418280677</v>
      </c>
      <c r="G53" s="96" t="s">
        <v>6</v>
      </c>
      <c r="H53" s="115"/>
      <c r="I53" s="96"/>
      <c r="K53" s="96" t="s">
        <v>73</v>
      </c>
      <c r="L53" s="102">
        <f>12.5*(L51/10)*(L52/10)/(L50/10)</f>
        <v>0.41666666666666669</v>
      </c>
      <c r="M53" s="102"/>
      <c r="N53" s="96" t="s">
        <v>37</v>
      </c>
      <c r="O53" s="77"/>
      <c r="P53" s="84" t="s">
        <v>317</v>
      </c>
      <c r="Q53" s="86">
        <f>Q51+Q52*2</f>
        <v>19.399999999999999</v>
      </c>
      <c r="R53" s="84" t="s">
        <v>11</v>
      </c>
      <c r="S53" s="77"/>
      <c r="T53" s="76" t="s">
        <v>274</v>
      </c>
      <c r="U53" s="90">
        <f>MIN(U50,U52)</f>
        <v>3.1193436107817618</v>
      </c>
      <c r="V53" s="76" t="s">
        <v>222</v>
      </c>
      <c r="W53" s="77"/>
      <c r="X53" s="69" t="s">
        <v>31</v>
      </c>
      <c r="Y53" s="71">
        <v>0.96</v>
      </c>
      <c r="Z53" s="69" t="s">
        <v>4</v>
      </c>
    </row>
    <row r="54" spans="2:28" ht="16.5" x14ac:dyDescent="0.3">
      <c r="B54" s="96" t="s">
        <v>113</v>
      </c>
      <c r="C54" s="126">
        <f t="shared" ref="C54:F54" si="54">C21</f>
        <v>22.587321370988793</v>
      </c>
      <c r="D54" s="126"/>
      <c r="E54" s="126">
        <f t="shared" si="54"/>
        <v>20.52277013307847</v>
      </c>
      <c r="F54" s="126">
        <f t="shared" si="54"/>
        <v>20.277341772850846</v>
      </c>
      <c r="G54" s="96" t="s">
        <v>4</v>
      </c>
      <c r="H54" s="115"/>
      <c r="I54" s="96" t="s">
        <v>112</v>
      </c>
      <c r="P54" s="130" t="s">
        <v>318</v>
      </c>
      <c r="Q54" s="131">
        <v>8.8539999999999992E-12</v>
      </c>
      <c r="R54" s="113"/>
      <c r="T54" s="76" t="s">
        <v>255</v>
      </c>
      <c r="U54" s="89">
        <v>43</v>
      </c>
      <c r="V54" s="76" t="s">
        <v>222</v>
      </c>
      <c r="X54" s="69" t="s">
        <v>33</v>
      </c>
      <c r="Y54" s="71">
        <v>1456</v>
      </c>
      <c r="Z54" s="69" t="s">
        <v>0</v>
      </c>
    </row>
    <row r="55" spans="2:28" ht="16.5" x14ac:dyDescent="0.3">
      <c r="B55" s="96" t="s">
        <v>291</v>
      </c>
      <c r="C55" s="106">
        <f t="shared" ref="C55:F55" si="55">C50*1.414</f>
        <v>144.93591255702427</v>
      </c>
      <c r="D55" s="106"/>
      <c r="E55" s="106">
        <f t="shared" si="55"/>
        <v>214.63609155355778</v>
      </c>
      <c r="F55" s="106">
        <f t="shared" si="55"/>
        <v>247.84041047251148</v>
      </c>
      <c r="G55" s="96" t="s">
        <v>2</v>
      </c>
      <c r="H55" s="115"/>
      <c r="I55" s="96" t="s">
        <v>297</v>
      </c>
      <c r="K55" s="256" t="s">
        <v>309</v>
      </c>
      <c r="L55" s="256"/>
      <c r="M55" s="256"/>
      <c r="N55" s="256"/>
      <c r="P55" s="130" t="s">
        <v>319</v>
      </c>
      <c r="Q55" s="128">
        <v>2.1</v>
      </c>
      <c r="R55" s="113" t="s">
        <v>314</v>
      </c>
      <c r="T55" s="76" t="s">
        <v>256</v>
      </c>
      <c r="U55" s="89">
        <v>30</v>
      </c>
      <c r="V55" s="76" t="s">
        <v>222</v>
      </c>
      <c r="X55" s="69" t="s">
        <v>642</v>
      </c>
      <c r="Y55" s="189">
        <f>(Y54)*(2*3.14*Y53*1000*(Y52/1000000))</f>
        <v>7763.2037683200006</v>
      </c>
      <c r="Z55" s="69" t="s">
        <v>2</v>
      </c>
    </row>
    <row r="56" spans="2:28" ht="16.5" x14ac:dyDescent="0.3">
      <c r="B56" s="96" t="s">
        <v>117</v>
      </c>
      <c r="C56" s="103">
        <v>5</v>
      </c>
      <c r="D56" s="103"/>
      <c r="E56" s="103">
        <v>5</v>
      </c>
      <c r="F56" s="103">
        <v>5</v>
      </c>
      <c r="G56" s="96" t="s">
        <v>5</v>
      </c>
      <c r="H56" s="115">
        <v>11</v>
      </c>
      <c r="I56" s="99" t="s">
        <v>118</v>
      </c>
      <c r="K56" s="96" t="s">
        <v>310</v>
      </c>
      <c r="L56" s="97">
        <v>3000</v>
      </c>
      <c r="M56" s="97"/>
      <c r="N56" s="96" t="s">
        <v>48</v>
      </c>
      <c r="P56" s="113" t="s">
        <v>320</v>
      </c>
      <c r="Q56" s="131">
        <f>2*PI()*Q54*Q55/(LN(Q53/Q51))*1000000000</f>
        <v>0.50594615125588516</v>
      </c>
      <c r="R56" s="113" t="s">
        <v>313</v>
      </c>
      <c r="T56" s="76" t="s">
        <v>271</v>
      </c>
      <c r="U56" s="95">
        <f>(U54*U55)-((U54-2*U53)*(U55-2*U53))</f>
        <v>416.50294892563727</v>
      </c>
      <c r="V56" s="76" t="s">
        <v>247</v>
      </c>
    </row>
    <row r="57" spans="2:28" ht="16.5" x14ac:dyDescent="0.3">
      <c r="B57" s="96" t="s">
        <v>119</v>
      </c>
      <c r="C57" s="107">
        <v>0</v>
      </c>
      <c r="D57" s="107"/>
      <c r="E57" s="107">
        <v>0</v>
      </c>
      <c r="F57" s="107">
        <v>0</v>
      </c>
      <c r="G57" s="96" t="s">
        <v>5</v>
      </c>
      <c r="H57" s="115"/>
      <c r="I57" s="96"/>
      <c r="K57" s="96" t="s">
        <v>35</v>
      </c>
      <c r="L57" s="97">
        <v>1</v>
      </c>
      <c r="M57" s="97"/>
      <c r="N57" s="96" t="s">
        <v>11</v>
      </c>
      <c r="P57" s="113" t="s">
        <v>321</v>
      </c>
      <c r="Q57" s="128">
        <v>10</v>
      </c>
      <c r="R57" s="113" t="s">
        <v>323</v>
      </c>
      <c r="T57" s="76" t="s">
        <v>252</v>
      </c>
      <c r="U57" s="89">
        <v>7200</v>
      </c>
      <c r="V57" s="68" t="s">
        <v>248</v>
      </c>
      <c r="X57" s="210"/>
      <c r="Y57" s="210"/>
      <c r="Z57" s="210"/>
      <c r="AA57" s="210"/>
      <c r="AB57" s="210"/>
    </row>
    <row r="58" spans="2:28" ht="16.5" x14ac:dyDescent="0.3">
      <c r="B58" s="96" t="s">
        <v>120</v>
      </c>
      <c r="C58" s="107">
        <v>0</v>
      </c>
      <c r="D58" s="107"/>
      <c r="E58" s="107">
        <v>0</v>
      </c>
      <c r="F58" s="107">
        <v>0</v>
      </c>
      <c r="G58" s="96" t="s">
        <v>5</v>
      </c>
      <c r="H58" s="115"/>
      <c r="I58" s="96"/>
      <c r="K58" s="96" t="s">
        <v>311</v>
      </c>
      <c r="L58" s="97">
        <v>2.1</v>
      </c>
      <c r="M58" s="97"/>
      <c r="N58" s="96" t="s">
        <v>314</v>
      </c>
      <c r="O58" s="2"/>
      <c r="P58" s="113" t="s">
        <v>322</v>
      </c>
      <c r="Q58" s="132">
        <f>Q56*Q57</f>
        <v>5.0594615125588511</v>
      </c>
      <c r="R58" s="113" t="s">
        <v>313</v>
      </c>
      <c r="T58" s="76" t="s">
        <v>592</v>
      </c>
      <c r="U58" s="91">
        <f>U57/U56</f>
        <v>17.286792371031911</v>
      </c>
      <c r="V58" s="68" t="s">
        <v>248</v>
      </c>
      <c r="X58" s="210"/>
      <c r="Y58" s="210"/>
      <c r="Z58" s="210"/>
      <c r="AA58" s="210"/>
      <c r="AB58" s="210"/>
    </row>
    <row r="59" spans="2:28" ht="16.5" x14ac:dyDescent="0.3">
      <c r="B59" s="96" t="s">
        <v>121</v>
      </c>
      <c r="C59" s="104">
        <f t="shared" ref="C59:F59" si="56">C56*C54+C57*C54</f>
        <v>112.93660685494396</v>
      </c>
      <c r="D59" s="104"/>
      <c r="E59" s="104">
        <f t="shared" si="56"/>
        <v>102.61385066539235</v>
      </c>
      <c r="F59" s="104">
        <f t="shared" si="56"/>
        <v>101.38670886425423</v>
      </c>
      <c r="G59" s="96" t="s">
        <v>6</v>
      </c>
      <c r="H59" s="115"/>
      <c r="I59" s="96"/>
      <c r="K59" s="96" t="s">
        <v>74</v>
      </c>
      <c r="L59" s="102">
        <f>8.854/1000000000000*L58*(L56/1000000)/(L57/1000)*1000000000</f>
        <v>5.5780200000000002E-2</v>
      </c>
      <c r="M59" s="102"/>
      <c r="N59" s="96" t="s">
        <v>313</v>
      </c>
      <c r="T59" s="76" t="s">
        <v>253</v>
      </c>
      <c r="U59" s="91">
        <f>U46/100000000*(U57^2)/(U56/1000000)*U51/1000</f>
        <v>38248.065328450364</v>
      </c>
      <c r="V59" s="68" t="s">
        <v>249</v>
      </c>
      <c r="X59" s="215" t="s">
        <v>659</v>
      </c>
      <c r="Y59" s="211"/>
      <c r="Z59" s="211"/>
      <c r="AA59" s="210"/>
      <c r="AB59" s="210"/>
    </row>
    <row r="60" spans="2:28" ht="16.5" x14ac:dyDescent="0.3">
      <c r="B60" s="96" t="s">
        <v>122</v>
      </c>
      <c r="C60" s="107">
        <f t="shared" ref="C60:F60" si="57">C54*C58</f>
        <v>0</v>
      </c>
      <c r="D60" s="107"/>
      <c r="E60" s="107">
        <f t="shared" si="57"/>
        <v>0</v>
      </c>
      <c r="F60" s="107">
        <f t="shared" si="57"/>
        <v>0</v>
      </c>
      <c r="G60" s="96" t="s">
        <v>6</v>
      </c>
      <c r="H60" s="115"/>
      <c r="I60" s="96"/>
      <c r="X60" s="212" t="s">
        <v>652</v>
      </c>
      <c r="Y60" s="213">
        <v>12</v>
      </c>
      <c r="Z60" s="212" t="s">
        <v>653</v>
      </c>
      <c r="AA60" s="210"/>
      <c r="AB60" s="210"/>
    </row>
    <row r="61" spans="2:28" ht="16.5" x14ac:dyDescent="0.3">
      <c r="B61" s="96" t="s">
        <v>123</v>
      </c>
      <c r="C61" s="103">
        <v>100</v>
      </c>
      <c r="D61" s="103"/>
      <c r="E61" s="103">
        <v>100</v>
      </c>
      <c r="F61" s="103">
        <v>100</v>
      </c>
      <c r="G61" s="96" t="s">
        <v>7</v>
      </c>
      <c r="H61" s="115">
        <v>12</v>
      </c>
      <c r="I61" s="99" t="s">
        <v>124</v>
      </c>
      <c r="K61" s="255" t="s">
        <v>568</v>
      </c>
      <c r="L61" s="255"/>
      <c r="M61" s="255"/>
      <c r="N61" s="255"/>
      <c r="O61"/>
      <c r="T61" s="258" t="s">
        <v>588</v>
      </c>
      <c r="U61" s="258"/>
      <c r="V61" s="258"/>
      <c r="X61" s="212" t="s">
        <v>654</v>
      </c>
      <c r="Y61" s="213">
        <v>222.5</v>
      </c>
      <c r="Z61" s="212" t="s">
        <v>655</v>
      </c>
      <c r="AA61" s="210"/>
      <c r="AB61" s="210"/>
    </row>
    <row r="62" spans="2:28" ht="16.5" x14ac:dyDescent="0.3">
      <c r="B62" s="96" t="s">
        <v>125</v>
      </c>
      <c r="C62" s="108">
        <f t="shared" ref="C62:F62" si="58">C59*C61/100</f>
        <v>112.93660685494396</v>
      </c>
      <c r="D62" s="108"/>
      <c r="E62" s="108">
        <f t="shared" si="58"/>
        <v>102.61385066539235</v>
      </c>
      <c r="F62" s="108">
        <f t="shared" si="58"/>
        <v>101.38670886425423</v>
      </c>
      <c r="G62" s="96" t="s">
        <v>6</v>
      </c>
      <c r="H62" s="115"/>
      <c r="I62" s="96"/>
      <c r="K62" s="151"/>
      <c r="L62" s="152" t="s">
        <v>561</v>
      </c>
      <c r="M62" s="152"/>
      <c r="N62" s="152" t="s">
        <v>562</v>
      </c>
      <c r="O62" s="152" t="s">
        <v>563</v>
      </c>
      <c r="T62" s="69" t="s">
        <v>209</v>
      </c>
      <c r="U62" s="67" t="s">
        <v>210</v>
      </c>
      <c r="V62" s="67"/>
      <c r="X62" s="212" t="s">
        <v>656</v>
      </c>
      <c r="Y62" s="213">
        <v>285</v>
      </c>
      <c r="Z62" s="212" t="s">
        <v>655</v>
      </c>
      <c r="AA62" s="210"/>
      <c r="AB62" s="210"/>
    </row>
    <row r="63" spans="2:28" ht="16.5" x14ac:dyDescent="0.3">
      <c r="B63" s="96" t="s">
        <v>126</v>
      </c>
      <c r="C63" s="106">
        <f t="shared" ref="C63:F63" si="59">C50*0.9</f>
        <v>92.250580835446854</v>
      </c>
      <c r="D63" s="106"/>
      <c r="E63" s="106">
        <f t="shared" si="59"/>
        <v>136.61420254469732</v>
      </c>
      <c r="F63" s="106">
        <f t="shared" si="59"/>
        <v>157.74849322861411</v>
      </c>
      <c r="G63" s="96" t="s">
        <v>2</v>
      </c>
      <c r="H63" s="115"/>
      <c r="I63" s="96"/>
      <c r="K63" s="152" t="s">
        <v>560</v>
      </c>
      <c r="L63" s="152" t="s">
        <v>566</v>
      </c>
      <c r="M63" s="152"/>
      <c r="N63" s="152" t="s">
        <v>564</v>
      </c>
      <c r="O63" s="152" t="s">
        <v>565</v>
      </c>
      <c r="T63" s="76" t="s">
        <v>211</v>
      </c>
      <c r="U63" s="78">
        <v>1.75</v>
      </c>
      <c r="V63" s="76" t="s">
        <v>212</v>
      </c>
      <c r="X63" s="212" t="s">
        <v>657</v>
      </c>
      <c r="Y63" s="214">
        <f>((Y61/25.4)^2*(Y60^2))/(8*Y61/25.4+11*Y62/25.4)</f>
        <v>57.103836079493135</v>
      </c>
      <c r="Z63" s="212" t="s">
        <v>658</v>
      </c>
      <c r="AA63" s="210"/>
      <c r="AB63" s="210"/>
    </row>
    <row r="64" spans="2:28" ht="16.5" x14ac:dyDescent="0.3">
      <c r="B64" s="96" t="s">
        <v>127</v>
      </c>
      <c r="C64" s="103">
        <v>2</v>
      </c>
      <c r="D64" s="103"/>
      <c r="E64" s="103">
        <v>2</v>
      </c>
      <c r="F64" s="103">
        <v>2</v>
      </c>
      <c r="G64" s="96" t="s">
        <v>41</v>
      </c>
      <c r="H64" s="115">
        <v>13</v>
      </c>
      <c r="I64" s="99" t="s">
        <v>128</v>
      </c>
      <c r="K64" s="150">
        <v>0.5</v>
      </c>
      <c r="L64" s="150"/>
      <c r="M64" s="150"/>
      <c r="N64" s="150">
        <v>2.5</v>
      </c>
      <c r="O64" s="150"/>
      <c r="T64" s="76" t="s">
        <v>213</v>
      </c>
      <c r="U64" s="79">
        <v>3.8999999999999998E-3</v>
      </c>
      <c r="V64" s="76" t="s">
        <v>214</v>
      </c>
      <c r="X64" s="210"/>
      <c r="Y64" s="210"/>
      <c r="Z64" s="210"/>
      <c r="AA64" s="210"/>
      <c r="AB64" s="210"/>
    </row>
    <row r="65" spans="2:28" ht="16.5" x14ac:dyDescent="0.3">
      <c r="B65" s="96" t="s">
        <v>129</v>
      </c>
      <c r="C65" s="103">
        <v>1</v>
      </c>
      <c r="D65" s="103"/>
      <c r="E65" s="103">
        <v>1</v>
      </c>
      <c r="F65" s="103">
        <v>1</v>
      </c>
      <c r="G65" s="96" t="s">
        <v>41</v>
      </c>
      <c r="H65" s="115">
        <v>14</v>
      </c>
      <c r="I65" s="99" t="s">
        <v>130</v>
      </c>
      <c r="K65" s="150">
        <v>0.8</v>
      </c>
      <c r="L65" s="150">
        <v>1.9</v>
      </c>
      <c r="M65" s="150"/>
      <c r="N65" s="150">
        <v>1.42</v>
      </c>
      <c r="O65" s="150"/>
      <c r="T65" s="76" t="s">
        <v>215</v>
      </c>
      <c r="U65" s="80">
        <v>45</v>
      </c>
      <c r="V65" s="76" t="s">
        <v>45</v>
      </c>
      <c r="X65" s="210"/>
      <c r="Y65" s="210"/>
      <c r="Z65" s="210"/>
      <c r="AA65" s="210"/>
      <c r="AB65" s="210"/>
    </row>
    <row r="66" spans="2:28" ht="16.5" x14ac:dyDescent="0.3">
      <c r="B66" s="96" t="s">
        <v>70</v>
      </c>
      <c r="C66" s="107">
        <f t="shared" ref="C66:F66" si="60">C41</f>
        <v>99.12378266157971</v>
      </c>
      <c r="D66" s="107"/>
      <c r="E66" s="107">
        <f t="shared" si="60"/>
        <v>66.935140750022654</v>
      </c>
      <c r="F66" s="107">
        <f t="shared" si="60"/>
        <v>57.967532295406613</v>
      </c>
      <c r="G66" s="96" t="s">
        <v>7</v>
      </c>
      <c r="H66" s="115"/>
      <c r="I66" s="99"/>
      <c r="K66" s="150">
        <v>1</v>
      </c>
      <c r="L66" s="150">
        <v>1.9</v>
      </c>
      <c r="M66" s="150"/>
      <c r="N66" s="150">
        <v>1.4</v>
      </c>
      <c r="O66" s="150"/>
      <c r="T66" s="76" t="s">
        <v>216</v>
      </c>
      <c r="U66" s="79">
        <f>U63*(1+U64*(U65-20))</f>
        <v>1.9206249999999998</v>
      </c>
      <c r="V66" s="76" t="s">
        <v>212</v>
      </c>
    </row>
    <row r="67" spans="2:28" ht="16.5" x14ac:dyDescent="0.3">
      <c r="B67" s="96" t="s">
        <v>131</v>
      </c>
      <c r="C67" s="107">
        <f t="shared" ref="C67:F67" si="61">C17</f>
        <v>30</v>
      </c>
      <c r="D67" s="107"/>
      <c r="E67" s="107">
        <f t="shared" si="61"/>
        <v>30</v>
      </c>
      <c r="F67" s="107">
        <f t="shared" si="61"/>
        <v>30</v>
      </c>
      <c r="G67" s="96" t="s">
        <v>77</v>
      </c>
      <c r="H67" s="115"/>
      <c r="I67" s="96"/>
      <c r="K67" s="150">
        <v>1.2</v>
      </c>
      <c r="L67" s="150"/>
      <c r="M67" s="150"/>
      <c r="N67" s="150">
        <v>1.04</v>
      </c>
      <c r="O67" s="150"/>
      <c r="T67" s="76" t="s">
        <v>217</v>
      </c>
      <c r="U67" s="81">
        <f>1/(U66/100000000)</f>
        <v>52066384.64041654</v>
      </c>
      <c r="V67" s="76" t="s">
        <v>218</v>
      </c>
    </row>
    <row r="68" spans="2:28" ht="16.5" x14ac:dyDescent="0.3">
      <c r="B68" s="96" t="s">
        <v>132</v>
      </c>
      <c r="C68" s="107">
        <f t="shared" ref="C68:F68" si="62">ROUNDUP((C63*C64*((C66*180/100-C67)/180))/2,0)</f>
        <v>77</v>
      </c>
      <c r="D68" s="107"/>
      <c r="E68" s="107">
        <f t="shared" si="62"/>
        <v>69</v>
      </c>
      <c r="F68" s="107">
        <f t="shared" si="62"/>
        <v>66</v>
      </c>
      <c r="G68" s="96" t="s">
        <v>6</v>
      </c>
      <c r="H68" s="115"/>
      <c r="I68" s="96"/>
      <c r="K68" s="150">
        <v>2</v>
      </c>
      <c r="L68" s="150">
        <v>1.1200000000000001</v>
      </c>
      <c r="M68" s="150"/>
      <c r="N68" s="150">
        <v>0.75</v>
      </c>
      <c r="O68" s="150"/>
      <c r="T68" s="76" t="s">
        <v>219</v>
      </c>
      <c r="U68" s="67">
        <v>1</v>
      </c>
      <c r="V68" s="76" t="s">
        <v>220</v>
      </c>
    </row>
    <row r="69" spans="2:28" ht="16.5" x14ac:dyDescent="0.3">
      <c r="B69" s="96" t="s">
        <v>133</v>
      </c>
      <c r="C69" s="107">
        <f t="shared" ref="C69:F69" si="63">ROUNDUP((C63*C65*(1-(C66*180/100-C67)/180))/2,0)</f>
        <v>9</v>
      </c>
      <c r="D69" s="107"/>
      <c r="E69" s="107">
        <f t="shared" si="63"/>
        <v>34</v>
      </c>
      <c r="F69" s="107">
        <f t="shared" si="63"/>
        <v>47</v>
      </c>
      <c r="G69" s="96" t="s">
        <v>6</v>
      </c>
      <c r="H69" s="115"/>
      <c r="I69" s="96"/>
      <c r="K69" s="150">
        <v>3</v>
      </c>
      <c r="L69" s="150">
        <v>0.71</v>
      </c>
      <c r="M69" s="150"/>
      <c r="N69" s="150">
        <v>0.57999999999999996</v>
      </c>
      <c r="O69" s="150"/>
      <c r="T69" s="76" t="s">
        <v>251</v>
      </c>
      <c r="U69" s="89">
        <v>6126</v>
      </c>
      <c r="V69" s="76" t="s">
        <v>222</v>
      </c>
    </row>
    <row r="70" spans="2:28" ht="16.5" x14ac:dyDescent="0.3">
      <c r="B70" s="96" t="s">
        <v>67</v>
      </c>
      <c r="C70" s="108">
        <f t="shared" ref="C70:F70" si="64">ROUNDUP(((C63*C64*(((C66*180/100-C67)/180))+(C63*C65*(1-(C66*180/100-C67)/180))))/2,0)</f>
        <v>85</v>
      </c>
      <c r="D70" s="108"/>
      <c r="E70" s="108">
        <f t="shared" si="64"/>
        <v>103</v>
      </c>
      <c r="F70" s="108">
        <f t="shared" si="64"/>
        <v>112</v>
      </c>
      <c r="G70" s="96" t="s">
        <v>6</v>
      </c>
      <c r="H70" s="115"/>
      <c r="I70" s="96"/>
      <c r="K70" s="150">
        <v>5</v>
      </c>
      <c r="L70" s="150">
        <v>0.43</v>
      </c>
      <c r="M70" s="150"/>
      <c r="N70" s="150">
        <v>0.36</v>
      </c>
      <c r="O70" s="150"/>
      <c r="T70" s="76" t="s">
        <v>276</v>
      </c>
      <c r="U70" s="89">
        <v>2</v>
      </c>
      <c r="V70" s="76" t="s">
        <v>222</v>
      </c>
    </row>
    <row r="71" spans="2:28" ht="16.5" x14ac:dyDescent="0.3">
      <c r="B71" s="96" t="s">
        <v>293</v>
      </c>
      <c r="C71" s="107">
        <f t="shared" ref="C71:F71" si="65">C62+C68</f>
        <v>189.93660685494396</v>
      </c>
      <c r="D71" s="107"/>
      <c r="E71" s="107">
        <f t="shared" si="65"/>
        <v>171.61385066539236</v>
      </c>
      <c r="F71" s="107">
        <f t="shared" si="65"/>
        <v>167.38670886425422</v>
      </c>
      <c r="G71" s="96" t="s">
        <v>6</v>
      </c>
      <c r="H71" s="115"/>
      <c r="I71" s="96"/>
      <c r="K71" s="150">
        <v>6</v>
      </c>
      <c r="L71" s="150"/>
      <c r="M71" s="150"/>
      <c r="N71" s="150">
        <v>0.34</v>
      </c>
      <c r="O71" s="150">
        <v>0.62</v>
      </c>
      <c r="T71" s="76" t="s">
        <v>272</v>
      </c>
      <c r="U71" s="89">
        <v>60</v>
      </c>
      <c r="V71" s="76" t="s">
        <v>222</v>
      </c>
    </row>
    <row r="72" spans="2:28" ht="16.5" x14ac:dyDescent="0.3">
      <c r="B72" s="96" t="s">
        <v>294</v>
      </c>
      <c r="C72" s="107">
        <f t="shared" ref="C72:F72" si="66">C69+C60</f>
        <v>9</v>
      </c>
      <c r="D72" s="107"/>
      <c r="E72" s="107">
        <f t="shared" si="66"/>
        <v>34</v>
      </c>
      <c r="F72" s="107">
        <f t="shared" si="66"/>
        <v>47</v>
      </c>
      <c r="G72" s="96" t="s">
        <v>6</v>
      </c>
      <c r="H72" s="115"/>
      <c r="I72" s="96"/>
      <c r="K72" s="150">
        <v>8</v>
      </c>
      <c r="L72" s="150">
        <v>0.3</v>
      </c>
      <c r="M72" s="150"/>
      <c r="N72" s="150">
        <v>0.25</v>
      </c>
      <c r="O72" s="150"/>
      <c r="T72" s="76" t="s">
        <v>271</v>
      </c>
      <c r="U72" s="95">
        <f>U70*U71</f>
        <v>120</v>
      </c>
      <c r="V72" s="76" t="s">
        <v>247</v>
      </c>
    </row>
    <row r="73" spans="2:28" ht="16.5" x14ac:dyDescent="0.3">
      <c r="B73" s="96" t="s">
        <v>301</v>
      </c>
      <c r="C73" s="108">
        <f t="shared" ref="C73:F73" si="67">ROUNDUP((C53+C62+C70),0)</f>
        <v>200</v>
      </c>
      <c r="D73" s="108"/>
      <c r="E73" s="108">
        <f t="shared" si="67"/>
        <v>208</v>
      </c>
      <c r="F73" s="108">
        <f t="shared" si="67"/>
        <v>216</v>
      </c>
      <c r="G73" s="96" t="s">
        <v>6</v>
      </c>
      <c r="H73" s="115"/>
      <c r="I73" s="96"/>
      <c r="K73" s="150">
        <v>10</v>
      </c>
      <c r="L73" s="150"/>
      <c r="M73" s="150"/>
      <c r="N73" s="150"/>
      <c r="O73" s="150">
        <v>0.45</v>
      </c>
      <c r="T73" s="76" t="s">
        <v>252</v>
      </c>
      <c r="U73" s="89">
        <v>850</v>
      </c>
      <c r="V73" s="68" t="s">
        <v>248</v>
      </c>
    </row>
    <row r="74" spans="2:28" ht="16.5" x14ac:dyDescent="0.3">
      <c r="B74" s="96" t="s">
        <v>134</v>
      </c>
      <c r="C74" s="187">
        <v>2</v>
      </c>
      <c r="D74" s="187"/>
      <c r="E74" s="187">
        <v>2</v>
      </c>
      <c r="F74" s="187">
        <v>2</v>
      </c>
      <c r="G74" s="96"/>
      <c r="H74" s="115">
        <v>15</v>
      </c>
      <c r="I74" s="99" t="s">
        <v>300</v>
      </c>
      <c r="K74" s="150">
        <v>15</v>
      </c>
      <c r="L74" s="150"/>
      <c r="M74" s="150"/>
      <c r="N74" s="150"/>
      <c r="O74" s="150">
        <v>0.4</v>
      </c>
      <c r="T74" s="76" t="s">
        <v>592</v>
      </c>
      <c r="U74" s="91">
        <f>U73/U72</f>
        <v>7.083333333333333</v>
      </c>
      <c r="V74" s="68" t="s">
        <v>248</v>
      </c>
    </row>
    <row r="75" spans="2:28" ht="16.5" x14ac:dyDescent="0.3">
      <c r="B75" s="96" t="s">
        <v>68</v>
      </c>
      <c r="C75" s="109">
        <f t="shared" ref="C75:F75" si="68">C73*C74</f>
        <v>400</v>
      </c>
      <c r="D75" s="109"/>
      <c r="E75" s="109">
        <f t="shared" si="68"/>
        <v>416</v>
      </c>
      <c r="F75" s="109">
        <f t="shared" si="68"/>
        <v>432</v>
      </c>
      <c r="G75" s="96" t="s">
        <v>43</v>
      </c>
      <c r="H75" s="115"/>
      <c r="I75" s="96"/>
      <c r="K75" s="150">
        <v>20</v>
      </c>
      <c r="L75" s="150"/>
      <c r="M75" s="150"/>
      <c r="N75" s="150"/>
      <c r="O75" s="150">
        <v>0.35</v>
      </c>
      <c r="T75" s="76" t="s">
        <v>253</v>
      </c>
      <c r="U75" s="91">
        <f>U66/100000000*(U73^2)/(U72/1000000)*U69/1000</f>
        <v>708.39612265624987</v>
      </c>
      <c r="V75" s="68" t="s">
        <v>249</v>
      </c>
    </row>
    <row r="76" spans="2:28" ht="16.5" x14ac:dyDescent="0.3">
      <c r="B76" s="96" t="s">
        <v>40</v>
      </c>
      <c r="C76" s="110">
        <v>1950</v>
      </c>
      <c r="D76" s="110"/>
      <c r="E76" s="110">
        <v>1950</v>
      </c>
      <c r="F76" s="110">
        <v>1950</v>
      </c>
      <c r="G76" s="96" t="s">
        <v>6</v>
      </c>
      <c r="H76" s="115">
        <v>16</v>
      </c>
      <c r="I76" s="99" t="s">
        <v>114</v>
      </c>
      <c r="K76" s="150">
        <v>30</v>
      </c>
      <c r="L76" s="150"/>
      <c r="M76" s="150"/>
      <c r="N76" s="150"/>
      <c r="O76" s="150">
        <v>0.28939999999999999</v>
      </c>
    </row>
    <row r="77" spans="2:28" ht="16.5" x14ac:dyDescent="0.3">
      <c r="B77" s="96" t="s">
        <v>298</v>
      </c>
      <c r="C77" s="109">
        <f t="shared" ref="C77:F77" si="69">ROUNDUP(C75/C76*100,0)</f>
        <v>21</v>
      </c>
      <c r="D77" s="109"/>
      <c r="E77" s="109">
        <f t="shared" si="69"/>
        <v>22</v>
      </c>
      <c r="F77" s="109">
        <f t="shared" si="69"/>
        <v>23</v>
      </c>
      <c r="G77" s="96" t="s">
        <v>7</v>
      </c>
      <c r="H77" s="115"/>
      <c r="I77" s="99" t="s">
        <v>299</v>
      </c>
      <c r="K77" s="150">
        <v>50</v>
      </c>
      <c r="L77" s="150"/>
      <c r="M77" s="150"/>
      <c r="N77" s="150"/>
      <c r="O77" s="150">
        <v>0.224</v>
      </c>
    </row>
    <row r="78" spans="2:28" ht="16.5" x14ac:dyDescent="0.3">
      <c r="B78" s="96" t="s">
        <v>135</v>
      </c>
      <c r="C78" s="134">
        <v>6.4000000000000001E-2</v>
      </c>
      <c r="D78" s="134"/>
      <c r="E78" s="134">
        <v>6.4000000000000001E-2</v>
      </c>
      <c r="F78" s="134">
        <v>6.4000000000000001E-2</v>
      </c>
      <c r="G78" s="96" t="s">
        <v>56</v>
      </c>
      <c r="H78" s="115">
        <v>17</v>
      </c>
      <c r="I78" s="124" t="s">
        <v>114</v>
      </c>
      <c r="K78" s="150">
        <v>100</v>
      </c>
      <c r="L78" s="150"/>
      <c r="M78" s="150"/>
      <c r="N78" s="150"/>
      <c r="O78" s="150">
        <v>0.161</v>
      </c>
    </row>
    <row r="79" spans="2:28" ht="16.5" x14ac:dyDescent="0.3">
      <c r="B79" s="96" t="s">
        <v>282</v>
      </c>
      <c r="C79" s="134">
        <v>0.1</v>
      </c>
      <c r="D79" s="134"/>
      <c r="E79" s="134">
        <v>0.1</v>
      </c>
      <c r="F79" s="134">
        <v>0.1</v>
      </c>
      <c r="G79" s="96" t="s">
        <v>56</v>
      </c>
      <c r="H79" s="115">
        <v>18</v>
      </c>
      <c r="I79" s="124" t="s">
        <v>114</v>
      </c>
      <c r="K79" s="150">
        <v>200</v>
      </c>
      <c r="L79" s="150"/>
      <c r="M79" s="150"/>
      <c r="N79" s="150"/>
      <c r="O79" s="150">
        <v>7.7600000000000002E-2</v>
      </c>
    </row>
    <row r="80" spans="2:28" ht="16.5" x14ac:dyDescent="0.3">
      <c r="B80" s="96" t="s">
        <v>136</v>
      </c>
      <c r="C80" s="100">
        <f t="shared" ref="C80:F81" si="70">125-C78*C71</f>
        <v>112.84405716128359</v>
      </c>
      <c r="D80" s="100"/>
      <c r="E80" s="100">
        <f t="shared" si="70"/>
        <v>114.01671355741489</v>
      </c>
      <c r="F80" s="100">
        <f t="shared" si="70"/>
        <v>114.28725063268773</v>
      </c>
      <c r="G80" s="101" t="s">
        <v>57</v>
      </c>
      <c r="H80" s="115"/>
      <c r="I80" s="99" t="s">
        <v>137</v>
      </c>
      <c r="K80" s="150">
        <v>300</v>
      </c>
      <c r="L80" s="150"/>
      <c r="M80" s="150"/>
      <c r="N80" s="150"/>
      <c r="O80" s="150">
        <v>5.2400000000000002E-2</v>
      </c>
    </row>
    <row r="81" spans="2:18" ht="16.5" x14ac:dyDescent="0.3">
      <c r="B81" s="96" t="s">
        <v>138</v>
      </c>
      <c r="C81" s="126">
        <f t="shared" si="70"/>
        <v>124.1</v>
      </c>
      <c r="D81" s="126"/>
      <c r="E81" s="126">
        <f t="shared" si="70"/>
        <v>121.6</v>
      </c>
      <c r="F81" s="126">
        <f t="shared" si="70"/>
        <v>120.3</v>
      </c>
      <c r="G81" s="101" t="s">
        <v>57</v>
      </c>
      <c r="H81" s="115"/>
      <c r="I81" s="96"/>
    </row>
    <row r="82" spans="2:18" ht="16.5" x14ac:dyDescent="0.3">
      <c r="B82" s="96" t="s">
        <v>139</v>
      </c>
      <c r="C82" s="126">
        <f t="shared" ref="C82:F83" si="71">C78*C71</f>
        <v>12.155942838716413</v>
      </c>
      <c r="D82" s="126"/>
      <c r="E82" s="126">
        <f t="shared" si="71"/>
        <v>10.983286442585111</v>
      </c>
      <c r="F82" s="126">
        <f t="shared" si="71"/>
        <v>10.71274936731227</v>
      </c>
      <c r="G82" s="101" t="s">
        <v>57</v>
      </c>
      <c r="H82" s="115"/>
      <c r="I82" s="96"/>
      <c r="K82" s="255" t="s">
        <v>579</v>
      </c>
      <c r="L82" s="255"/>
      <c r="M82" s="255"/>
      <c r="N82" s="255"/>
      <c r="P82" s="255" t="s">
        <v>619</v>
      </c>
      <c r="Q82" s="255"/>
      <c r="R82" s="255"/>
    </row>
    <row r="83" spans="2:18" ht="16.5" x14ac:dyDescent="0.3">
      <c r="B83" s="96" t="s">
        <v>140</v>
      </c>
      <c r="C83" s="126">
        <f t="shared" si="71"/>
        <v>0.9</v>
      </c>
      <c r="D83" s="126"/>
      <c r="E83" s="126">
        <f t="shared" si="71"/>
        <v>3.4000000000000004</v>
      </c>
      <c r="F83" s="126">
        <f t="shared" si="71"/>
        <v>4.7</v>
      </c>
      <c r="G83" s="101" t="s">
        <v>57</v>
      </c>
      <c r="H83" s="115"/>
      <c r="I83" s="96"/>
      <c r="K83" s="153" t="s">
        <v>571</v>
      </c>
      <c r="L83" s="153" t="s">
        <v>577</v>
      </c>
      <c r="M83" s="153"/>
      <c r="N83" s="153"/>
      <c r="P83" s="153" t="s">
        <v>620</v>
      </c>
      <c r="Q83" s="153" t="s">
        <v>621</v>
      </c>
      <c r="R83" s="153" t="s">
        <v>622</v>
      </c>
    </row>
    <row r="84" spans="2:18" ht="16.5" x14ac:dyDescent="0.3">
      <c r="B84" s="96" t="s">
        <v>141</v>
      </c>
      <c r="C84" s="134">
        <v>0.03</v>
      </c>
      <c r="D84" s="134"/>
      <c r="E84" s="134">
        <v>0.03</v>
      </c>
      <c r="F84" s="134">
        <v>0.03</v>
      </c>
      <c r="G84" s="96" t="s">
        <v>56</v>
      </c>
      <c r="H84" s="115">
        <v>19</v>
      </c>
      <c r="I84" s="96" t="s">
        <v>114</v>
      </c>
      <c r="K84" s="113" t="s">
        <v>569</v>
      </c>
      <c r="L84" s="113">
        <v>183</v>
      </c>
      <c r="M84" s="113"/>
      <c r="N84" s="113" t="s">
        <v>572</v>
      </c>
      <c r="P84" s="137" t="s">
        <v>623</v>
      </c>
      <c r="Q84" s="137" t="s">
        <v>624</v>
      </c>
      <c r="R84" s="188" t="s">
        <v>625</v>
      </c>
    </row>
    <row r="85" spans="2:18" ht="16.5" x14ac:dyDescent="0.3">
      <c r="B85" s="96" t="s">
        <v>142</v>
      </c>
      <c r="C85" s="134">
        <v>0.06</v>
      </c>
      <c r="D85" s="134"/>
      <c r="E85" s="134">
        <v>0.06</v>
      </c>
      <c r="F85" s="134">
        <v>0.06</v>
      </c>
      <c r="G85" s="96" t="s">
        <v>56</v>
      </c>
      <c r="H85" s="115">
        <v>20</v>
      </c>
      <c r="I85" s="96" t="s">
        <v>114</v>
      </c>
      <c r="K85" s="113" t="s">
        <v>570</v>
      </c>
      <c r="L85" s="113">
        <v>75</v>
      </c>
      <c r="M85" s="113"/>
      <c r="N85" s="113" t="s">
        <v>572</v>
      </c>
      <c r="P85" s="137" t="s">
        <v>626</v>
      </c>
      <c r="Q85" s="137" t="s">
        <v>627</v>
      </c>
      <c r="R85" s="188" t="s">
        <v>628</v>
      </c>
    </row>
    <row r="86" spans="2:18" ht="16.5" x14ac:dyDescent="0.3">
      <c r="B86" s="96" t="s">
        <v>143</v>
      </c>
      <c r="C86" s="127">
        <f t="shared" ref="C86:F87" si="72">C80-C84*C71</f>
        <v>107.14595895563527</v>
      </c>
      <c r="D86" s="127"/>
      <c r="E86" s="127">
        <f t="shared" si="72"/>
        <v>108.86829803745312</v>
      </c>
      <c r="F86" s="127">
        <f t="shared" si="72"/>
        <v>109.2656493667601</v>
      </c>
      <c r="G86" s="101" t="s">
        <v>57</v>
      </c>
      <c r="H86" s="115"/>
      <c r="I86" s="96" t="s">
        <v>137</v>
      </c>
      <c r="K86" s="113" t="s">
        <v>573</v>
      </c>
      <c r="L86" s="113">
        <v>9</v>
      </c>
      <c r="M86" s="113"/>
      <c r="N86" s="113" t="s">
        <v>572</v>
      </c>
      <c r="P86" s="137" t="s">
        <v>629</v>
      </c>
      <c r="Q86" s="137" t="s">
        <v>630</v>
      </c>
      <c r="R86" s="188" t="s">
        <v>631</v>
      </c>
    </row>
    <row r="87" spans="2:18" ht="16.5" x14ac:dyDescent="0.3">
      <c r="B87" s="96" t="s">
        <v>144</v>
      </c>
      <c r="C87" s="126">
        <f t="shared" si="72"/>
        <v>123.55999999999999</v>
      </c>
      <c r="D87" s="126"/>
      <c r="E87" s="126">
        <f t="shared" si="72"/>
        <v>119.55999999999999</v>
      </c>
      <c r="F87" s="126">
        <f t="shared" si="72"/>
        <v>117.48</v>
      </c>
      <c r="G87" s="101" t="s">
        <v>57</v>
      </c>
      <c r="H87" s="115"/>
      <c r="I87" s="96"/>
      <c r="K87" s="113" t="s">
        <v>574</v>
      </c>
      <c r="L87" s="113">
        <v>6</v>
      </c>
      <c r="M87" s="113"/>
      <c r="N87" s="113" t="s">
        <v>572</v>
      </c>
      <c r="P87" s="137" t="s">
        <v>632</v>
      </c>
      <c r="Q87" s="137" t="s">
        <v>633</v>
      </c>
      <c r="R87" s="188" t="s">
        <v>634</v>
      </c>
    </row>
    <row r="88" spans="2:18" ht="16.5" x14ac:dyDescent="0.3">
      <c r="B88" s="96" t="s">
        <v>145</v>
      </c>
      <c r="C88" s="126">
        <f t="shared" ref="C88:F89" si="73">C84*C71</f>
        <v>5.6980982056483187</v>
      </c>
      <c r="D88" s="126"/>
      <c r="E88" s="126">
        <f t="shared" si="73"/>
        <v>5.1484155199617705</v>
      </c>
      <c r="F88" s="126">
        <f t="shared" si="73"/>
        <v>5.0216012659276261</v>
      </c>
      <c r="G88" s="101" t="s">
        <v>57</v>
      </c>
      <c r="H88" s="115"/>
      <c r="I88" s="96"/>
      <c r="K88" s="113" t="s">
        <v>575</v>
      </c>
      <c r="L88" s="113">
        <v>12</v>
      </c>
      <c r="M88" s="113"/>
      <c r="N88" s="113" t="s">
        <v>572</v>
      </c>
      <c r="P88" s="137" t="s">
        <v>635</v>
      </c>
      <c r="Q88" s="137" t="s">
        <v>636</v>
      </c>
      <c r="R88" s="188" t="s">
        <v>637</v>
      </c>
    </row>
    <row r="89" spans="2:18" ht="16.5" x14ac:dyDescent="0.3">
      <c r="B89" s="96" t="s">
        <v>146</v>
      </c>
      <c r="C89" s="126">
        <f t="shared" si="73"/>
        <v>0.54</v>
      </c>
      <c r="D89" s="126"/>
      <c r="E89" s="126">
        <f t="shared" si="73"/>
        <v>2.04</v>
      </c>
      <c r="F89" s="126">
        <f t="shared" si="73"/>
        <v>2.82</v>
      </c>
      <c r="G89" s="101" t="s">
        <v>57</v>
      </c>
      <c r="H89" s="115"/>
      <c r="I89" s="96"/>
      <c r="K89" s="113" t="s">
        <v>576</v>
      </c>
      <c r="L89" s="113">
        <v>78.540000000000006</v>
      </c>
      <c r="M89" s="113"/>
      <c r="N89" s="113" t="s">
        <v>665</v>
      </c>
      <c r="P89" s="137" t="s">
        <v>638</v>
      </c>
      <c r="Q89" s="137" t="s">
        <v>639</v>
      </c>
      <c r="R89" s="188" t="s">
        <v>640</v>
      </c>
    </row>
    <row r="90" spans="2:18" ht="16.5" x14ac:dyDescent="0.3">
      <c r="B90" s="96" t="s">
        <v>58</v>
      </c>
      <c r="C90" s="126">
        <v>60</v>
      </c>
      <c r="D90" s="126"/>
      <c r="E90" s="126">
        <v>60</v>
      </c>
      <c r="F90" s="126">
        <v>60</v>
      </c>
      <c r="G90" s="101" t="s">
        <v>57</v>
      </c>
      <c r="H90" s="115"/>
      <c r="I90" s="96" t="s">
        <v>147</v>
      </c>
    </row>
    <row r="91" spans="2:18" ht="16.5" x14ac:dyDescent="0.3">
      <c r="B91" s="96" t="s">
        <v>59</v>
      </c>
      <c r="C91" s="125">
        <v>8</v>
      </c>
      <c r="D91" s="125"/>
      <c r="E91" s="125">
        <v>8</v>
      </c>
      <c r="F91" s="125">
        <v>8</v>
      </c>
      <c r="G91" s="101" t="s">
        <v>60</v>
      </c>
      <c r="H91" s="115"/>
      <c r="I91" s="96" t="s">
        <v>148</v>
      </c>
    </row>
    <row r="92" spans="2:18" ht="16.5" x14ac:dyDescent="0.3">
      <c r="B92" s="96" t="s">
        <v>61</v>
      </c>
      <c r="C92" s="105">
        <f t="shared" ref="C92:F92" si="74">C90-(C75/1000*860/C91/60)</f>
        <v>59.283333333333331</v>
      </c>
      <c r="D92" s="105"/>
      <c r="E92" s="105">
        <f t="shared" si="74"/>
        <v>59.254666666666665</v>
      </c>
      <c r="F92" s="105">
        <f t="shared" si="74"/>
        <v>59.225999999999999</v>
      </c>
      <c r="G92" s="101" t="s">
        <v>57</v>
      </c>
      <c r="H92" s="115"/>
      <c r="I92" s="96"/>
    </row>
  </sheetData>
  <mergeCells count="27">
    <mergeCell ref="X19:Z19"/>
    <mergeCell ref="T22:V22"/>
    <mergeCell ref="T41:V41"/>
    <mergeCell ref="T61:V61"/>
    <mergeCell ref="X3:Z3"/>
    <mergeCell ref="X10:Z10"/>
    <mergeCell ref="X32:Z32"/>
    <mergeCell ref="X38:Z38"/>
    <mergeCell ref="T3:V3"/>
    <mergeCell ref="X43:Z43"/>
    <mergeCell ref="X51:Z51"/>
    <mergeCell ref="K3:N3"/>
    <mergeCell ref="K16:N16"/>
    <mergeCell ref="K29:N29"/>
    <mergeCell ref="K40:N40"/>
    <mergeCell ref="P3:R3"/>
    <mergeCell ref="P10:R10"/>
    <mergeCell ref="P15:R15"/>
    <mergeCell ref="P82:R82"/>
    <mergeCell ref="K55:N55"/>
    <mergeCell ref="K49:N49"/>
    <mergeCell ref="Q32:R32"/>
    <mergeCell ref="P21:R21"/>
    <mergeCell ref="P44:R44"/>
    <mergeCell ref="P50:R50"/>
    <mergeCell ref="K61:N61"/>
    <mergeCell ref="K82:N82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D33"/>
  <sheetViews>
    <sheetView tabSelected="1" workbookViewId="0"/>
  </sheetViews>
  <sheetFormatPr defaultRowHeight="13.5" x14ac:dyDescent="0.15"/>
  <cols>
    <col min="2" max="2" width="22.21875" bestFit="1" customWidth="1"/>
    <col min="3" max="3" width="50.44140625" customWidth="1"/>
    <col min="4" max="4" width="41.33203125" customWidth="1"/>
  </cols>
  <sheetData>
    <row r="2" spans="2:4" ht="14.25" thickBot="1" x14ac:dyDescent="0.2"/>
    <row r="3" spans="2:4" ht="14.25" thickBot="1" x14ac:dyDescent="0.2">
      <c r="B3" s="139" t="s">
        <v>557</v>
      </c>
      <c r="C3" s="140" t="s">
        <v>670</v>
      </c>
      <c r="D3" s="140" t="s">
        <v>241</v>
      </c>
    </row>
    <row r="4" spans="2:4" ht="14.25" thickBot="1" x14ac:dyDescent="0.2">
      <c r="B4" s="141" t="s">
        <v>533</v>
      </c>
      <c r="C4" s="139" t="s">
        <v>668</v>
      </c>
      <c r="D4" s="139"/>
    </row>
    <row r="5" spans="2:4" x14ac:dyDescent="0.15">
      <c r="B5" s="142" t="s">
        <v>534</v>
      </c>
      <c r="C5" s="143" t="s">
        <v>671</v>
      </c>
      <c r="D5" s="143"/>
    </row>
    <row r="6" spans="2:4" x14ac:dyDescent="0.15">
      <c r="B6" s="142" t="s">
        <v>535</v>
      </c>
      <c r="C6" s="143" t="s">
        <v>669</v>
      </c>
      <c r="D6" s="143"/>
    </row>
    <row r="7" spans="2:4" x14ac:dyDescent="0.15">
      <c r="B7" s="142" t="s">
        <v>536</v>
      </c>
      <c r="C7" s="144" t="s">
        <v>672</v>
      </c>
      <c r="D7" s="144" t="s">
        <v>674</v>
      </c>
    </row>
    <row r="8" spans="2:4" x14ac:dyDescent="0.15">
      <c r="B8" s="142" t="s">
        <v>537</v>
      </c>
      <c r="C8" s="222" t="s">
        <v>673</v>
      </c>
      <c r="D8" s="222" t="s">
        <v>675</v>
      </c>
    </row>
    <row r="9" spans="2:4" x14ac:dyDescent="0.15">
      <c r="B9" s="142" t="s">
        <v>538</v>
      </c>
      <c r="C9" s="144" t="s">
        <v>676</v>
      </c>
      <c r="D9" s="144" t="s">
        <v>677</v>
      </c>
    </row>
    <row r="10" spans="2:4" x14ac:dyDescent="0.15">
      <c r="B10" s="142" t="s">
        <v>539</v>
      </c>
      <c r="C10" s="145" t="s">
        <v>678</v>
      </c>
      <c r="D10" s="145" t="s">
        <v>679</v>
      </c>
    </row>
    <row r="11" spans="2:4" x14ac:dyDescent="0.15">
      <c r="B11" s="142" t="s">
        <v>540</v>
      </c>
      <c r="C11" s="145" t="s">
        <v>680</v>
      </c>
      <c r="D11" s="145"/>
    </row>
    <row r="12" spans="2:4" x14ac:dyDescent="0.15">
      <c r="B12" s="142" t="s">
        <v>541</v>
      </c>
      <c r="C12" s="144" t="s">
        <v>681</v>
      </c>
      <c r="D12" s="144"/>
    </row>
    <row r="13" spans="2:4" x14ac:dyDescent="0.15">
      <c r="B13" s="142" t="s">
        <v>542</v>
      </c>
      <c r="C13" s="144" t="s">
        <v>686</v>
      </c>
      <c r="D13" s="216" t="s">
        <v>690</v>
      </c>
    </row>
    <row r="14" spans="2:4" ht="27" x14ac:dyDescent="0.15">
      <c r="B14" s="142" t="s">
        <v>544</v>
      </c>
      <c r="C14" s="145" t="s">
        <v>682</v>
      </c>
      <c r="D14" s="217"/>
    </row>
    <row r="15" spans="2:4" x14ac:dyDescent="0.15">
      <c r="B15" s="142" t="s">
        <v>546</v>
      </c>
      <c r="C15" s="146" t="s">
        <v>683</v>
      </c>
      <c r="D15" s="145"/>
    </row>
    <row r="16" spans="2:4" x14ac:dyDescent="0.15">
      <c r="B16" s="142" t="s">
        <v>547</v>
      </c>
      <c r="C16" s="144" t="s">
        <v>661</v>
      </c>
      <c r="D16" s="145"/>
    </row>
    <row r="17" spans="2:4" ht="81" x14ac:dyDescent="0.15">
      <c r="B17" s="304" t="s">
        <v>545</v>
      </c>
      <c r="C17" s="305" t="s">
        <v>713</v>
      </c>
      <c r="D17" s="306" t="s">
        <v>712</v>
      </c>
    </row>
    <row r="18" spans="2:4" x14ac:dyDescent="0.15">
      <c r="B18" s="142" t="s">
        <v>548</v>
      </c>
      <c r="C18" s="145" t="s">
        <v>700</v>
      </c>
      <c r="D18" s="217"/>
    </row>
    <row r="19" spans="2:4" ht="27" x14ac:dyDescent="0.15">
      <c r="B19" s="142" t="s">
        <v>549</v>
      </c>
      <c r="C19" s="145" t="s">
        <v>711</v>
      </c>
      <c r="D19" s="217" t="s">
        <v>707</v>
      </c>
    </row>
    <row r="20" spans="2:4" x14ac:dyDescent="0.15">
      <c r="B20" s="142" t="s">
        <v>558</v>
      </c>
      <c r="C20" s="218" t="s">
        <v>662</v>
      </c>
      <c r="D20" s="217"/>
    </row>
    <row r="21" spans="2:4" ht="13.5" customHeight="1" x14ac:dyDescent="0.15">
      <c r="B21" s="147" t="s">
        <v>550</v>
      </c>
      <c r="C21" s="145" t="s">
        <v>687</v>
      </c>
      <c r="D21" s="217"/>
    </row>
    <row r="22" spans="2:4" x14ac:dyDescent="0.15">
      <c r="B22" s="142" t="s">
        <v>551</v>
      </c>
      <c r="C22" s="144" t="s">
        <v>688</v>
      </c>
      <c r="D22" s="144"/>
    </row>
    <row r="23" spans="2:4" x14ac:dyDescent="0.15">
      <c r="B23" s="142" t="s">
        <v>552</v>
      </c>
      <c r="C23" s="192" t="s">
        <v>708</v>
      </c>
      <c r="D23" s="220"/>
    </row>
    <row r="24" spans="2:4" x14ac:dyDescent="0.15">
      <c r="B24" s="142" t="s">
        <v>553</v>
      </c>
      <c r="C24" s="144" t="s">
        <v>684</v>
      </c>
      <c r="D24" s="142"/>
    </row>
    <row r="25" spans="2:4" x14ac:dyDescent="0.15">
      <c r="B25" s="142" t="s">
        <v>554</v>
      </c>
      <c r="C25" s="144" t="s">
        <v>685</v>
      </c>
      <c r="D25" s="142"/>
    </row>
    <row r="26" spans="2:4" x14ac:dyDescent="0.15">
      <c r="B26" s="142" t="s">
        <v>555</v>
      </c>
      <c r="C26" s="144" t="s">
        <v>709</v>
      </c>
      <c r="D26" s="195"/>
    </row>
    <row r="27" spans="2:4" x14ac:dyDescent="0.15">
      <c r="B27" s="148" t="s">
        <v>556</v>
      </c>
      <c r="C27" s="144" t="s">
        <v>710</v>
      </c>
      <c r="D27" s="142"/>
    </row>
    <row r="28" spans="2:4" x14ac:dyDescent="0.15">
      <c r="B28" s="148" t="s">
        <v>614</v>
      </c>
      <c r="C28" s="193"/>
      <c r="D28" s="148"/>
    </row>
    <row r="29" spans="2:4" x14ac:dyDescent="0.15">
      <c r="B29" s="142" t="s">
        <v>543</v>
      </c>
      <c r="C29" s="144" t="s">
        <v>645</v>
      </c>
      <c r="D29" s="144"/>
    </row>
    <row r="30" spans="2:4" x14ac:dyDescent="0.15">
      <c r="B30" s="148" t="s">
        <v>615</v>
      </c>
      <c r="C30" s="193" t="s">
        <v>689</v>
      </c>
      <c r="D30" s="148"/>
    </row>
    <row r="31" spans="2:4" x14ac:dyDescent="0.15">
      <c r="B31" s="148" t="s">
        <v>617</v>
      </c>
      <c r="C31" s="193" t="s">
        <v>559</v>
      </c>
      <c r="D31" s="148"/>
    </row>
    <row r="32" spans="2:4" x14ac:dyDescent="0.15">
      <c r="B32" s="148" t="s">
        <v>618</v>
      </c>
      <c r="C32" s="193" t="s">
        <v>559</v>
      </c>
      <c r="D32" s="148"/>
    </row>
    <row r="33" spans="2:4" ht="14.25" thickBot="1" x14ac:dyDescent="0.2">
      <c r="B33" s="149" t="s">
        <v>616</v>
      </c>
      <c r="C33" s="194" t="s">
        <v>646</v>
      </c>
      <c r="D33" s="149"/>
    </row>
  </sheetData>
  <phoneticPr fontId="3" type="noConversion"/>
  <pageMargins left="0.7" right="0.7" top="0.75" bottom="0.75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H61"/>
  <sheetViews>
    <sheetView workbookViewId="0">
      <selection activeCell="N34" sqref="N34"/>
    </sheetView>
  </sheetViews>
  <sheetFormatPr defaultRowHeight="13.5" x14ac:dyDescent="0.15"/>
  <cols>
    <col min="2" max="2" width="10.44140625" bestFit="1" customWidth="1"/>
    <col min="3" max="3" width="15" bestFit="1" customWidth="1"/>
    <col min="4" max="4" width="16.6640625" bestFit="1" customWidth="1"/>
    <col min="5" max="5" width="18.109375" customWidth="1"/>
    <col min="6" max="6" width="7.5546875" bestFit="1" customWidth="1"/>
  </cols>
  <sheetData>
    <row r="2" spans="2:6" ht="26.25" x14ac:dyDescent="0.15">
      <c r="B2" s="262" t="s">
        <v>532</v>
      </c>
      <c r="C2" s="263"/>
      <c r="D2" s="263"/>
      <c r="E2" s="263"/>
      <c r="F2" s="264"/>
    </row>
    <row r="3" spans="2:6" ht="20.25" x14ac:dyDescent="0.15">
      <c r="B3" s="265" t="s">
        <v>452</v>
      </c>
      <c r="C3" s="265"/>
      <c r="D3" s="259" t="s">
        <v>696</v>
      </c>
      <c r="E3" s="260"/>
      <c r="F3" s="261"/>
    </row>
    <row r="4" spans="2:6" ht="20.25" x14ac:dyDescent="0.15">
      <c r="B4" s="206" t="s">
        <v>453</v>
      </c>
      <c r="C4" s="207" t="s">
        <v>697</v>
      </c>
      <c r="D4" s="206" t="s">
        <v>454</v>
      </c>
      <c r="E4" s="266" t="s">
        <v>698</v>
      </c>
      <c r="F4" s="267"/>
    </row>
    <row r="5" spans="2:6" ht="20.25" x14ac:dyDescent="0.15">
      <c r="B5" s="208" t="s">
        <v>455</v>
      </c>
      <c r="C5" s="209"/>
      <c r="D5" s="206" t="s">
        <v>456</v>
      </c>
      <c r="E5" s="259" t="s">
        <v>699</v>
      </c>
      <c r="F5" s="261"/>
    </row>
    <row r="6" spans="2:6" ht="20.25" x14ac:dyDescent="0.15">
      <c r="B6" s="259" t="s">
        <v>457</v>
      </c>
      <c r="C6" s="260"/>
      <c r="D6" s="260"/>
      <c r="E6" s="260"/>
      <c r="F6" s="261"/>
    </row>
    <row r="7" spans="2:6" ht="16.5" hidden="1" x14ac:dyDescent="0.15">
      <c r="B7" s="133">
        <v>1</v>
      </c>
      <c r="C7" s="69" t="s">
        <v>458</v>
      </c>
      <c r="D7" s="196" t="s">
        <v>458</v>
      </c>
      <c r="E7" s="197">
        <v>100</v>
      </c>
      <c r="F7" s="198" t="s">
        <v>459</v>
      </c>
    </row>
    <row r="8" spans="2:6" ht="16.5" hidden="1" customHeight="1" x14ac:dyDescent="0.15">
      <c r="B8" s="136"/>
      <c r="C8" s="136"/>
      <c r="D8" s="196" t="s">
        <v>460</v>
      </c>
      <c r="E8" s="197">
        <v>1</v>
      </c>
      <c r="F8" s="198" t="s">
        <v>461</v>
      </c>
    </row>
    <row r="9" spans="2:6" ht="20.25" hidden="1" customHeight="1" x14ac:dyDescent="0.15">
      <c r="B9" s="136"/>
      <c r="C9" s="136"/>
      <c r="D9" s="196" t="s">
        <v>462</v>
      </c>
      <c r="E9" s="197">
        <f>(10*10^6)/E8</f>
        <v>10000000</v>
      </c>
      <c r="F9" s="199"/>
    </row>
    <row r="10" spans="2:6" ht="16.5" hidden="1" customHeight="1" x14ac:dyDescent="0.15">
      <c r="B10" s="136"/>
      <c r="C10" s="136"/>
      <c r="D10" s="196" t="s">
        <v>463</v>
      </c>
      <c r="E10" s="197">
        <v>100000</v>
      </c>
      <c r="F10" s="199">
        <v>50000</v>
      </c>
    </row>
    <row r="11" spans="2:6" ht="16.5" hidden="1" customHeight="1" x14ac:dyDescent="0.15">
      <c r="B11" s="136"/>
      <c r="C11" s="136"/>
      <c r="D11" s="196" t="s">
        <v>464</v>
      </c>
      <c r="E11" s="197">
        <f>$E9/(E10/10)</f>
        <v>1000</v>
      </c>
      <c r="F11" s="199">
        <f>$E9/(F10/10)</f>
        <v>2000</v>
      </c>
    </row>
    <row r="12" spans="2:6" ht="16.5" hidden="1" customHeight="1" x14ac:dyDescent="0.15">
      <c r="B12" s="136"/>
      <c r="C12" s="136"/>
      <c r="D12" s="196" t="s">
        <v>465</v>
      </c>
      <c r="E12" s="197">
        <f>E11/2</f>
        <v>500</v>
      </c>
      <c r="F12" s="199">
        <f>F11/2</f>
        <v>1000</v>
      </c>
    </row>
    <row r="13" spans="2:6" ht="16.5" customHeight="1" x14ac:dyDescent="0.15">
      <c r="B13" s="268">
        <v>2</v>
      </c>
      <c r="C13" s="270" t="s">
        <v>466</v>
      </c>
      <c r="D13" s="196" t="s">
        <v>467</v>
      </c>
      <c r="E13" s="200">
        <v>50</v>
      </c>
      <c r="F13" s="70" t="s">
        <v>468</v>
      </c>
    </row>
    <row r="14" spans="2:6" ht="16.5" x14ac:dyDescent="0.15">
      <c r="B14" s="269"/>
      <c r="C14" s="271"/>
      <c r="D14" s="196" t="s">
        <v>469</v>
      </c>
      <c r="E14" s="200">
        <v>5</v>
      </c>
      <c r="F14" s="70" t="s">
        <v>468</v>
      </c>
    </row>
    <row r="15" spans="2:6" ht="16.5" x14ac:dyDescent="0.15">
      <c r="B15" s="268">
        <v>3</v>
      </c>
      <c r="C15" s="270" t="s">
        <v>470</v>
      </c>
      <c r="D15" s="196" t="s">
        <v>470</v>
      </c>
      <c r="E15" s="197">
        <v>440</v>
      </c>
      <c r="F15" s="70" t="s">
        <v>471</v>
      </c>
    </row>
    <row r="16" spans="2:6" ht="16.5" x14ac:dyDescent="0.15">
      <c r="B16" s="272"/>
      <c r="C16" s="273"/>
      <c r="D16" s="199" t="s">
        <v>472</v>
      </c>
      <c r="E16" s="197">
        <v>763</v>
      </c>
      <c r="F16" s="70" t="s">
        <v>473</v>
      </c>
    </row>
    <row r="17" spans="2:8" ht="16.5" x14ac:dyDescent="0.15">
      <c r="B17" s="272"/>
      <c r="C17" s="273"/>
      <c r="D17" s="199" t="s">
        <v>474</v>
      </c>
      <c r="E17" s="197">
        <v>400</v>
      </c>
      <c r="F17" s="70" t="s">
        <v>473</v>
      </c>
    </row>
    <row r="18" spans="2:8" ht="16.5" x14ac:dyDescent="0.15">
      <c r="B18" s="269"/>
      <c r="C18" s="271"/>
      <c r="D18" s="199" t="s">
        <v>475</v>
      </c>
      <c r="E18" s="197">
        <v>350</v>
      </c>
      <c r="F18" s="70" t="s">
        <v>473</v>
      </c>
    </row>
    <row r="19" spans="2:8" ht="16.5" x14ac:dyDescent="0.15">
      <c r="B19" s="268">
        <v>4</v>
      </c>
      <c r="C19" s="270" t="s">
        <v>476</v>
      </c>
      <c r="D19" s="196" t="s">
        <v>477</v>
      </c>
      <c r="E19" s="197">
        <v>150</v>
      </c>
      <c r="F19" s="70" t="s">
        <v>478</v>
      </c>
    </row>
    <row r="20" spans="2:8" ht="16.5" x14ac:dyDescent="0.15">
      <c r="B20" s="269"/>
      <c r="C20" s="271"/>
      <c r="D20" s="199" t="s">
        <v>479</v>
      </c>
      <c r="E20" s="197">
        <v>150</v>
      </c>
      <c r="F20" s="70" t="s">
        <v>480</v>
      </c>
    </row>
    <row r="21" spans="2:8" ht="16.5" x14ac:dyDescent="0.15">
      <c r="B21" s="268">
        <v>5</v>
      </c>
      <c r="C21" s="270" t="s">
        <v>481</v>
      </c>
      <c r="D21" s="201" t="s">
        <v>482</v>
      </c>
      <c r="E21" s="200">
        <v>6.8</v>
      </c>
      <c r="F21" s="202" t="s">
        <v>483</v>
      </c>
    </row>
    <row r="22" spans="2:8" ht="16.5" x14ac:dyDescent="0.15">
      <c r="B22" s="272"/>
      <c r="C22" s="273"/>
      <c r="D22" s="201" t="s">
        <v>484</v>
      </c>
      <c r="E22" s="197">
        <v>5</v>
      </c>
      <c r="F22" s="202" t="s">
        <v>485</v>
      </c>
    </row>
    <row r="23" spans="2:8" ht="16.5" customHeight="1" x14ac:dyDescent="0.15">
      <c r="B23" s="272"/>
      <c r="C23" s="273"/>
      <c r="D23" s="201" t="s">
        <v>486</v>
      </c>
      <c r="E23" s="197">
        <v>100</v>
      </c>
      <c r="F23" s="202" t="s">
        <v>487</v>
      </c>
    </row>
    <row r="24" spans="2:8" ht="16.5" x14ac:dyDescent="0.15">
      <c r="B24" s="272"/>
      <c r="C24" s="273"/>
      <c r="D24" s="201" t="s">
        <v>488</v>
      </c>
      <c r="E24" s="197">
        <v>180</v>
      </c>
      <c r="F24" s="202" t="s">
        <v>480</v>
      </c>
      <c r="H24" t="s">
        <v>663</v>
      </c>
    </row>
    <row r="25" spans="2:8" ht="16.5" x14ac:dyDescent="0.15">
      <c r="B25" s="272"/>
      <c r="C25" s="273"/>
      <c r="D25" s="70" t="s">
        <v>489</v>
      </c>
      <c r="E25" s="197">
        <f>(3/(E21/E22))*E23</f>
        <v>220.58823529411765</v>
      </c>
      <c r="F25" s="202" t="s">
        <v>480</v>
      </c>
      <c r="H25" t="s">
        <v>651</v>
      </c>
    </row>
    <row r="26" spans="2:8" ht="16.5" x14ac:dyDescent="0.15">
      <c r="B26" s="272"/>
      <c r="C26" s="273"/>
      <c r="D26" s="70" t="s">
        <v>490</v>
      </c>
      <c r="E26" s="197">
        <f>E25*1.11</f>
        <v>244.85294117647061</v>
      </c>
      <c r="F26" s="202" t="s">
        <v>480</v>
      </c>
    </row>
    <row r="27" spans="2:8" ht="16.5" x14ac:dyDescent="0.15">
      <c r="B27" s="269"/>
      <c r="C27" s="271"/>
      <c r="D27" s="70" t="s">
        <v>491</v>
      </c>
      <c r="E27" s="197">
        <v>230</v>
      </c>
      <c r="F27" s="202" t="s">
        <v>480</v>
      </c>
    </row>
    <row r="28" spans="2:8" ht="16.5" customHeight="1" x14ac:dyDescent="0.15">
      <c r="B28" s="268">
        <v>6</v>
      </c>
      <c r="C28" s="274" t="s">
        <v>492</v>
      </c>
      <c r="D28" s="70" t="s">
        <v>467</v>
      </c>
      <c r="E28" s="200">
        <v>50</v>
      </c>
      <c r="F28" s="202" t="s">
        <v>493</v>
      </c>
    </row>
    <row r="29" spans="2:8" ht="16.5" customHeight="1" x14ac:dyDescent="0.15">
      <c r="B29" s="269"/>
      <c r="C29" s="271"/>
      <c r="D29" s="70" t="s">
        <v>469</v>
      </c>
      <c r="E29" s="200">
        <v>5</v>
      </c>
      <c r="F29" s="202" t="s">
        <v>493</v>
      </c>
    </row>
    <row r="30" spans="2:8" ht="16.5" x14ac:dyDescent="0.15">
      <c r="B30" s="268">
        <v>7</v>
      </c>
      <c r="C30" s="270" t="s">
        <v>494</v>
      </c>
      <c r="D30" s="70" t="s">
        <v>467</v>
      </c>
      <c r="E30" s="200">
        <v>50</v>
      </c>
      <c r="F30" s="202" t="s">
        <v>493</v>
      </c>
    </row>
    <row r="31" spans="2:8" ht="16.5" x14ac:dyDescent="0.15">
      <c r="B31" s="269"/>
      <c r="C31" s="271"/>
      <c r="D31" s="70" t="s">
        <v>469</v>
      </c>
      <c r="E31" s="200">
        <v>5</v>
      </c>
      <c r="F31" s="202" t="s">
        <v>493</v>
      </c>
    </row>
    <row r="32" spans="2:8" ht="16.5" x14ac:dyDescent="0.15">
      <c r="B32" s="268">
        <v>8</v>
      </c>
      <c r="C32" s="270" t="s">
        <v>495</v>
      </c>
      <c r="D32" s="70" t="s">
        <v>467</v>
      </c>
      <c r="E32" s="197"/>
      <c r="F32" s="202" t="s">
        <v>496</v>
      </c>
    </row>
    <row r="33" spans="2:7" ht="16.5" x14ac:dyDescent="0.15">
      <c r="B33" s="269"/>
      <c r="C33" s="271"/>
      <c r="D33" s="70" t="s">
        <v>469</v>
      </c>
      <c r="E33" s="197"/>
      <c r="F33" s="202" t="s">
        <v>496</v>
      </c>
    </row>
    <row r="34" spans="2:7" ht="16.5" x14ac:dyDescent="0.15">
      <c r="B34" s="268">
        <v>9</v>
      </c>
      <c r="C34" s="270" t="s">
        <v>497</v>
      </c>
      <c r="D34" s="70" t="s">
        <v>498</v>
      </c>
      <c r="E34" s="219">
        <v>2.5</v>
      </c>
      <c r="F34" s="202" t="s">
        <v>499</v>
      </c>
    </row>
    <row r="35" spans="2:7" ht="16.5" x14ac:dyDescent="0.15">
      <c r="B35" s="272"/>
      <c r="C35" s="273"/>
      <c r="D35" s="70" t="s">
        <v>500</v>
      </c>
      <c r="E35" s="197">
        <v>1000</v>
      </c>
      <c r="F35" s="202" t="s">
        <v>473</v>
      </c>
    </row>
    <row r="36" spans="2:7" ht="16.5" x14ac:dyDescent="0.15">
      <c r="B36" s="269"/>
      <c r="C36" s="271"/>
      <c r="D36" s="70" t="s">
        <v>501</v>
      </c>
      <c r="E36" s="197">
        <v>700</v>
      </c>
      <c r="F36" s="202" t="s">
        <v>473</v>
      </c>
    </row>
    <row r="37" spans="2:7" ht="16.5" x14ac:dyDescent="0.15">
      <c r="B37" s="133">
        <v>10</v>
      </c>
      <c r="C37" s="69" t="s">
        <v>502</v>
      </c>
      <c r="D37" s="70" t="s">
        <v>503</v>
      </c>
      <c r="E37" s="219">
        <v>1.75</v>
      </c>
      <c r="F37" s="202" t="s">
        <v>487</v>
      </c>
    </row>
    <row r="38" spans="2:7" ht="16.5" x14ac:dyDescent="0.15">
      <c r="B38" s="268">
        <v>11</v>
      </c>
      <c r="C38" s="270" t="s">
        <v>504</v>
      </c>
      <c r="D38" s="70" t="s">
        <v>469</v>
      </c>
      <c r="E38" s="197">
        <v>10000</v>
      </c>
      <c r="F38" s="202" t="s">
        <v>496</v>
      </c>
      <c r="G38" t="s">
        <v>664</v>
      </c>
    </row>
    <row r="39" spans="2:7" ht="16.5" customHeight="1" x14ac:dyDescent="0.15">
      <c r="B39" s="272"/>
      <c r="C39" s="273"/>
      <c r="D39" s="70" t="s">
        <v>467</v>
      </c>
      <c r="E39" s="197">
        <v>40000</v>
      </c>
      <c r="F39" s="202" t="s">
        <v>496</v>
      </c>
    </row>
    <row r="40" spans="2:7" ht="16.5" x14ac:dyDescent="0.15">
      <c r="B40" s="272"/>
      <c r="C40" s="273"/>
      <c r="D40" s="70" t="s">
        <v>505</v>
      </c>
      <c r="E40" s="197">
        <v>35000</v>
      </c>
      <c r="F40" s="202" t="s">
        <v>496</v>
      </c>
    </row>
    <row r="41" spans="2:7" ht="16.5" x14ac:dyDescent="0.15">
      <c r="B41" s="269"/>
      <c r="C41" s="271"/>
      <c r="D41" s="70" t="s">
        <v>506</v>
      </c>
      <c r="E41" s="197">
        <v>30000</v>
      </c>
      <c r="F41" s="202" t="s">
        <v>496</v>
      </c>
    </row>
    <row r="42" spans="2:7" ht="16.5" x14ac:dyDescent="0.15">
      <c r="B42" s="268">
        <v>12</v>
      </c>
      <c r="C42" s="270" t="s">
        <v>507</v>
      </c>
      <c r="D42" s="70" t="s">
        <v>507</v>
      </c>
      <c r="E42" s="200">
        <v>1.5</v>
      </c>
      <c r="F42" s="202" t="s">
        <v>508</v>
      </c>
    </row>
    <row r="43" spans="2:7" ht="16.5" hidden="1" x14ac:dyDescent="0.15">
      <c r="B43" s="272"/>
      <c r="C43" s="273"/>
      <c r="D43" s="199" t="s">
        <v>509</v>
      </c>
      <c r="E43" s="197">
        <f>(100*10^6)/E8</f>
        <v>100000000</v>
      </c>
      <c r="F43" s="70"/>
    </row>
    <row r="44" spans="2:7" ht="16.5" x14ac:dyDescent="0.15">
      <c r="B44" s="269"/>
      <c r="C44" s="271"/>
      <c r="D44" s="70" t="s">
        <v>510</v>
      </c>
      <c r="E44" s="197">
        <v>400</v>
      </c>
      <c r="F44" s="202" t="s">
        <v>511</v>
      </c>
    </row>
    <row r="45" spans="2:7" ht="16.5" x14ac:dyDescent="0.15">
      <c r="B45" s="268">
        <v>13</v>
      </c>
      <c r="C45" s="270" t="s">
        <v>512</v>
      </c>
      <c r="D45" s="70" t="s">
        <v>513</v>
      </c>
      <c r="E45" s="70" t="s">
        <v>514</v>
      </c>
      <c r="F45" s="203" t="s">
        <v>691</v>
      </c>
    </row>
    <row r="46" spans="2:7" ht="16.5" x14ac:dyDescent="0.15">
      <c r="B46" s="272"/>
      <c r="C46" s="273"/>
      <c r="D46" s="70" t="s">
        <v>516</v>
      </c>
      <c r="E46" s="70" t="s">
        <v>517</v>
      </c>
      <c r="F46" s="203" t="s">
        <v>692</v>
      </c>
    </row>
    <row r="47" spans="2:7" ht="16.5" x14ac:dyDescent="0.15">
      <c r="B47" s="272"/>
      <c r="C47" s="273"/>
      <c r="D47" s="70" t="s">
        <v>518</v>
      </c>
      <c r="E47" s="70" t="s">
        <v>519</v>
      </c>
      <c r="F47" s="203" t="s">
        <v>515</v>
      </c>
    </row>
    <row r="48" spans="2:7" ht="16.5" x14ac:dyDescent="0.15">
      <c r="B48" s="272"/>
      <c r="C48" s="273"/>
      <c r="D48" s="70" t="s">
        <v>520</v>
      </c>
      <c r="E48" s="70" t="s">
        <v>521</v>
      </c>
      <c r="F48" s="203" t="s">
        <v>515</v>
      </c>
    </row>
    <row r="49" spans="2:6" ht="16.5" x14ac:dyDescent="0.15">
      <c r="B49" s="272"/>
      <c r="C49" s="273"/>
      <c r="D49" s="70" t="s">
        <v>522</v>
      </c>
      <c r="E49" s="70" t="s">
        <v>523</v>
      </c>
      <c r="F49" s="203" t="s">
        <v>515</v>
      </c>
    </row>
    <row r="50" spans="2:6" ht="16.5" x14ac:dyDescent="0.15">
      <c r="B50" s="272"/>
      <c r="C50" s="273"/>
      <c r="D50" s="70" t="s">
        <v>524</v>
      </c>
      <c r="E50" s="70" t="s">
        <v>525</v>
      </c>
      <c r="F50" s="203" t="s">
        <v>526</v>
      </c>
    </row>
    <row r="51" spans="2:6" ht="16.5" x14ac:dyDescent="0.15">
      <c r="B51" s="272"/>
      <c r="C51" s="273"/>
      <c r="D51" s="70" t="s">
        <v>527</v>
      </c>
      <c r="E51" s="70" t="s">
        <v>528</v>
      </c>
      <c r="F51" s="203" t="s">
        <v>693</v>
      </c>
    </row>
    <row r="52" spans="2:6" ht="37.5" customHeight="1" x14ac:dyDescent="0.15">
      <c r="B52" s="272"/>
      <c r="C52" s="273"/>
      <c r="D52" s="70" t="s">
        <v>594</v>
      </c>
      <c r="E52" s="204" t="s">
        <v>595</v>
      </c>
      <c r="F52" s="203" t="s">
        <v>694</v>
      </c>
    </row>
    <row r="53" spans="2:6" ht="16.5" x14ac:dyDescent="0.15">
      <c r="B53" s="272"/>
      <c r="C53" s="273"/>
      <c r="D53" s="70" t="s">
        <v>596</v>
      </c>
      <c r="E53" s="70" t="s">
        <v>597</v>
      </c>
      <c r="F53" s="203" t="s">
        <v>695</v>
      </c>
    </row>
    <row r="54" spans="2:6" ht="16.5" x14ac:dyDescent="0.15">
      <c r="B54" s="272"/>
      <c r="C54" s="273"/>
      <c r="D54" s="70" t="s">
        <v>599</v>
      </c>
      <c r="E54" s="205" t="s">
        <v>600</v>
      </c>
      <c r="F54" s="203" t="s">
        <v>695</v>
      </c>
    </row>
    <row r="55" spans="2:6" ht="16.5" x14ac:dyDescent="0.15">
      <c r="B55" s="272"/>
      <c r="C55" s="273"/>
      <c r="D55" s="70"/>
      <c r="E55" s="205" t="s">
        <v>601</v>
      </c>
      <c r="F55" s="203" t="s">
        <v>598</v>
      </c>
    </row>
    <row r="56" spans="2:6" ht="16.5" x14ac:dyDescent="0.15">
      <c r="B56" s="272"/>
      <c r="C56" s="273"/>
      <c r="D56" s="70"/>
      <c r="E56" s="205" t="s">
        <v>602</v>
      </c>
      <c r="F56" s="203" t="s">
        <v>598</v>
      </c>
    </row>
    <row r="57" spans="2:6" ht="16.5" x14ac:dyDescent="0.15">
      <c r="B57" s="269"/>
      <c r="C57" s="273"/>
      <c r="D57" s="70"/>
      <c r="E57" s="205" t="s">
        <v>603</v>
      </c>
      <c r="F57" s="203" t="s">
        <v>598</v>
      </c>
    </row>
    <row r="58" spans="2:6" ht="16.5" x14ac:dyDescent="0.15">
      <c r="B58" s="133">
        <v>14</v>
      </c>
      <c r="C58" s="137" t="s">
        <v>529</v>
      </c>
      <c r="D58" s="278" t="s">
        <v>647</v>
      </c>
      <c r="E58" s="279"/>
      <c r="F58" s="280"/>
    </row>
    <row r="59" spans="2:6" ht="16.5" x14ac:dyDescent="0.15">
      <c r="B59" s="133">
        <v>15</v>
      </c>
      <c r="C59" s="137" t="s">
        <v>530</v>
      </c>
      <c r="D59" s="278" t="s">
        <v>648</v>
      </c>
      <c r="E59" s="279"/>
      <c r="F59" s="280"/>
    </row>
    <row r="60" spans="2:6" x14ac:dyDescent="0.15">
      <c r="B60" s="3"/>
      <c r="C60" s="3"/>
      <c r="D60" s="3"/>
      <c r="E60" s="135"/>
      <c r="F60" s="3"/>
    </row>
    <row r="61" spans="2:6" ht="43.5" customHeight="1" x14ac:dyDescent="0.15">
      <c r="B61" s="138" t="s">
        <v>531</v>
      </c>
      <c r="C61" s="275"/>
      <c r="D61" s="276"/>
      <c r="E61" s="276"/>
      <c r="F61" s="277"/>
    </row>
  </sheetData>
  <mergeCells count="31">
    <mergeCell ref="C61:F61"/>
    <mergeCell ref="B42:B44"/>
    <mergeCell ref="C42:C44"/>
    <mergeCell ref="B45:B57"/>
    <mergeCell ref="C45:C57"/>
    <mergeCell ref="D58:F58"/>
    <mergeCell ref="D59:F59"/>
    <mergeCell ref="B32:B33"/>
    <mergeCell ref="C32:C33"/>
    <mergeCell ref="B34:B36"/>
    <mergeCell ref="C34:C36"/>
    <mergeCell ref="B38:B41"/>
    <mergeCell ref="C38:C41"/>
    <mergeCell ref="B21:B27"/>
    <mergeCell ref="C21:C27"/>
    <mergeCell ref="B28:B29"/>
    <mergeCell ref="C28:C29"/>
    <mergeCell ref="B30:B31"/>
    <mergeCell ref="C30:C31"/>
    <mergeCell ref="B13:B14"/>
    <mergeCell ref="C13:C14"/>
    <mergeCell ref="B15:B18"/>
    <mergeCell ref="C15:C18"/>
    <mergeCell ref="B19:B20"/>
    <mergeCell ref="C19:C20"/>
    <mergeCell ref="B6:F6"/>
    <mergeCell ref="B2:F2"/>
    <mergeCell ref="B3:C3"/>
    <mergeCell ref="D3:F3"/>
    <mergeCell ref="E4:F4"/>
    <mergeCell ref="E5:F5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7"/>
  <sheetViews>
    <sheetView workbookViewId="0">
      <selection activeCell="P20" sqref="P20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95" t="s">
        <v>325</v>
      </c>
      <c r="B2" s="285" t="s">
        <v>326</v>
      </c>
      <c r="C2" s="285" t="s">
        <v>327</v>
      </c>
      <c r="D2" s="285" t="s">
        <v>328</v>
      </c>
      <c r="E2" s="285" t="s">
        <v>329</v>
      </c>
      <c r="F2" s="291" t="s">
        <v>330</v>
      </c>
      <c r="G2" s="287" t="s">
        <v>331</v>
      </c>
      <c r="H2" s="285" t="s">
        <v>332</v>
      </c>
      <c r="I2" s="287" t="s">
        <v>333</v>
      </c>
      <c r="J2" s="293" t="s">
        <v>334</v>
      </c>
      <c r="K2" s="285" t="s">
        <v>335</v>
      </c>
      <c r="L2" s="291" t="s">
        <v>336</v>
      </c>
      <c r="M2" s="285" t="s">
        <v>337</v>
      </c>
      <c r="N2" s="285" t="s">
        <v>338</v>
      </c>
      <c r="O2" s="291" t="s">
        <v>339</v>
      </c>
      <c r="P2" s="285" t="s">
        <v>340</v>
      </c>
      <c r="Q2" s="285" t="s">
        <v>341</v>
      </c>
      <c r="R2" s="285"/>
      <c r="S2" s="287" t="s">
        <v>342</v>
      </c>
      <c r="T2" s="289" t="s">
        <v>343</v>
      </c>
      <c r="U2" s="283" t="s">
        <v>344</v>
      </c>
      <c r="V2" s="283" t="s">
        <v>345</v>
      </c>
    </row>
    <row r="3" spans="1:22" ht="17.25" thickBot="1" x14ac:dyDescent="0.2">
      <c r="A3" s="296"/>
      <c r="B3" s="286"/>
      <c r="C3" s="286"/>
      <c r="D3" s="286"/>
      <c r="E3" s="286"/>
      <c r="F3" s="292"/>
      <c r="G3" s="288"/>
      <c r="H3" s="286"/>
      <c r="I3" s="288"/>
      <c r="J3" s="294"/>
      <c r="K3" s="286"/>
      <c r="L3" s="292"/>
      <c r="M3" s="286"/>
      <c r="N3" s="286"/>
      <c r="O3" s="292"/>
      <c r="P3" s="286"/>
      <c r="Q3" s="157" t="s">
        <v>346</v>
      </c>
      <c r="R3" s="157" t="s">
        <v>347</v>
      </c>
      <c r="S3" s="288"/>
      <c r="T3" s="290"/>
      <c r="U3" s="284"/>
      <c r="V3" s="284"/>
    </row>
    <row r="4" spans="1:22" ht="17.25" thickTop="1" x14ac:dyDescent="0.3">
      <c r="A4" s="158">
        <v>20</v>
      </c>
      <c r="B4" s="159">
        <v>220</v>
      </c>
      <c r="C4" s="160">
        <f t="shared" ref="C4:C47" si="0">ROUNDUP(A4/(B4*0.9)/3^0.5*1000/0.9,0)</f>
        <v>65</v>
      </c>
      <c r="D4" s="160">
        <f t="shared" ref="D4:D47" si="1">ROUNDUP(B4*2^0.5*0.93,0)</f>
        <v>290</v>
      </c>
      <c r="E4" s="160">
        <f t="shared" ref="E4:E47" si="2">ROUNDUP(A4*1000/D4,0)</f>
        <v>69</v>
      </c>
      <c r="F4" s="161">
        <f t="shared" ref="F4:F47" si="3">30.8*100*C4/(1000*10)</f>
        <v>20.02</v>
      </c>
      <c r="G4" s="162">
        <f t="shared" ref="G4:G47" si="4">C4/(H4*I4)</f>
        <v>1.8571428571428572</v>
      </c>
      <c r="H4" s="159">
        <v>35</v>
      </c>
      <c r="I4" s="159">
        <v>1</v>
      </c>
      <c r="J4" s="159">
        <f t="shared" ref="J4:J47" si="5">L4*0.052</f>
        <v>3.9</v>
      </c>
      <c r="K4" s="159">
        <v>16</v>
      </c>
      <c r="L4" s="159">
        <v>75</v>
      </c>
      <c r="M4" s="159" t="s">
        <v>348</v>
      </c>
      <c r="N4" s="159" t="s">
        <v>349</v>
      </c>
      <c r="O4" s="163">
        <f t="shared" ref="O4:O47" si="6">SUM(C4*1.25)</f>
        <v>81.25</v>
      </c>
      <c r="P4" s="159" t="s">
        <v>350</v>
      </c>
      <c r="Q4" s="159" t="s">
        <v>351</v>
      </c>
      <c r="R4" s="159"/>
      <c r="S4" s="164" t="s">
        <v>352</v>
      </c>
      <c r="T4" s="164" t="s">
        <v>353</v>
      </c>
      <c r="U4" s="159" t="s">
        <v>354</v>
      </c>
      <c r="V4" s="165" t="s">
        <v>355</v>
      </c>
    </row>
    <row r="5" spans="1:22" ht="16.5" x14ac:dyDescent="0.3">
      <c r="A5" s="158">
        <v>20</v>
      </c>
      <c r="B5" s="159">
        <v>380</v>
      </c>
      <c r="C5" s="160">
        <f t="shared" si="0"/>
        <v>38</v>
      </c>
      <c r="D5" s="160">
        <f t="shared" si="1"/>
        <v>500</v>
      </c>
      <c r="E5" s="160">
        <f t="shared" si="2"/>
        <v>40</v>
      </c>
      <c r="F5" s="161">
        <f t="shared" si="3"/>
        <v>11.704000000000001</v>
      </c>
      <c r="G5" s="162">
        <f t="shared" si="4"/>
        <v>1.52</v>
      </c>
      <c r="H5" s="159">
        <v>25</v>
      </c>
      <c r="I5" s="159">
        <v>1</v>
      </c>
      <c r="J5" s="159">
        <f t="shared" si="5"/>
        <v>2.6</v>
      </c>
      <c r="K5" s="159">
        <v>16</v>
      </c>
      <c r="L5" s="159">
        <v>50</v>
      </c>
      <c r="M5" s="159" t="s">
        <v>356</v>
      </c>
      <c r="N5" s="159" t="s">
        <v>357</v>
      </c>
      <c r="O5" s="163">
        <f t="shared" si="6"/>
        <v>47.5</v>
      </c>
      <c r="P5" s="159" t="s">
        <v>358</v>
      </c>
      <c r="Q5" s="159" t="s">
        <v>351</v>
      </c>
      <c r="R5" s="159"/>
      <c r="S5" s="164" t="s">
        <v>352</v>
      </c>
      <c r="T5" s="164" t="s">
        <v>350</v>
      </c>
      <c r="U5" s="159" t="s">
        <v>359</v>
      </c>
      <c r="V5" s="165" t="s">
        <v>355</v>
      </c>
    </row>
    <row r="6" spans="1:22" ht="16.5" x14ac:dyDescent="0.3">
      <c r="A6" s="158">
        <v>20</v>
      </c>
      <c r="B6" s="159">
        <v>440</v>
      </c>
      <c r="C6" s="160">
        <f t="shared" si="0"/>
        <v>33</v>
      </c>
      <c r="D6" s="160">
        <f t="shared" si="1"/>
        <v>579</v>
      </c>
      <c r="E6" s="160">
        <f t="shared" si="2"/>
        <v>35</v>
      </c>
      <c r="F6" s="161">
        <f t="shared" si="3"/>
        <v>10.164</v>
      </c>
      <c r="G6" s="162">
        <f t="shared" si="4"/>
        <v>1.32</v>
      </c>
      <c r="H6" s="159">
        <v>25</v>
      </c>
      <c r="I6" s="159">
        <v>1</v>
      </c>
      <c r="J6" s="159">
        <f t="shared" si="5"/>
        <v>2.6</v>
      </c>
      <c r="K6" s="159">
        <v>16</v>
      </c>
      <c r="L6" s="159">
        <v>50</v>
      </c>
      <c r="M6" s="159" t="s">
        <v>356</v>
      </c>
      <c r="N6" s="159" t="s">
        <v>357</v>
      </c>
      <c r="O6" s="163">
        <f t="shared" si="6"/>
        <v>41.25</v>
      </c>
      <c r="P6" s="159" t="s">
        <v>358</v>
      </c>
      <c r="Q6" s="159" t="s">
        <v>351</v>
      </c>
      <c r="R6" s="159"/>
      <c r="S6" s="164" t="s">
        <v>352</v>
      </c>
      <c r="T6" s="164" t="s">
        <v>350</v>
      </c>
      <c r="U6" s="159" t="s">
        <v>359</v>
      </c>
      <c r="V6" s="165" t="s">
        <v>355</v>
      </c>
    </row>
    <row r="7" spans="1:22" ht="16.5" x14ac:dyDescent="0.3">
      <c r="A7" s="158">
        <v>30</v>
      </c>
      <c r="B7" s="159">
        <v>220</v>
      </c>
      <c r="C7" s="160">
        <f t="shared" si="0"/>
        <v>98</v>
      </c>
      <c r="D7" s="160">
        <f t="shared" si="1"/>
        <v>290</v>
      </c>
      <c r="E7" s="160">
        <f t="shared" si="2"/>
        <v>104</v>
      </c>
      <c r="F7" s="161">
        <f t="shared" si="3"/>
        <v>30.184000000000001</v>
      </c>
      <c r="G7" s="162">
        <f t="shared" si="4"/>
        <v>1.96</v>
      </c>
      <c r="H7" s="159">
        <v>50</v>
      </c>
      <c r="I7" s="159">
        <v>1</v>
      </c>
      <c r="J7" s="159">
        <f t="shared" si="5"/>
        <v>6.5</v>
      </c>
      <c r="K7" s="159">
        <v>16</v>
      </c>
      <c r="L7" s="159">
        <v>125</v>
      </c>
      <c r="M7" s="159" t="s">
        <v>360</v>
      </c>
      <c r="N7" s="159" t="s">
        <v>361</v>
      </c>
      <c r="O7" s="163">
        <f t="shared" si="6"/>
        <v>122.5</v>
      </c>
      <c r="P7" s="159" t="s">
        <v>362</v>
      </c>
      <c r="Q7" s="159" t="s">
        <v>351</v>
      </c>
      <c r="R7" s="166" t="s">
        <v>355</v>
      </c>
      <c r="S7" s="164" t="s">
        <v>352</v>
      </c>
      <c r="T7" s="164" t="s">
        <v>363</v>
      </c>
      <c r="U7" s="159" t="s">
        <v>359</v>
      </c>
      <c r="V7" s="165" t="s">
        <v>355</v>
      </c>
    </row>
    <row r="8" spans="1:22" ht="16.5" x14ac:dyDescent="0.3">
      <c r="A8" s="158">
        <v>30</v>
      </c>
      <c r="B8" s="159">
        <v>380</v>
      </c>
      <c r="C8" s="160">
        <f t="shared" si="0"/>
        <v>57</v>
      </c>
      <c r="D8" s="160">
        <f t="shared" si="1"/>
        <v>500</v>
      </c>
      <c r="E8" s="160">
        <f t="shared" si="2"/>
        <v>60</v>
      </c>
      <c r="F8" s="161">
        <f t="shared" si="3"/>
        <v>17.556000000000001</v>
      </c>
      <c r="G8" s="162">
        <f t="shared" si="4"/>
        <v>1.6285714285714286</v>
      </c>
      <c r="H8" s="159">
        <v>35</v>
      </c>
      <c r="I8" s="159">
        <v>1</v>
      </c>
      <c r="J8" s="159">
        <f t="shared" si="5"/>
        <v>3.9</v>
      </c>
      <c r="K8" s="159">
        <v>16</v>
      </c>
      <c r="L8" s="159">
        <v>75</v>
      </c>
      <c r="M8" s="159" t="s">
        <v>348</v>
      </c>
      <c r="N8" s="159" t="s">
        <v>349</v>
      </c>
      <c r="O8" s="163">
        <f t="shared" si="6"/>
        <v>71.25</v>
      </c>
      <c r="P8" s="159" t="s">
        <v>350</v>
      </c>
      <c r="Q8" s="159" t="s">
        <v>351</v>
      </c>
      <c r="R8" s="166" t="s">
        <v>355</v>
      </c>
      <c r="S8" s="164" t="s">
        <v>352</v>
      </c>
      <c r="T8" s="164" t="s">
        <v>350</v>
      </c>
      <c r="U8" s="159" t="s">
        <v>359</v>
      </c>
      <c r="V8" s="165" t="s">
        <v>355</v>
      </c>
    </row>
    <row r="9" spans="1:22" ht="16.5" x14ac:dyDescent="0.3">
      <c r="A9" s="158">
        <v>30</v>
      </c>
      <c r="B9" s="159">
        <v>440</v>
      </c>
      <c r="C9" s="160">
        <f t="shared" si="0"/>
        <v>49</v>
      </c>
      <c r="D9" s="160">
        <f t="shared" si="1"/>
        <v>579</v>
      </c>
      <c r="E9" s="160">
        <f t="shared" si="2"/>
        <v>52</v>
      </c>
      <c r="F9" s="161">
        <f t="shared" si="3"/>
        <v>15.092000000000001</v>
      </c>
      <c r="G9" s="162">
        <f t="shared" si="4"/>
        <v>1.4</v>
      </c>
      <c r="H9" s="159">
        <v>35</v>
      </c>
      <c r="I9" s="159">
        <v>1</v>
      </c>
      <c r="J9" s="159">
        <f t="shared" si="5"/>
        <v>3.9</v>
      </c>
      <c r="K9" s="159">
        <v>16</v>
      </c>
      <c r="L9" s="159">
        <v>75</v>
      </c>
      <c r="M9" s="159" t="s">
        <v>348</v>
      </c>
      <c r="N9" s="159" t="s">
        <v>349</v>
      </c>
      <c r="O9" s="163">
        <f t="shared" si="6"/>
        <v>61.25</v>
      </c>
      <c r="P9" s="159" t="s">
        <v>350</v>
      </c>
      <c r="Q9" s="159" t="s">
        <v>351</v>
      </c>
      <c r="R9" s="166" t="s">
        <v>355</v>
      </c>
      <c r="S9" s="164" t="s">
        <v>352</v>
      </c>
      <c r="T9" s="164" t="s">
        <v>350</v>
      </c>
      <c r="U9" s="159" t="s">
        <v>359</v>
      </c>
      <c r="V9" s="165" t="s">
        <v>355</v>
      </c>
    </row>
    <row r="10" spans="1:22" ht="16.5" x14ac:dyDescent="0.3">
      <c r="A10" s="158">
        <v>50</v>
      </c>
      <c r="B10" s="159">
        <v>220</v>
      </c>
      <c r="C10" s="160">
        <f t="shared" si="0"/>
        <v>162</v>
      </c>
      <c r="D10" s="160">
        <f t="shared" si="1"/>
        <v>290</v>
      </c>
      <c r="E10" s="160">
        <f t="shared" si="2"/>
        <v>173</v>
      </c>
      <c r="F10" s="161">
        <f t="shared" si="3"/>
        <v>49.896000000000001</v>
      </c>
      <c r="G10" s="162">
        <f t="shared" si="4"/>
        <v>2.3142857142857145</v>
      </c>
      <c r="H10" s="159">
        <v>70</v>
      </c>
      <c r="I10" s="159">
        <v>1</v>
      </c>
      <c r="J10" s="159">
        <f t="shared" si="5"/>
        <v>10.4</v>
      </c>
      <c r="K10" s="159">
        <v>16</v>
      </c>
      <c r="L10" s="159">
        <v>200</v>
      </c>
      <c r="M10" s="159" t="s">
        <v>364</v>
      </c>
      <c r="N10" s="159" t="s">
        <v>365</v>
      </c>
      <c r="O10" s="163">
        <f t="shared" si="6"/>
        <v>202.5</v>
      </c>
      <c r="P10" s="159" t="s">
        <v>366</v>
      </c>
      <c r="Q10" s="159" t="s">
        <v>367</v>
      </c>
      <c r="R10" s="166" t="s">
        <v>355</v>
      </c>
      <c r="S10" s="164" t="s">
        <v>368</v>
      </c>
      <c r="T10" s="164" t="s">
        <v>369</v>
      </c>
      <c r="U10" s="281" t="s">
        <v>370</v>
      </c>
      <c r="V10" s="282"/>
    </row>
    <row r="11" spans="1:22" ht="16.5" x14ac:dyDescent="0.3">
      <c r="A11" s="158">
        <v>50</v>
      </c>
      <c r="B11" s="159">
        <v>380</v>
      </c>
      <c r="C11" s="160">
        <f t="shared" si="0"/>
        <v>94</v>
      </c>
      <c r="D11" s="160">
        <f t="shared" si="1"/>
        <v>500</v>
      </c>
      <c r="E11" s="160">
        <f t="shared" si="2"/>
        <v>100</v>
      </c>
      <c r="F11" s="161">
        <f t="shared" si="3"/>
        <v>28.952000000000002</v>
      </c>
      <c r="G11" s="162">
        <f t="shared" si="4"/>
        <v>1.3428571428571427</v>
      </c>
      <c r="H11" s="159">
        <v>70</v>
      </c>
      <c r="I11" s="159">
        <v>1</v>
      </c>
      <c r="J11" s="159">
        <f t="shared" si="5"/>
        <v>6.5</v>
      </c>
      <c r="K11" s="159">
        <v>16</v>
      </c>
      <c r="L11" s="159">
        <v>125</v>
      </c>
      <c r="M11" s="159" t="s">
        <v>371</v>
      </c>
      <c r="N11" s="159" t="s">
        <v>361</v>
      </c>
      <c r="O11" s="163">
        <f t="shared" si="6"/>
        <v>117.5</v>
      </c>
      <c r="P11" s="159" t="s">
        <v>362</v>
      </c>
      <c r="Q11" s="159" t="s">
        <v>351</v>
      </c>
      <c r="R11" s="166" t="s">
        <v>355</v>
      </c>
      <c r="S11" s="164" t="s">
        <v>352</v>
      </c>
      <c r="T11" s="164" t="s">
        <v>363</v>
      </c>
      <c r="U11" s="159" t="s">
        <v>359</v>
      </c>
      <c r="V11" s="165" t="s">
        <v>355</v>
      </c>
    </row>
    <row r="12" spans="1:22" ht="16.5" x14ac:dyDescent="0.3">
      <c r="A12" s="158">
        <v>50</v>
      </c>
      <c r="B12" s="159">
        <v>440</v>
      </c>
      <c r="C12" s="160">
        <f t="shared" si="0"/>
        <v>81</v>
      </c>
      <c r="D12" s="160">
        <f t="shared" si="1"/>
        <v>579</v>
      </c>
      <c r="E12" s="160">
        <f t="shared" si="2"/>
        <v>87</v>
      </c>
      <c r="F12" s="161">
        <f t="shared" si="3"/>
        <v>24.948</v>
      </c>
      <c r="G12" s="162">
        <f t="shared" si="4"/>
        <v>1.1571428571428573</v>
      </c>
      <c r="H12" s="159">
        <v>70</v>
      </c>
      <c r="I12" s="159">
        <v>1</v>
      </c>
      <c r="J12" s="159">
        <f t="shared" si="5"/>
        <v>5.2</v>
      </c>
      <c r="K12" s="159">
        <v>16</v>
      </c>
      <c r="L12" s="159">
        <v>100</v>
      </c>
      <c r="M12" s="159" t="s">
        <v>371</v>
      </c>
      <c r="N12" s="159" t="s">
        <v>361</v>
      </c>
      <c r="O12" s="163">
        <f t="shared" si="6"/>
        <v>101.25</v>
      </c>
      <c r="P12" s="159" t="s">
        <v>362</v>
      </c>
      <c r="Q12" s="159" t="s">
        <v>351</v>
      </c>
      <c r="R12" s="166" t="s">
        <v>355</v>
      </c>
      <c r="S12" s="164" t="s">
        <v>352</v>
      </c>
      <c r="T12" s="164" t="s">
        <v>363</v>
      </c>
      <c r="U12" s="159" t="s">
        <v>359</v>
      </c>
      <c r="V12" s="165" t="s">
        <v>355</v>
      </c>
    </row>
    <row r="13" spans="1:22" ht="16.5" x14ac:dyDescent="0.3">
      <c r="A13" s="158">
        <v>75</v>
      </c>
      <c r="B13" s="159">
        <v>220</v>
      </c>
      <c r="C13" s="160">
        <f t="shared" si="0"/>
        <v>243</v>
      </c>
      <c r="D13" s="160">
        <f t="shared" si="1"/>
        <v>290</v>
      </c>
      <c r="E13" s="160">
        <f t="shared" si="2"/>
        <v>259</v>
      </c>
      <c r="F13" s="161">
        <f t="shared" si="3"/>
        <v>74.843999999999994</v>
      </c>
      <c r="G13" s="162">
        <f t="shared" si="4"/>
        <v>1.7357142857142858</v>
      </c>
      <c r="H13" s="159">
        <v>70</v>
      </c>
      <c r="I13" s="159">
        <v>2</v>
      </c>
      <c r="J13" s="159">
        <f t="shared" si="5"/>
        <v>15.6</v>
      </c>
      <c r="K13" s="159">
        <v>16</v>
      </c>
      <c r="L13" s="159">
        <v>300</v>
      </c>
      <c r="M13" s="159" t="s">
        <v>372</v>
      </c>
      <c r="N13" s="159" t="s">
        <v>373</v>
      </c>
      <c r="O13" s="163">
        <f t="shared" si="6"/>
        <v>303.75</v>
      </c>
      <c r="P13" s="159" t="s">
        <v>374</v>
      </c>
      <c r="Q13" s="159" t="s">
        <v>367</v>
      </c>
      <c r="R13" s="166" t="s">
        <v>355</v>
      </c>
      <c r="S13" s="164" t="s">
        <v>375</v>
      </c>
      <c r="T13" s="164" t="s">
        <v>374</v>
      </c>
      <c r="U13" s="281" t="s">
        <v>370</v>
      </c>
      <c r="V13" s="282"/>
    </row>
    <row r="14" spans="1:22" ht="16.5" x14ac:dyDescent="0.3">
      <c r="A14" s="158">
        <v>75</v>
      </c>
      <c r="B14" s="159">
        <v>380</v>
      </c>
      <c r="C14" s="160">
        <f t="shared" si="0"/>
        <v>141</v>
      </c>
      <c r="D14" s="160">
        <f t="shared" si="1"/>
        <v>500</v>
      </c>
      <c r="E14" s="160">
        <f t="shared" si="2"/>
        <v>150</v>
      </c>
      <c r="F14" s="161">
        <f t="shared" si="3"/>
        <v>43.427999999999997</v>
      </c>
      <c r="G14" s="162">
        <f t="shared" si="4"/>
        <v>2.0142857142857142</v>
      </c>
      <c r="H14" s="159">
        <v>70</v>
      </c>
      <c r="I14" s="159">
        <v>1</v>
      </c>
      <c r="J14" s="159">
        <f t="shared" si="5"/>
        <v>9.1</v>
      </c>
      <c r="K14" s="159">
        <v>16</v>
      </c>
      <c r="L14" s="159">
        <v>175</v>
      </c>
      <c r="M14" s="159" t="s">
        <v>364</v>
      </c>
      <c r="N14" s="159" t="s">
        <v>365</v>
      </c>
      <c r="O14" s="163">
        <f t="shared" si="6"/>
        <v>176.25</v>
      </c>
      <c r="P14" s="159" t="s">
        <v>366</v>
      </c>
      <c r="Q14" s="159" t="s">
        <v>367</v>
      </c>
      <c r="R14" s="166" t="s">
        <v>355</v>
      </c>
      <c r="S14" s="164" t="s">
        <v>375</v>
      </c>
      <c r="T14" s="164" t="s">
        <v>366</v>
      </c>
      <c r="U14" s="281" t="s">
        <v>370</v>
      </c>
      <c r="V14" s="282"/>
    </row>
    <row r="15" spans="1:22" ht="16.5" x14ac:dyDescent="0.3">
      <c r="A15" s="158">
        <v>75</v>
      </c>
      <c r="B15" s="159">
        <v>440</v>
      </c>
      <c r="C15" s="160">
        <f t="shared" si="0"/>
        <v>122</v>
      </c>
      <c r="D15" s="160">
        <f t="shared" si="1"/>
        <v>579</v>
      </c>
      <c r="E15" s="160">
        <f t="shared" si="2"/>
        <v>130</v>
      </c>
      <c r="F15" s="161">
        <f t="shared" si="3"/>
        <v>37.576000000000001</v>
      </c>
      <c r="G15" s="162">
        <f t="shared" si="4"/>
        <v>1.7428571428571429</v>
      </c>
      <c r="H15" s="159">
        <v>70</v>
      </c>
      <c r="I15" s="159">
        <v>1</v>
      </c>
      <c r="J15" s="159">
        <f t="shared" si="5"/>
        <v>7.8</v>
      </c>
      <c r="K15" s="159">
        <v>16</v>
      </c>
      <c r="L15" s="159">
        <v>150</v>
      </c>
      <c r="M15" s="159" t="s">
        <v>364</v>
      </c>
      <c r="N15" s="159" t="s">
        <v>365</v>
      </c>
      <c r="O15" s="163">
        <f t="shared" si="6"/>
        <v>152.5</v>
      </c>
      <c r="P15" s="159" t="s">
        <v>366</v>
      </c>
      <c r="Q15" s="159" t="s">
        <v>367</v>
      </c>
      <c r="R15" s="166" t="s">
        <v>355</v>
      </c>
      <c r="S15" s="164" t="s">
        <v>375</v>
      </c>
      <c r="T15" s="164" t="s">
        <v>366</v>
      </c>
      <c r="U15" s="281" t="s">
        <v>370</v>
      </c>
      <c r="V15" s="282"/>
    </row>
    <row r="16" spans="1:22" ht="16.5" x14ac:dyDescent="0.3">
      <c r="A16" s="158">
        <v>100</v>
      </c>
      <c r="B16" s="159">
        <v>380</v>
      </c>
      <c r="C16" s="160">
        <f t="shared" si="0"/>
        <v>188</v>
      </c>
      <c r="D16" s="160">
        <f t="shared" si="1"/>
        <v>500</v>
      </c>
      <c r="E16" s="160">
        <f t="shared" si="2"/>
        <v>200</v>
      </c>
      <c r="F16" s="161">
        <f t="shared" si="3"/>
        <v>57.904000000000003</v>
      </c>
      <c r="G16" s="162">
        <f t="shared" si="4"/>
        <v>1.9789473684210526</v>
      </c>
      <c r="H16" s="159">
        <v>95</v>
      </c>
      <c r="I16" s="159">
        <v>1</v>
      </c>
      <c r="J16" s="159">
        <f t="shared" si="5"/>
        <v>10.4</v>
      </c>
      <c r="K16" s="159">
        <v>16</v>
      </c>
      <c r="L16" s="159">
        <v>200</v>
      </c>
      <c r="M16" s="159" t="s">
        <v>364</v>
      </c>
      <c r="N16" s="159" t="s">
        <v>376</v>
      </c>
      <c r="O16" s="163">
        <f t="shared" si="6"/>
        <v>235</v>
      </c>
      <c r="P16" s="159" t="s">
        <v>377</v>
      </c>
      <c r="Q16" s="159" t="s">
        <v>367</v>
      </c>
      <c r="R16" s="166" t="s">
        <v>355</v>
      </c>
      <c r="S16" s="164" t="s">
        <v>375</v>
      </c>
      <c r="T16" s="164" t="s">
        <v>374</v>
      </c>
      <c r="U16" s="281" t="s">
        <v>370</v>
      </c>
      <c r="V16" s="282"/>
    </row>
    <row r="17" spans="1:22" ht="16.5" x14ac:dyDescent="0.3">
      <c r="A17" s="158">
        <v>100</v>
      </c>
      <c r="B17" s="159">
        <v>440</v>
      </c>
      <c r="C17" s="160">
        <f t="shared" si="0"/>
        <v>162</v>
      </c>
      <c r="D17" s="160">
        <f t="shared" si="1"/>
        <v>579</v>
      </c>
      <c r="E17" s="160">
        <f t="shared" si="2"/>
        <v>173</v>
      </c>
      <c r="F17" s="161">
        <f t="shared" si="3"/>
        <v>49.896000000000001</v>
      </c>
      <c r="G17" s="162">
        <f t="shared" si="4"/>
        <v>1.7052631578947368</v>
      </c>
      <c r="H17" s="159">
        <v>95</v>
      </c>
      <c r="I17" s="159">
        <v>1</v>
      </c>
      <c r="J17" s="159">
        <f t="shared" si="5"/>
        <v>10.4</v>
      </c>
      <c r="K17" s="159">
        <v>16</v>
      </c>
      <c r="L17" s="159">
        <v>200</v>
      </c>
      <c r="M17" s="159" t="s">
        <v>364</v>
      </c>
      <c r="N17" s="159" t="s">
        <v>376</v>
      </c>
      <c r="O17" s="163">
        <f t="shared" si="6"/>
        <v>202.5</v>
      </c>
      <c r="P17" s="159" t="s">
        <v>377</v>
      </c>
      <c r="Q17" s="159" t="s">
        <v>367</v>
      </c>
      <c r="R17" s="166" t="s">
        <v>355</v>
      </c>
      <c r="S17" s="164" t="s">
        <v>375</v>
      </c>
      <c r="T17" s="164" t="s">
        <v>374</v>
      </c>
      <c r="U17" s="281" t="s">
        <v>370</v>
      </c>
      <c r="V17" s="282"/>
    </row>
    <row r="18" spans="1:22" ht="16.5" x14ac:dyDescent="0.3">
      <c r="A18" s="158">
        <v>125</v>
      </c>
      <c r="B18" s="159">
        <v>380</v>
      </c>
      <c r="C18" s="160">
        <f t="shared" si="0"/>
        <v>235</v>
      </c>
      <c r="D18" s="160">
        <f t="shared" si="1"/>
        <v>500</v>
      </c>
      <c r="E18" s="160">
        <f t="shared" si="2"/>
        <v>250</v>
      </c>
      <c r="F18" s="161">
        <f t="shared" si="3"/>
        <v>72.38</v>
      </c>
      <c r="G18" s="162">
        <f t="shared" si="4"/>
        <v>1.6785714285714286</v>
      </c>
      <c r="H18" s="159">
        <v>70</v>
      </c>
      <c r="I18" s="159">
        <v>2</v>
      </c>
      <c r="J18" s="159">
        <f t="shared" si="5"/>
        <v>13</v>
      </c>
      <c r="K18" s="159">
        <v>16</v>
      </c>
      <c r="L18" s="159">
        <v>250</v>
      </c>
      <c r="M18" s="159" t="s">
        <v>372</v>
      </c>
      <c r="N18" s="159" t="s">
        <v>373</v>
      </c>
      <c r="O18" s="163">
        <f t="shared" si="6"/>
        <v>293.75</v>
      </c>
      <c r="P18" s="159" t="s">
        <v>374</v>
      </c>
      <c r="Q18" s="159" t="s">
        <v>367</v>
      </c>
      <c r="R18" s="166" t="s">
        <v>355</v>
      </c>
      <c r="S18" s="164" t="s">
        <v>378</v>
      </c>
      <c r="T18" s="164" t="s">
        <v>374</v>
      </c>
      <c r="U18" s="281" t="s">
        <v>370</v>
      </c>
      <c r="V18" s="282"/>
    </row>
    <row r="19" spans="1:22" ht="16.5" x14ac:dyDescent="0.3">
      <c r="A19" s="158">
        <v>125</v>
      </c>
      <c r="B19" s="159">
        <v>440</v>
      </c>
      <c r="C19" s="160">
        <f t="shared" si="0"/>
        <v>203</v>
      </c>
      <c r="D19" s="160">
        <f t="shared" si="1"/>
        <v>579</v>
      </c>
      <c r="E19" s="160">
        <f t="shared" si="2"/>
        <v>216</v>
      </c>
      <c r="F19" s="161">
        <f t="shared" si="3"/>
        <v>62.524000000000001</v>
      </c>
      <c r="G19" s="162">
        <f t="shared" si="4"/>
        <v>1.45</v>
      </c>
      <c r="H19" s="159">
        <v>70</v>
      </c>
      <c r="I19" s="159">
        <v>2</v>
      </c>
      <c r="J19" s="159">
        <f t="shared" si="5"/>
        <v>13</v>
      </c>
      <c r="K19" s="159">
        <v>16</v>
      </c>
      <c r="L19" s="159">
        <v>250</v>
      </c>
      <c r="M19" s="159" t="s">
        <v>379</v>
      </c>
      <c r="N19" s="159" t="s">
        <v>376</v>
      </c>
      <c r="O19" s="163">
        <f t="shared" si="6"/>
        <v>253.75</v>
      </c>
      <c r="P19" s="159" t="s">
        <v>374</v>
      </c>
      <c r="Q19" s="159" t="s">
        <v>367</v>
      </c>
      <c r="R19" s="166" t="s">
        <v>355</v>
      </c>
      <c r="S19" s="164" t="s">
        <v>378</v>
      </c>
      <c r="T19" s="164" t="s">
        <v>374</v>
      </c>
      <c r="U19" s="281" t="s">
        <v>370</v>
      </c>
      <c r="V19" s="282"/>
    </row>
    <row r="20" spans="1:22" ht="16.5" x14ac:dyDescent="0.3">
      <c r="A20" s="158">
        <v>150</v>
      </c>
      <c r="B20" s="159">
        <v>380</v>
      </c>
      <c r="C20" s="160">
        <f t="shared" si="0"/>
        <v>282</v>
      </c>
      <c r="D20" s="160">
        <f t="shared" si="1"/>
        <v>500</v>
      </c>
      <c r="E20" s="160">
        <f t="shared" si="2"/>
        <v>300</v>
      </c>
      <c r="F20" s="161">
        <f t="shared" si="3"/>
        <v>86.855999999999995</v>
      </c>
      <c r="G20" s="162">
        <f t="shared" si="4"/>
        <v>2.0142857142857142</v>
      </c>
      <c r="H20" s="159">
        <v>70</v>
      </c>
      <c r="I20" s="159">
        <v>2</v>
      </c>
      <c r="J20" s="159">
        <f t="shared" si="5"/>
        <v>15.6</v>
      </c>
      <c r="K20" s="159">
        <v>25</v>
      </c>
      <c r="L20" s="159">
        <v>300</v>
      </c>
      <c r="M20" s="159" t="s">
        <v>372</v>
      </c>
      <c r="N20" s="159" t="s">
        <v>373</v>
      </c>
      <c r="O20" s="163">
        <f t="shared" si="6"/>
        <v>352.5</v>
      </c>
      <c r="P20" s="159" t="s">
        <v>380</v>
      </c>
      <c r="Q20" s="159" t="s">
        <v>367</v>
      </c>
      <c r="R20" s="166" t="s">
        <v>355</v>
      </c>
      <c r="S20" s="164" t="s">
        <v>378</v>
      </c>
      <c r="T20" s="164" t="s">
        <v>380</v>
      </c>
      <c r="U20" s="281" t="s">
        <v>370</v>
      </c>
      <c r="V20" s="282"/>
    </row>
    <row r="21" spans="1:22" ht="16.5" x14ac:dyDescent="0.3">
      <c r="A21" s="158">
        <v>150</v>
      </c>
      <c r="B21" s="159">
        <v>440</v>
      </c>
      <c r="C21" s="160">
        <f t="shared" si="0"/>
        <v>243</v>
      </c>
      <c r="D21" s="160">
        <f t="shared" si="1"/>
        <v>579</v>
      </c>
      <c r="E21" s="160">
        <f t="shared" si="2"/>
        <v>260</v>
      </c>
      <c r="F21" s="161">
        <f t="shared" si="3"/>
        <v>74.843999999999994</v>
      </c>
      <c r="G21" s="162">
        <f t="shared" si="4"/>
        <v>1.7357142857142858</v>
      </c>
      <c r="H21" s="159">
        <v>70</v>
      </c>
      <c r="I21" s="159">
        <v>2</v>
      </c>
      <c r="J21" s="159">
        <f t="shared" si="5"/>
        <v>15.6</v>
      </c>
      <c r="K21" s="159">
        <v>25</v>
      </c>
      <c r="L21" s="159">
        <v>300</v>
      </c>
      <c r="M21" s="159" t="s">
        <v>372</v>
      </c>
      <c r="N21" s="159" t="s">
        <v>373</v>
      </c>
      <c r="O21" s="163">
        <f t="shared" si="6"/>
        <v>303.75</v>
      </c>
      <c r="P21" s="159" t="s">
        <v>374</v>
      </c>
      <c r="Q21" s="159" t="s">
        <v>367</v>
      </c>
      <c r="R21" s="166" t="s">
        <v>355</v>
      </c>
      <c r="S21" s="164" t="s">
        <v>378</v>
      </c>
      <c r="T21" s="164" t="s">
        <v>380</v>
      </c>
      <c r="U21" s="281" t="s">
        <v>370</v>
      </c>
      <c r="V21" s="282"/>
    </row>
    <row r="22" spans="1:22" ht="16.5" x14ac:dyDescent="0.3">
      <c r="A22" s="158">
        <v>200</v>
      </c>
      <c r="B22" s="159">
        <v>380</v>
      </c>
      <c r="C22" s="160">
        <f t="shared" si="0"/>
        <v>376</v>
      </c>
      <c r="D22" s="160">
        <f t="shared" si="1"/>
        <v>500</v>
      </c>
      <c r="E22" s="160">
        <f t="shared" si="2"/>
        <v>400</v>
      </c>
      <c r="F22" s="161">
        <f t="shared" si="3"/>
        <v>115.80800000000001</v>
      </c>
      <c r="G22" s="162">
        <f t="shared" si="4"/>
        <v>1.9789473684210526</v>
      </c>
      <c r="H22" s="159">
        <v>95</v>
      </c>
      <c r="I22" s="159">
        <v>2</v>
      </c>
      <c r="J22" s="159">
        <f t="shared" si="5"/>
        <v>20.8</v>
      </c>
      <c r="K22" s="159">
        <v>25</v>
      </c>
      <c r="L22" s="159">
        <v>400</v>
      </c>
      <c r="M22" s="159" t="s">
        <v>381</v>
      </c>
      <c r="N22" s="159" t="s">
        <v>373</v>
      </c>
      <c r="O22" s="163">
        <f t="shared" si="6"/>
        <v>470</v>
      </c>
      <c r="P22" s="159" t="s">
        <v>382</v>
      </c>
      <c r="Q22" s="159" t="s">
        <v>383</v>
      </c>
      <c r="R22" s="166" t="s">
        <v>355</v>
      </c>
      <c r="S22" s="164" t="s">
        <v>378</v>
      </c>
      <c r="T22" s="164" t="s">
        <v>382</v>
      </c>
      <c r="U22" s="281" t="s">
        <v>370</v>
      </c>
      <c r="V22" s="282"/>
    </row>
    <row r="23" spans="1:22" ht="16.5" x14ac:dyDescent="0.3">
      <c r="A23" s="158">
        <v>200</v>
      </c>
      <c r="B23" s="159">
        <v>440</v>
      </c>
      <c r="C23" s="160">
        <f t="shared" si="0"/>
        <v>324</v>
      </c>
      <c r="D23" s="160">
        <f t="shared" si="1"/>
        <v>579</v>
      </c>
      <c r="E23" s="160">
        <f t="shared" si="2"/>
        <v>346</v>
      </c>
      <c r="F23" s="161">
        <f t="shared" si="3"/>
        <v>99.792000000000002</v>
      </c>
      <c r="G23" s="162">
        <f t="shared" si="4"/>
        <v>1.7052631578947368</v>
      </c>
      <c r="H23" s="159">
        <v>95</v>
      </c>
      <c r="I23" s="159">
        <v>2</v>
      </c>
      <c r="J23" s="159">
        <f t="shared" si="5"/>
        <v>20.8</v>
      </c>
      <c r="K23" s="159">
        <v>25</v>
      </c>
      <c r="L23" s="159">
        <v>400</v>
      </c>
      <c r="M23" s="159" t="s">
        <v>381</v>
      </c>
      <c r="N23" s="159" t="s">
        <v>373</v>
      </c>
      <c r="O23" s="163">
        <f t="shared" si="6"/>
        <v>405</v>
      </c>
      <c r="P23" s="159" t="s">
        <v>380</v>
      </c>
      <c r="Q23" s="159" t="s">
        <v>383</v>
      </c>
      <c r="R23" s="166" t="s">
        <v>355</v>
      </c>
      <c r="S23" s="164" t="s">
        <v>378</v>
      </c>
      <c r="T23" s="164" t="s">
        <v>382</v>
      </c>
      <c r="U23" s="281" t="s">
        <v>370</v>
      </c>
      <c r="V23" s="282"/>
    </row>
    <row r="24" spans="1:22" ht="16.5" x14ac:dyDescent="0.3">
      <c r="A24" s="158">
        <v>250</v>
      </c>
      <c r="B24" s="159">
        <v>380</v>
      </c>
      <c r="C24" s="160">
        <f t="shared" si="0"/>
        <v>469</v>
      </c>
      <c r="D24" s="160">
        <f t="shared" si="1"/>
        <v>500</v>
      </c>
      <c r="E24" s="160">
        <f t="shared" si="2"/>
        <v>500</v>
      </c>
      <c r="F24" s="161">
        <f t="shared" si="3"/>
        <v>144.452</v>
      </c>
      <c r="G24" s="162">
        <f t="shared" si="4"/>
        <v>1.9541666666666666</v>
      </c>
      <c r="H24" s="159">
        <v>120</v>
      </c>
      <c r="I24" s="159">
        <v>2</v>
      </c>
      <c r="J24" s="159">
        <f t="shared" si="5"/>
        <v>26</v>
      </c>
      <c r="K24" s="159">
        <v>35</v>
      </c>
      <c r="L24" s="159">
        <v>500</v>
      </c>
      <c r="M24" s="159" t="s">
        <v>384</v>
      </c>
      <c r="N24" s="159" t="s">
        <v>385</v>
      </c>
      <c r="O24" s="163">
        <f t="shared" si="6"/>
        <v>586.25</v>
      </c>
      <c r="P24" s="159" t="s">
        <v>386</v>
      </c>
      <c r="Q24" s="159" t="s">
        <v>383</v>
      </c>
      <c r="R24" s="166" t="s">
        <v>355</v>
      </c>
      <c r="S24" s="164" t="s">
        <v>387</v>
      </c>
      <c r="T24" s="164" t="s">
        <v>386</v>
      </c>
      <c r="U24" s="281" t="s">
        <v>370</v>
      </c>
      <c r="V24" s="282"/>
    </row>
    <row r="25" spans="1:22" ht="16.5" x14ac:dyDescent="0.3">
      <c r="A25" s="158">
        <v>250</v>
      </c>
      <c r="B25" s="159">
        <v>440</v>
      </c>
      <c r="C25" s="160">
        <f t="shared" si="0"/>
        <v>405</v>
      </c>
      <c r="D25" s="160">
        <f t="shared" si="1"/>
        <v>579</v>
      </c>
      <c r="E25" s="160">
        <f t="shared" si="2"/>
        <v>432</v>
      </c>
      <c r="F25" s="161">
        <f t="shared" si="3"/>
        <v>124.74</v>
      </c>
      <c r="G25" s="162">
        <f t="shared" si="4"/>
        <v>1.6875</v>
      </c>
      <c r="H25" s="159">
        <v>120</v>
      </c>
      <c r="I25" s="159">
        <v>2</v>
      </c>
      <c r="J25" s="159">
        <f t="shared" si="5"/>
        <v>26</v>
      </c>
      <c r="K25" s="159">
        <v>35</v>
      </c>
      <c r="L25" s="159">
        <v>500</v>
      </c>
      <c r="M25" s="159" t="s">
        <v>384</v>
      </c>
      <c r="N25" s="159" t="s">
        <v>388</v>
      </c>
      <c r="O25" s="163">
        <f t="shared" si="6"/>
        <v>506.25</v>
      </c>
      <c r="P25" s="159" t="s">
        <v>382</v>
      </c>
      <c r="Q25" s="159" t="s">
        <v>383</v>
      </c>
      <c r="R25" s="166" t="s">
        <v>355</v>
      </c>
      <c r="S25" s="164" t="s">
        <v>387</v>
      </c>
      <c r="T25" s="164" t="s">
        <v>386</v>
      </c>
      <c r="U25" s="281" t="s">
        <v>370</v>
      </c>
      <c r="V25" s="282"/>
    </row>
    <row r="26" spans="1:22" ht="16.5" x14ac:dyDescent="0.3">
      <c r="A26" s="158">
        <v>300</v>
      </c>
      <c r="B26" s="159">
        <v>380</v>
      </c>
      <c r="C26" s="160">
        <f t="shared" si="0"/>
        <v>563</v>
      </c>
      <c r="D26" s="160">
        <f t="shared" si="1"/>
        <v>500</v>
      </c>
      <c r="E26" s="160">
        <f t="shared" si="2"/>
        <v>600</v>
      </c>
      <c r="F26" s="161">
        <f t="shared" si="3"/>
        <v>173.404</v>
      </c>
      <c r="G26" s="162">
        <f t="shared" si="4"/>
        <v>1.8766666666666667</v>
      </c>
      <c r="H26" s="159">
        <v>150</v>
      </c>
      <c r="I26" s="159">
        <v>2</v>
      </c>
      <c r="J26" s="159">
        <f t="shared" si="5"/>
        <v>32.76</v>
      </c>
      <c r="K26" s="159">
        <v>35</v>
      </c>
      <c r="L26" s="159">
        <v>630</v>
      </c>
      <c r="M26" s="159" t="s">
        <v>389</v>
      </c>
      <c r="N26" s="159" t="s">
        <v>385</v>
      </c>
      <c r="O26" s="163">
        <f t="shared" si="6"/>
        <v>703.75</v>
      </c>
      <c r="P26" s="159" t="s">
        <v>390</v>
      </c>
      <c r="Q26" s="159" t="s">
        <v>383</v>
      </c>
      <c r="R26" s="166" t="s">
        <v>355</v>
      </c>
      <c r="S26" s="164" t="s">
        <v>387</v>
      </c>
      <c r="T26" s="164" t="s">
        <v>390</v>
      </c>
      <c r="U26" s="281" t="s">
        <v>370</v>
      </c>
      <c r="V26" s="282"/>
    </row>
    <row r="27" spans="1:22" ht="16.5" x14ac:dyDescent="0.3">
      <c r="A27" s="158">
        <v>300</v>
      </c>
      <c r="B27" s="159">
        <v>440</v>
      </c>
      <c r="C27" s="160">
        <f t="shared" si="0"/>
        <v>486</v>
      </c>
      <c r="D27" s="160">
        <f t="shared" si="1"/>
        <v>579</v>
      </c>
      <c r="E27" s="160">
        <f t="shared" si="2"/>
        <v>519</v>
      </c>
      <c r="F27" s="161">
        <f t="shared" si="3"/>
        <v>149.68799999999999</v>
      </c>
      <c r="G27" s="162">
        <f t="shared" si="4"/>
        <v>1.62</v>
      </c>
      <c r="H27" s="159">
        <v>150</v>
      </c>
      <c r="I27" s="159">
        <v>2</v>
      </c>
      <c r="J27" s="159">
        <f t="shared" si="5"/>
        <v>32.76</v>
      </c>
      <c r="K27" s="159">
        <v>35</v>
      </c>
      <c r="L27" s="159">
        <v>630</v>
      </c>
      <c r="M27" s="159" t="s">
        <v>389</v>
      </c>
      <c r="N27" s="159" t="s">
        <v>385</v>
      </c>
      <c r="O27" s="163">
        <f t="shared" si="6"/>
        <v>607.5</v>
      </c>
      <c r="P27" s="159" t="s">
        <v>386</v>
      </c>
      <c r="Q27" s="159" t="s">
        <v>383</v>
      </c>
      <c r="R27" s="166" t="s">
        <v>355</v>
      </c>
      <c r="S27" s="164" t="s">
        <v>387</v>
      </c>
      <c r="T27" s="164" t="s">
        <v>390</v>
      </c>
      <c r="U27" s="281" t="s">
        <v>370</v>
      </c>
      <c r="V27" s="282"/>
    </row>
    <row r="28" spans="1:22" ht="16.5" x14ac:dyDescent="0.3">
      <c r="A28" s="158">
        <v>350</v>
      </c>
      <c r="B28" s="159">
        <v>440</v>
      </c>
      <c r="C28" s="160">
        <f t="shared" si="0"/>
        <v>567</v>
      </c>
      <c r="D28" s="160">
        <f t="shared" si="1"/>
        <v>579</v>
      </c>
      <c r="E28" s="160">
        <f t="shared" si="2"/>
        <v>605</v>
      </c>
      <c r="F28" s="161">
        <f t="shared" si="3"/>
        <v>174.636</v>
      </c>
      <c r="G28" s="162">
        <f t="shared" si="4"/>
        <v>1.89</v>
      </c>
      <c r="H28" s="159">
        <v>150</v>
      </c>
      <c r="I28" s="159">
        <v>2</v>
      </c>
      <c r="J28" s="159">
        <f t="shared" si="5"/>
        <v>36.4</v>
      </c>
      <c r="K28" s="159">
        <v>50</v>
      </c>
      <c r="L28" s="159">
        <v>700</v>
      </c>
      <c r="M28" s="159" t="s">
        <v>391</v>
      </c>
      <c r="N28" s="159" t="s">
        <v>392</v>
      </c>
      <c r="O28" s="163">
        <f t="shared" si="6"/>
        <v>708.75</v>
      </c>
      <c r="P28" s="159" t="s">
        <v>390</v>
      </c>
      <c r="Q28" s="159" t="s">
        <v>383</v>
      </c>
      <c r="R28" s="166" t="s">
        <v>355</v>
      </c>
      <c r="S28" s="164" t="s">
        <v>387</v>
      </c>
      <c r="T28" s="164" t="s">
        <v>390</v>
      </c>
      <c r="U28" s="281" t="s">
        <v>370</v>
      </c>
      <c r="V28" s="282"/>
    </row>
    <row r="29" spans="1:22" ht="16.5" x14ac:dyDescent="0.3">
      <c r="A29" s="158">
        <v>400</v>
      </c>
      <c r="B29" s="159">
        <v>440</v>
      </c>
      <c r="C29" s="160">
        <f t="shared" si="0"/>
        <v>648</v>
      </c>
      <c r="D29" s="160">
        <f t="shared" si="1"/>
        <v>579</v>
      </c>
      <c r="E29" s="160">
        <f t="shared" si="2"/>
        <v>691</v>
      </c>
      <c r="F29" s="161">
        <f t="shared" si="3"/>
        <v>199.584</v>
      </c>
      <c r="G29" s="162">
        <f t="shared" si="4"/>
        <v>2.16</v>
      </c>
      <c r="H29" s="159">
        <v>150</v>
      </c>
      <c r="I29" s="159">
        <v>2</v>
      </c>
      <c r="J29" s="159">
        <f t="shared" si="5"/>
        <v>41.6</v>
      </c>
      <c r="K29" s="159">
        <v>50</v>
      </c>
      <c r="L29" s="159">
        <v>800</v>
      </c>
      <c r="M29" s="159" t="s">
        <v>391</v>
      </c>
      <c r="N29" s="159" t="s">
        <v>392</v>
      </c>
      <c r="O29" s="163">
        <f t="shared" si="6"/>
        <v>810</v>
      </c>
      <c r="P29" s="159" t="s">
        <v>390</v>
      </c>
      <c r="Q29" s="159" t="s">
        <v>393</v>
      </c>
      <c r="R29" s="166" t="s">
        <v>355</v>
      </c>
      <c r="S29" s="164" t="s">
        <v>387</v>
      </c>
      <c r="T29" s="164" t="s">
        <v>394</v>
      </c>
      <c r="U29" s="281" t="s">
        <v>370</v>
      </c>
      <c r="V29" s="282"/>
    </row>
    <row r="30" spans="1:22" ht="16.5" x14ac:dyDescent="0.3">
      <c r="A30" s="158">
        <v>450</v>
      </c>
      <c r="B30" s="159">
        <v>440</v>
      </c>
      <c r="C30" s="160">
        <f t="shared" si="0"/>
        <v>729</v>
      </c>
      <c r="D30" s="160">
        <f t="shared" si="1"/>
        <v>579</v>
      </c>
      <c r="E30" s="160">
        <f t="shared" si="2"/>
        <v>778</v>
      </c>
      <c r="F30" s="161"/>
      <c r="G30" s="162">
        <f t="shared" si="4"/>
        <v>1.9702702702702704</v>
      </c>
      <c r="H30" s="159">
        <v>185</v>
      </c>
      <c r="I30" s="159">
        <v>2</v>
      </c>
      <c r="J30" s="159">
        <f t="shared" si="5"/>
        <v>41.6</v>
      </c>
      <c r="K30" s="159">
        <v>50</v>
      </c>
      <c r="L30" s="159">
        <v>800</v>
      </c>
      <c r="M30" s="159" t="s">
        <v>391</v>
      </c>
      <c r="N30" s="159" t="s">
        <v>395</v>
      </c>
      <c r="O30" s="163">
        <f t="shared" si="6"/>
        <v>911.25</v>
      </c>
      <c r="P30" s="159" t="s">
        <v>396</v>
      </c>
      <c r="Q30" s="159" t="s">
        <v>393</v>
      </c>
      <c r="R30" s="166" t="s">
        <v>355</v>
      </c>
      <c r="S30" s="164" t="s">
        <v>387</v>
      </c>
      <c r="T30" s="164" t="s">
        <v>394</v>
      </c>
      <c r="U30" s="281" t="s">
        <v>370</v>
      </c>
      <c r="V30" s="282"/>
    </row>
    <row r="31" spans="1:22" ht="16.5" x14ac:dyDescent="0.3">
      <c r="A31" s="158">
        <v>500</v>
      </c>
      <c r="B31" s="159">
        <v>440</v>
      </c>
      <c r="C31" s="160">
        <f t="shared" si="0"/>
        <v>810</v>
      </c>
      <c r="D31" s="160">
        <f t="shared" si="1"/>
        <v>579</v>
      </c>
      <c r="E31" s="160">
        <f t="shared" si="2"/>
        <v>864</v>
      </c>
      <c r="F31" s="161">
        <f t="shared" si="3"/>
        <v>249.48</v>
      </c>
      <c r="G31" s="162">
        <f t="shared" si="4"/>
        <v>2.189189189189189</v>
      </c>
      <c r="H31" s="159">
        <v>185</v>
      </c>
      <c r="I31" s="159">
        <v>2</v>
      </c>
      <c r="J31" s="159">
        <f t="shared" si="5"/>
        <v>52</v>
      </c>
      <c r="K31" s="159">
        <v>70</v>
      </c>
      <c r="L31" s="159">
        <v>1000</v>
      </c>
      <c r="M31" s="159" t="s">
        <v>397</v>
      </c>
      <c r="N31" s="159" t="s">
        <v>398</v>
      </c>
      <c r="O31" s="163">
        <f t="shared" si="6"/>
        <v>1012.5</v>
      </c>
      <c r="P31" s="159" t="s">
        <v>394</v>
      </c>
      <c r="Q31" s="159" t="s">
        <v>393</v>
      </c>
      <c r="R31" s="166" t="s">
        <v>355</v>
      </c>
      <c r="S31" s="164" t="s">
        <v>399</v>
      </c>
      <c r="T31" s="164" t="s">
        <v>400</v>
      </c>
      <c r="U31" s="281" t="s">
        <v>370</v>
      </c>
      <c r="V31" s="282"/>
    </row>
    <row r="32" spans="1:22" ht="16.5" x14ac:dyDescent="0.3">
      <c r="A32" s="158">
        <v>600</v>
      </c>
      <c r="B32" s="159">
        <v>460</v>
      </c>
      <c r="C32" s="160">
        <f t="shared" si="0"/>
        <v>930</v>
      </c>
      <c r="D32" s="160">
        <f t="shared" si="1"/>
        <v>606</v>
      </c>
      <c r="E32" s="160">
        <f t="shared" si="2"/>
        <v>991</v>
      </c>
      <c r="F32" s="161">
        <f t="shared" si="3"/>
        <v>286.44</v>
      </c>
      <c r="G32" s="162">
        <f t="shared" si="4"/>
        <v>1.6756756756756757</v>
      </c>
      <c r="H32" s="159">
        <v>185</v>
      </c>
      <c r="I32" s="159">
        <v>3</v>
      </c>
      <c r="J32" s="159">
        <f t="shared" si="5"/>
        <v>62.4</v>
      </c>
      <c r="K32" s="159">
        <v>70</v>
      </c>
      <c r="L32" s="159">
        <v>1200</v>
      </c>
      <c r="M32" s="159" t="s">
        <v>401</v>
      </c>
      <c r="N32" s="159" t="s">
        <v>398</v>
      </c>
      <c r="O32" s="163">
        <f t="shared" si="6"/>
        <v>1162.5</v>
      </c>
      <c r="P32" s="159" t="s">
        <v>402</v>
      </c>
      <c r="Q32" s="159" t="s">
        <v>393</v>
      </c>
      <c r="R32" s="166" t="s">
        <v>355</v>
      </c>
      <c r="S32" s="164" t="s">
        <v>403</v>
      </c>
      <c r="T32" s="164" t="s">
        <v>400</v>
      </c>
      <c r="U32" s="159" t="s">
        <v>404</v>
      </c>
      <c r="V32" s="167" t="s">
        <v>405</v>
      </c>
    </row>
    <row r="33" spans="1:22" ht="16.5" x14ac:dyDescent="0.3">
      <c r="A33" s="158">
        <v>700</v>
      </c>
      <c r="B33" s="159">
        <v>460</v>
      </c>
      <c r="C33" s="160">
        <f t="shared" si="0"/>
        <v>1085</v>
      </c>
      <c r="D33" s="160">
        <f t="shared" si="1"/>
        <v>606</v>
      </c>
      <c r="E33" s="160">
        <f t="shared" si="2"/>
        <v>1156</v>
      </c>
      <c r="F33" s="161">
        <f t="shared" si="3"/>
        <v>334.18</v>
      </c>
      <c r="G33" s="162">
        <f t="shared" si="4"/>
        <v>1.4662162162162162</v>
      </c>
      <c r="H33" s="159">
        <v>185</v>
      </c>
      <c r="I33" s="159">
        <v>4</v>
      </c>
      <c r="J33" s="159">
        <f t="shared" si="5"/>
        <v>65</v>
      </c>
      <c r="K33" s="159">
        <v>70</v>
      </c>
      <c r="L33" s="159">
        <v>1250</v>
      </c>
      <c r="M33" s="159" t="s">
        <v>406</v>
      </c>
      <c r="N33" s="159" t="s">
        <v>407</v>
      </c>
      <c r="O33" s="163">
        <f t="shared" si="6"/>
        <v>1356.25</v>
      </c>
      <c r="P33" s="166" t="s">
        <v>408</v>
      </c>
      <c r="Q33" s="159" t="s">
        <v>409</v>
      </c>
      <c r="R33" s="166" t="s">
        <v>408</v>
      </c>
      <c r="S33" s="164" t="s">
        <v>410</v>
      </c>
      <c r="T33" s="164" t="s">
        <v>411</v>
      </c>
      <c r="U33" s="159" t="s">
        <v>412</v>
      </c>
      <c r="V33" s="167" t="s">
        <v>413</v>
      </c>
    </row>
    <row r="34" spans="1:22" ht="16.5" x14ac:dyDescent="0.3">
      <c r="A34" s="158">
        <v>750</v>
      </c>
      <c r="B34" s="159">
        <v>460</v>
      </c>
      <c r="C34" s="160">
        <f t="shared" si="0"/>
        <v>1163</v>
      </c>
      <c r="D34" s="160">
        <f t="shared" si="1"/>
        <v>606</v>
      </c>
      <c r="E34" s="160">
        <f t="shared" si="2"/>
        <v>1238</v>
      </c>
      <c r="F34" s="161">
        <f t="shared" si="3"/>
        <v>358.20400000000001</v>
      </c>
      <c r="G34" s="162">
        <f t="shared" si="4"/>
        <v>1.5716216216216217</v>
      </c>
      <c r="H34" s="159">
        <v>185</v>
      </c>
      <c r="I34" s="159">
        <v>4</v>
      </c>
      <c r="J34" s="159">
        <f t="shared" si="5"/>
        <v>65</v>
      </c>
      <c r="K34" s="159">
        <v>70</v>
      </c>
      <c r="L34" s="159">
        <v>1250</v>
      </c>
      <c r="M34" s="159" t="s">
        <v>406</v>
      </c>
      <c r="N34" s="159" t="s">
        <v>407</v>
      </c>
      <c r="O34" s="163">
        <f t="shared" si="6"/>
        <v>1453.75</v>
      </c>
      <c r="P34" s="166" t="s">
        <v>408</v>
      </c>
      <c r="Q34" s="159" t="s">
        <v>409</v>
      </c>
      <c r="R34" s="166" t="s">
        <v>408</v>
      </c>
      <c r="S34" s="164" t="s">
        <v>410</v>
      </c>
      <c r="T34" s="164" t="s">
        <v>414</v>
      </c>
      <c r="U34" s="159" t="s">
        <v>412</v>
      </c>
      <c r="V34" s="167" t="s">
        <v>413</v>
      </c>
    </row>
    <row r="35" spans="1:22" ht="16.5" x14ac:dyDescent="0.3">
      <c r="A35" s="158">
        <v>800</v>
      </c>
      <c r="B35" s="159">
        <v>460</v>
      </c>
      <c r="C35" s="160">
        <f t="shared" si="0"/>
        <v>1240</v>
      </c>
      <c r="D35" s="160">
        <f t="shared" si="1"/>
        <v>606</v>
      </c>
      <c r="E35" s="160">
        <f t="shared" si="2"/>
        <v>1321</v>
      </c>
      <c r="F35" s="161">
        <f t="shared" si="3"/>
        <v>381.92</v>
      </c>
      <c r="G35" s="162">
        <f t="shared" si="4"/>
        <v>1.6756756756756757</v>
      </c>
      <c r="H35" s="159">
        <v>185</v>
      </c>
      <c r="I35" s="159">
        <v>4</v>
      </c>
      <c r="J35" s="159">
        <f t="shared" si="5"/>
        <v>83.2</v>
      </c>
      <c r="K35" s="159">
        <v>95</v>
      </c>
      <c r="L35" s="159">
        <v>1600</v>
      </c>
      <c r="M35" s="159" t="s">
        <v>415</v>
      </c>
      <c r="N35" s="159" t="s">
        <v>416</v>
      </c>
      <c r="O35" s="163">
        <f t="shared" si="6"/>
        <v>1550</v>
      </c>
      <c r="P35" s="166" t="s">
        <v>408</v>
      </c>
      <c r="Q35" s="159" t="s">
        <v>409</v>
      </c>
      <c r="R35" s="166" t="s">
        <v>408</v>
      </c>
      <c r="S35" s="164" t="s">
        <v>410</v>
      </c>
      <c r="T35" s="164" t="s">
        <v>414</v>
      </c>
      <c r="U35" s="159" t="s">
        <v>412</v>
      </c>
      <c r="V35" s="167" t="s">
        <v>413</v>
      </c>
    </row>
    <row r="36" spans="1:22" ht="16.5" x14ac:dyDescent="0.3">
      <c r="A36" s="158">
        <v>1000</v>
      </c>
      <c r="B36" s="159">
        <v>460</v>
      </c>
      <c r="C36" s="160">
        <f t="shared" si="0"/>
        <v>1550</v>
      </c>
      <c r="D36" s="160">
        <f t="shared" si="1"/>
        <v>606</v>
      </c>
      <c r="E36" s="160">
        <f t="shared" si="2"/>
        <v>1651</v>
      </c>
      <c r="F36" s="161">
        <f t="shared" si="3"/>
        <v>477.4</v>
      </c>
      <c r="G36" s="162">
        <f t="shared" si="4"/>
        <v>1.6145833333333333</v>
      </c>
      <c r="H36" s="159">
        <v>240</v>
      </c>
      <c r="I36" s="159">
        <v>4</v>
      </c>
      <c r="J36" s="159">
        <f t="shared" si="5"/>
        <v>104</v>
      </c>
      <c r="K36" s="159">
        <v>120</v>
      </c>
      <c r="L36" s="159">
        <v>2000</v>
      </c>
      <c r="M36" s="159" t="s">
        <v>417</v>
      </c>
      <c r="N36" s="159" t="s">
        <v>418</v>
      </c>
      <c r="O36" s="163">
        <f t="shared" si="6"/>
        <v>1937.5</v>
      </c>
      <c r="P36" s="166" t="s">
        <v>408</v>
      </c>
      <c r="Q36" s="159" t="s">
        <v>419</v>
      </c>
      <c r="R36" s="159" t="s">
        <v>420</v>
      </c>
      <c r="S36" s="164" t="s">
        <v>410</v>
      </c>
      <c r="T36" s="164" t="s">
        <v>421</v>
      </c>
      <c r="U36" s="159" t="s">
        <v>412</v>
      </c>
      <c r="V36" s="167" t="s">
        <v>413</v>
      </c>
    </row>
    <row r="37" spans="1:22" ht="16.5" x14ac:dyDescent="0.3">
      <c r="A37" s="158">
        <v>1200</v>
      </c>
      <c r="B37" s="159">
        <v>460</v>
      </c>
      <c r="C37" s="160">
        <f t="shared" si="0"/>
        <v>1860</v>
      </c>
      <c r="D37" s="160">
        <f t="shared" si="1"/>
        <v>606</v>
      </c>
      <c r="E37" s="160">
        <f t="shared" si="2"/>
        <v>1981</v>
      </c>
      <c r="F37" s="161">
        <f t="shared" si="3"/>
        <v>572.88</v>
      </c>
      <c r="G37" s="162">
        <f t="shared" si="4"/>
        <v>1.55</v>
      </c>
      <c r="H37" s="159">
        <v>300</v>
      </c>
      <c r="I37" s="159">
        <v>4</v>
      </c>
      <c r="J37" s="159">
        <f t="shared" si="5"/>
        <v>130</v>
      </c>
      <c r="K37" s="159">
        <v>150</v>
      </c>
      <c r="L37" s="159">
        <v>2500</v>
      </c>
      <c r="M37" s="159" t="s">
        <v>422</v>
      </c>
      <c r="N37" s="159" t="s">
        <v>423</v>
      </c>
      <c r="O37" s="163">
        <f t="shared" si="6"/>
        <v>2325</v>
      </c>
      <c r="P37" s="166" t="s">
        <v>408</v>
      </c>
      <c r="Q37" s="159"/>
      <c r="R37" s="159" t="s">
        <v>420</v>
      </c>
      <c r="S37" s="164" t="s">
        <v>410</v>
      </c>
      <c r="T37" s="164" t="s">
        <v>421</v>
      </c>
      <c r="U37" s="159" t="s">
        <v>412</v>
      </c>
      <c r="V37" s="167" t="s">
        <v>424</v>
      </c>
    </row>
    <row r="38" spans="1:22" ht="16.5" x14ac:dyDescent="0.3">
      <c r="A38" s="158">
        <v>1250</v>
      </c>
      <c r="B38" s="159">
        <v>460</v>
      </c>
      <c r="C38" s="160">
        <f t="shared" si="0"/>
        <v>1937</v>
      </c>
      <c r="D38" s="160">
        <f t="shared" si="1"/>
        <v>606</v>
      </c>
      <c r="E38" s="160">
        <f t="shared" si="2"/>
        <v>2063</v>
      </c>
      <c r="F38" s="161">
        <f t="shared" si="3"/>
        <v>596.596</v>
      </c>
      <c r="G38" s="162">
        <f t="shared" si="4"/>
        <v>1.6141666666666667</v>
      </c>
      <c r="H38" s="159">
        <v>300</v>
      </c>
      <c r="I38" s="159">
        <v>4</v>
      </c>
      <c r="J38" s="159">
        <f t="shared" si="5"/>
        <v>130</v>
      </c>
      <c r="K38" s="159">
        <v>150</v>
      </c>
      <c r="L38" s="159">
        <v>2500</v>
      </c>
      <c r="M38" s="159" t="s">
        <v>425</v>
      </c>
      <c r="N38" s="159" t="s">
        <v>426</v>
      </c>
      <c r="O38" s="163">
        <f t="shared" si="6"/>
        <v>2421.25</v>
      </c>
      <c r="P38" s="166" t="s">
        <v>427</v>
      </c>
      <c r="Q38" s="159"/>
      <c r="R38" s="159" t="s">
        <v>428</v>
      </c>
      <c r="S38" s="164" t="s">
        <v>429</v>
      </c>
      <c r="T38" s="164" t="s">
        <v>430</v>
      </c>
      <c r="U38" s="159" t="s">
        <v>431</v>
      </c>
      <c r="V38" s="167" t="s">
        <v>424</v>
      </c>
    </row>
    <row r="39" spans="1:22" ht="16.5" x14ac:dyDescent="0.3">
      <c r="A39" s="158">
        <v>1500</v>
      </c>
      <c r="B39" s="159">
        <v>460</v>
      </c>
      <c r="C39" s="160">
        <f t="shared" si="0"/>
        <v>2325</v>
      </c>
      <c r="D39" s="160">
        <f t="shared" si="1"/>
        <v>606</v>
      </c>
      <c r="E39" s="160">
        <f t="shared" si="2"/>
        <v>2476</v>
      </c>
      <c r="F39" s="161">
        <f t="shared" si="3"/>
        <v>716.1</v>
      </c>
      <c r="G39" s="162">
        <f t="shared" si="4"/>
        <v>1.55</v>
      </c>
      <c r="H39" s="159">
        <v>300</v>
      </c>
      <c r="I39" s="159">
        <v>5</v>
      </c>
      <c r="J39" s="159">
        <f t="shared" si="5"/>
        <v>130</v>
      </c>
      <c r="K39" s="159">
        <v>150</v>
      </c>
      <c r="L39" s="159">
        <v>2500</v>
      </c>
      <c r="M39" s="159" t="s">
        <v>425</v>
      </c>
      <c r="N39" s="159" t="s">
        <v>426</v>
      </c>
      <c r="O39" s="163">
        <f t="shared" si="6"/>
        <v>2906.25</v>
      </c>
      <c r="P39" s="166" t="s">
        <v>427</v>
      </c>
      <c r="Q39" s="159" t="s">
        <v>432</v>
      </c>
      <c r="R39" s="159" t="s">
        <v>428</v>
      </c>
      <c r="S39" s="164" t="s">
        <v>429</v>
      </c>
      <c r="T39" s="164" t="s">
        <v>433</v>
      </c>
      <c r="U39" s="159" t="s">
        <v>412</v>
      </c>
      <c r="V39" s="167" t="s">
        <v>434</v>
      </c>
    </row>
    <row r="40" spans="1:22" ht="16.5" x14ac:dyDescent="0.3">
      <c r="A40" s="158">
        <v>1500</v>
      </c>
      <c r="B40" s="159">
        <v>650</v>
      </c>
      <c r="C40" s="160">
        <f t="shared" si="0"/>
        <v>1645</v>
      </c>
      <c r="D40" s="160">
        <f t="shared" si="1"/>
        <v>855</v>
      </c>
      <c r="E40" s="160">
        <f t="shared" si="2"/>
        <v>1755</v>
      </c>
      <c r="F40" s="161">
        <f t="shared" si="3"/>
        <v>506.66</v>
      </c>
      <c r="G40" s="162">
        <f t="shared" si="4"/>
        <v>1.7135416666666667</v>
      </c>
      <c r="H40" s="159">
        <v>240</v>
      </c>
      <c r="I40" s="159">
        <v>4</v>
      </c>
      <c r="J40" s="159">
        <f t="shared" si="5"/>
        <v>104</v>
      </c>
      <c r="K40" s="159">
        <v>120</v>
      </c>
      <c r="L40" s="159">
        <v>2000</v>
      </c>
      <c r="M40" s="159" t="s">
        <v>417</v>
      </c>
      <c r="N40" s="159" t="s">
        <v>418</v>
      </c>
      <c r="O40" s="163">
        <f t="shared" si="6"/>
        <v>2056.25</v>
      </c>
      <c r="P40" s="166" t="s">
        <v>408</v>
      </c>
      <c r="Q40" s="159"/>
      <c r="R40" s="159" t="s">
        <v>420</v>
      </c>
      <c r="S40" s="164" t="s">
        <v>410</v>
      </c>
      <c r="T40" s="164" t="s">
        <v>421</v>
      </c>
      <c r="U40" s="159" t="s">
        <v>412</v>
      </c>
      <c r="V40" s="167" t="s">
        <v>434</v>
      </c>
    </row>
    <row r="41" spans="1:22" ht="16.5" x14ac:dyDescent="0.3">
      <c r="A41" s="158">
        <v>1600</v>
      </c>
      <c r="B41" s="159">
        <v>690</v>
      </c>
      <c r="C41" s="160">
        <f>ROUNDUP(A41/(B41*0.9)/3^0.5*1000/0.9,0)</f>
        <v>1653</v>
      </c>
      <c r="D41" s="160">
        <f>ROUNDUP(B41*2^0.5*0.93,0)</f>
        <v>908</v>
      </c>
      <c r="E41" s="160">
        <f>ROUNDUP(A41*1000/D41,0)</f>
        <v>1763</v>
      </c>
      <c r="F41" s="161">
        <f>30.8*100*C41/(1000*10)</f>
        <v>509.12400000000002</v>
      </c>
      <c r="G41" s="162">
        <f>C41/(H41*I41)</f>
        <v>1.721875</v>
      </c>
      <c r="H41" s="159">
        <v>240</v>
      </c>
      <c r="I41" s="159">
        <v>4</v>
      </c>
      <c r="J41" s="159">
        <f>L41*0.052</f>
        <v>104</v>
      </c>
      <c r="K41" s="159">
        <v>120</v>
      </c>
      <c r="L41" s="159">
        <v>2000</v>
      </c>
      <c r="M41" s="159" t="s">
        <v>417</v>
      </c>
      <c r="N41" s="159" t="s">
        <v>418</v>
      </c>
      <c r="O41" s="163">
        <f>SUM(C41*1.25)</f>
        <v>2066.25</v>
      </c>
      <c r="P41" s="166" t="s">
        <v>355</v>
      </c>
      <c r="Q41" s="159"/>
      <c r="R41" s="159" t="s">
        <v>420</v>
      </c>
      <c r="S41" s="164" t="s">
        <v>410</v>
      </c>
      <c r="T41" s="164" t="s">
        <v>421</v>
      </c>
      <c r="U41" s="159" t="s">
        <v>404</v>
      </c>
      <c r="V41" s="167" t="s">
        <v>593</v>
      </c>
    </row>
    <row r="42" spans="1:22" ht="16.5" x14ac:dyDescent="0.3">
      <c r="A42" s="158">
        <v>2000</v>
      </c>
      <c r="B42" s="159">
        <v>460</v>
      </c>
      <c r="C42" s="160">
        <f t="shared" si="0"/>
        <v>3100</v>
      </c>
      <c r="D42" s="160">
        <f t="shared" si="1"/>
        <v>606</v>
      </c>
      <c r="E42" s="160">
        <f t="shared" si="2"/>
        <v>3301</v>
      </c>
      <c r="F42" s="161">
        <f t="shared" si="3"/>
        <v>954.8</v>
      </c>
      <c r="G42" s="162">
        <f t="shared" si="4"/>
        <v>1.2916666666666667</v>
      </c>
      <c r="H42" s="159">
        <v>400</v>
      </c>
      <c r="I42" s="159">
        <v>6</v>
      </c>
      <c r="J42" s="159">
        <f t="shared" si="5"/>
        <v>166.4</v>
      </c>
      <c r="K42" s="159">
        <v>185</v>
      </c>
      <c r="L42" s="159">
        <v>3200</v>
      </c>
      <c r="M42" s="159" t="s">
        <v>435</v>
      </c>
      <c r="N42" s="159" t="s">
        <v>436</v>
      </c>
      <c r="O42" s="163">
        <f t="shared" si="6"/>
        <v>3875</v>
      </c>
      <c r="P42" s="166" t="s">
        <v>408</v>
      </c>
      <c r="Q42" s="159" t="s">
        <v>437</v>
      </c>
      <c r="R42" s="159" t="s">
        <v>438</v>
      </c>
      <c r="S42" s="164" t="s">
        <v>410</v>
      </c>
      <c r="T42" s="164" t="s">
        <v>439</v>
      </c>
      <c r="U42" s="159" t="s">
        <v>412</v>
      </c>
      <c r="V42" s="167" t="s">
        <v>440</v>
      </c>
    </row>
    <row r="43" spans="1:22" ht="16.5" x14ac:dyDescent="0.3">
      <c r="A43" s="158">
        <v>2000</v>
      </c>
      <c r="B43" s="159">
        <v>650</v>
      </c>
      <c r="C43" s="160">
        <f t="shared" si="0"/>
        <v>2194</v>
      </c>
      <c r="D43" s="160">
        <f t="shared" si="1"/>
        <v>855</v>
      </c>
      <c r="E43" s="160">
        <f t="shared" si="2"/>
        <v>2340</v>
      </c>
      <c r="F43" s="161">
        <f t="shared" si="3"/>
        <v>675.75199999999995</v>
      </c>
      <c r="G43" s="162">
        <f t="shared" si="4"/>
        <v>1.4626666666666666</v>
      </c>
      <c r="H43" s="159">
        <v>300</v>
      </c>
      <c r="I43" s="159">
        <v>5</v>
      </c>
      <c r="J43" s="159">
        <f t="shared" si="5"/>
        <v>130</v>
      </c>
      <c r="K43" s="159">
        <v>150</v>
      </c>
      <c r="L43" s="159">
        <v>2500</v>
      </c>
      <c r="M43" s="159" t="s">
        <v>422</v>
      </c>
      <c r="N43" s="159" t="s">
        <v>423</v>
      </c>
      <c r="O43" s="163">
        <f t="shared" si="6"/>
        <v>2742.5</v>
      </c>
      <c r="P43" s="166" t="s">
        <v>408</v>
      </c>
      <c r="Q43" s="159" t="s">
        <v>441</v>
      </c>
      <c r="R43" s="159" t="s">
        <v>420</v>
      </c>
      <c r="S43" s="164" t="s">
        <v>410</v>
      </c>
      <c r="T43" s="164" t="s">
        <v>433</v>
      </c>
      <c r="U43" s="159" t="s">
        <v>412</v>
      </c>
      <c r="V43" s="167" t="s">
        <v>434</v>
      </c>
    </row>
    <row r="44" spans="1:22" ht="16.5" x14ac:dyDescent="0.3">
      <c r="A44" s="158">
        <v>2500</v>
      </c>
      <c r="B44" s="159">
        <v>460</v>
      </c>
      <c r="C44" s="160">
        <f t="shared" si="0"/>
        <v>3874</v>
      </c>
      <c r="D44" s="160">
        <f t="shared" si="1"/>
        <v>606</v>
      </c>
      <c r="E44" s="160">
        <f t="shared" si="2"/>
        <v>4126</v>
      </c>
      <c r="F44" s="161">
        <f t="shared" si="3"/>
        <v>1193.192</v>
      </c>
      <c r="G44" s="162">
        <f t="shared" si="4"/>
        <v>1.6141666666666667</v>
      </c>
      <c r="H44" s="159">
        <v>400</v>
      </c>
      <c r="I44" s="159">
        <v>6</v>
      </c>
      <c r="J44" s="159">
        <f t="shared" si="5"/>
        <v>208</v>
      </c>
      <c r="K44" s="159">
        <v>240</v>
      </c>
      <c r="L44" s="159">
        <v>4000</v>
      </c>
      <c r="M44" s="159" t="s">
        <v>442</v>
      </c>
      <c r="N44" s="159" t="s">
        <v>436</v>
      </c>
      <c r="O44" s="163">
        <f t="shared" si="6"/>
        <v>4842.5</v>
      </c>
      <c r="P44" s="166" t="s">
        <v>408</v>
      </c>
      <c r="Q44" s="159" t="s">
        <v>437</v>
      </c>
      <c r="R44" s="159" t="s">
        <v>438</v>
      </c>
      <c r="S44" s="164" t="s">
        <v>410</v>
      </c>
      <c r="T44" s="164" t="s">
        <v>443</v>
      </c>
      <c r="U44" s="159" t="s">
        <v>412</v>
      </c>
      <c r="V44" s="167" t="s">
        <v>440</v>
      </c>
    </row>
    <row r="45" spans="1:22" ht="16.5" x14ac:dyDescent="0.3">
      <c r="A45" s="168">
        <v>2500</v>
      </c>
      <c r="B45" s="159">
        <v>650</v>
      </c>
      <c r="C45" s="160">
        <f t="shared" si="0"/>
        <v>2742</v>
      </c>
      <c r="D45" s="160">
        <f t="shared" si="1"/>
        <v>855</v>
      </c>
      <c r="E45" s="160">
        <f t="shared" si="2"/>
        <v>2924</v>
      </c>
      <c r="F45" s="169"/>
      <c r="G45" s="162">
        <f t="shared" si="4"/>
        <v>1.1425000000000001</v>
      </c>
      <c r="H45" s="159">
        <v>400</v>
      </c>
      <c r="I45" s="159">
        <v>6</v>
      </c>
      <c r="J45" s="159">
        <f t="shared" si="5"/>
        <v>166.4</v>
      </c>
      <c r="K45" s="159">
        <v>185</v>
      </c>
      <c r="L45" s="159">
        <v>3200</v>
      </c>
      <c r="M45" s="159" t="s">
        <v>435</v>
      </c>
      <c r="N45" s="159" t="s">
        <v>436</v>
      </c>
      <c r="O45" s="163">
        <f t="shared" si="6"/>
        <v>3427.5</v>
      </c>
      <c r="P45" s="166" t="s">
        <v>408</v>
      </c>
      <c r="Q45" s="159" t="s">
        <v>437</v>
      </c>
      <c r="R45" s="159" t="s">
        <v>438</v>
      </c>
      <c r="S45" s="164" t="s">
        <v>410</v>
      </c>
      <c r="T45" s="164" t="s">
        <v>439</v>
      </c>
      <c r="U45" s="159" t="s">
        <v>412</v>
      </c>
      <c r="V45" s="167" t="s">
        <v>440</v>
      </c>
    </row>
    <row r="46" spans="1:22" ht="16.5" x14ac:dyDescent="0.3">
      <c r="A46" s="168">
        <v>3000</v>
      </c>
      <c r="B46" s="170">
        <v>460</v>
      </c>
      <c r="C46" s="171">
        <f>ROUNDUP(A46/(B46*0.9)/3^0.5*1000/0.9,0)</f>
        <v>4649</v>
      </c>
      <c r="D46" s="171">
        <f t="shared" si="1"/>
        <v>606</v>
      </c>
      <c r="E46" s="171">
        <f t="shared" si="2"/>
        <v>4951</v>
      </c>
      <c r="F46" s="169">
        <f>30.8*100*C46/(1000*10)</f>
        <v>1431.8920000000001</v>
      </c>
      <c r="G46" s="172">
        <f t="shared" si="4"/>
        <v>1.5496666666666667</v>
      </c>
      <c r="H46" s="170">
        <v>500</v>
      </c>
      <c r="I46" s="170">
        <v>6</v>
      </c>
      <c r="J46" s="170">
        <f t="shared" si="5"/>
        <v>208</v>
      </c>
      <c r="K46" s="170">
        <v>240</v>
      </c>
      <c r="L46" s="170">
        <v>4000</v>
      </c>
      <c r="M46" s="170" t="s">
        <v>442</v>
      </c>
      <c r="N46" s="170" t="s">
        <v>436</v>
      </c>
      <c r="O46" s="173">
        <f t="shared" si="6"/>
        <v>5811.25</v>
      </c>
      <c r="P46" s="174" t="s">
        <v>408</v>
      </c>
      <c r="Q46" s="170" t="s">
        <v>437</v>
      </c>
      <c r="R46" s="170" t="s">
        <v>438</v>
      </c>
      <c r="S46" s="164" t="s">
        <v>410</v>
      </c>
      <c r="T46" s="175" t="s">
        <v>444</v>
      </c>
      <c r="U46" s="170" t="s">
        <v>431</v>
      </c>
      <c r="V46" s="176" t="s">
        <v>445</v>
      </c>
    </row>
    <row r="47" spans="1:22" ht="17.25" thickBot="1" x14ac:dyDescent="0.35">
      <c r="A47" s="177">
        <v>3000</v>
      </c>
      <c r="B47" s="178">
        <v>650</v>
      </c>
      <c r="C47" s="179">
        <f t="shared" si="0"/>
        <v>3290</v>
      </c>
      <c r="D47" s="179">
        <f t="shared" si="1"/>
        <v>855</v>
      </c>
      <c r="E47" s="179">
        <f t="shared" si="2"/>
        <v>3509</v>
      </c>
      <c r="F47" s="180">
        <f t="shared" si="3"/>
        <v>1013.32</v>
      </c>
      <c r="G47" s="181">
        <f t="shared" si="4"/>
        <v>1.3708333333333333</v>
      </c>
      <c r="H47" s="178">
        <v>400</v>
      </c>
      <c r="I47" s="178">
        <v>6</v>
      </c>
      <c r="J47" s="178">
        <f t="shared" si="5"/>
        <v>166.4</v>
      </c>
      <c r="K47" s="178">
        <v>185</v>
      </c>
      <c r="L47" s="178">
        <v>3200</v>
      </c>
      <c r="M47" s="178" t="s">
        <v>446</v>
      </c>
      <c r="N47" s="178" t="s">
        <v>447</v>
      </c>
      <c r="O47" s="182">
        <f t="shared" si="6"/>
        <v>4112.5</v>
      </c>
      <c r="P47" s="183" t="s">
        <v>448</v>
      </c>
      <c r="Q47" s="178" t="s">
        <v>437</v>
      </c>
      <c r="R47" s="178" t="s">
        <v>449</v>
      </c>
      <c r="S47" s="184" t="s">
        <v>450</v>
      </c>
      <c r="T47" s="178" t="s">
        <v>451</v>
      </c>
      <c r="U47" s="178" t="s">
        <v>404</v>
      </c>
      <c r="V47" s="185" t="s">
        <v>445</v>
      </c>
    </row>
  </sheetData>
  <mergeCells count="41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14:V14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K25" sqref="K25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97" t="s">
        <v>186</v>
      </c>
      <c r="C2" s="299" t="s">
        <v>187</v>
      </c>
      <c r="D2" s="299"/>
      <c r="E2" s="299"/>
      <c r="F2" s="299"/>
      <c r="G2" s="299"/>
      <c r="H2" s="299"/>
      <c r="I2" s="299"/>
      <c r="J2" s="299"/>
      <c r="K2" s="299"/>
      <c r="L2" s="300" t="s">
        <v>188</v>
      </c>
      <c r="M2" s="300"/>
      <c r="N2" s="300"/>
      <c r="O2" s="301" t="s">
        <v>189</v>
      </c>
      <c r="P2" s="301"/>
      <c r="Q2" s="301"/>
      <c r="R2" s="302" t="s">
        <v>190</v>
      </c>
      <c r="S2" s="302"/>
      <c r="T2" s="303"/>
    </row>
    <row r="3" spans="2:20" ht="16.5" x14ac:dyDescent="0.15">
      <c r="B3" s="298"/>
      <c r="C3" s="4" t="s">
        <v>191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6" t="s">
        <v>197</v>
      </c>
      <c r="J3" s="6" t="s">
        <v>198</v>
      </c>
      <c r="K3" s="6" t="s">
        <v>199</v>
      </c>
      <c r="L3" s="7" t="s">
        <v>200</v>
      </c>
      <c r="M3" s="8" t="s">
        <v>201</v>
      </c>
      <c r="N3" s="9" t="s">
        <v>202</v>
      </c>
      <c r="O3" s="10" t="s">
        <v>203</v>
      </c>
      <c r="P3" s="11" t="s">
        <v>204</v>
      </c>
      <c r="Q3" s="12" t="s">
        <v>205</v>
      </c>
      <c r="R3" s="13" t="s">
        <v>206</v>
      </c>
      <c r="S3" s="14" t="s">
        <v>207</v>
      </c>
      <c r="T3" s="15" t="s">
        <v>208</v>
      </c>
    </row>
    <row r="4" spans="2:20" x14ac:dyDescent="0.15">
      <c r="B4" s="16">
        <v>42689</v>
      </c>
      <c r="C4" s="17">
        <v>346</v>
      </c>
      <c r="D4" s="18">
        <v>883</v>
      </c>
      <c r="E4" s="19">
        <v>272</v>
      </c>
      <c r="F4" s="19">
        <v>14.44</v>
      </c>
      <c r="G4" s="20">
        <v>2</v>
      </c>
      <c r="H4" s="18">
        <v>1121</v>
      </c>
      <c r="I4" s="21">
        <v>61.8</v>
      </c>
      <c r="J4" s="22">
        <f>COS(PI()*I4/180)</f>
        <v>0.47255076486905406</v>
      </c>
      <c r="K4" s="23">
        <f>(C4*1000)/(H4*J4*D4*0.9)*100</f>
        <v>82.189966367236522</v>
      </c>
      <c r="L4" s="24">
        <v>200</v>
      </c>
      <c r="M4" s="25">
        <f t="shared" ref="M4:M18" si="0">(L4/C4)^0.5*H4</f>
        <v>852.28051774333983</v>
      </c>
      <c r="N4" s="26">
        <f>(L4*1000)/(M4*J4*D4*0.9)*100</f>
        <v>62.487874298640534</v>
      </c>
      <c r="O4" s="27">
        <v>11</v>
      </c>
      <c r="P4" s="28">
        <f t="shared" ref="P4:P18" si="1">G4/O4*H4</f>
        <v>203.81818181818181</v>
      </c>
      <c r="Q4" s="29">
        <f>(C4*1000)/(P4*J4*D4*0.9)*100</f>
        <v>452.04481501980086</v>
      </c>
      <c r="R4" s="30">
        <v>100</v>
      </c>
      <c r="S4" s="31">
        <f t="shared" ref="S4:S18" si="2">(R4/C4)^0.5*P4</f>
        <v>109.57333337627223</v>
      </c>
      <c r="T4" s="32">
        <f>(R4*1000)/(S4*J4*D4*0.9)*100</f>
        <v>243.02079812175711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>
        <v>1147</v>
      </c>
      <c r="D9" s="34">
        <v>831</v>
      </c>
      <c r="E9" s="35"/>
      <c r="F9" s="35"/>
      <c r="G9" s="36">
        <v>2</v>
      </c>
      <c r="H9" s="34">
        <v>1733</v>
      </c>
      <c r="I9" s="37">
        <v>23.1</v>
      </c>
      <c r="J9" s="38">
        <f t="shared" si="3"/>
        <v>0.91982149732173768</v>
      </c>
      <c r="K9" s="39">
        <f t="shared" si="4"/>
        <v>96.209457687670437</v>
      </c>
      <c r="L9" s="40"/>
      <c r="M9" s="41">
        <f t="shared" si="0"/>
        <v>0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>
        <v>460</v>
      </c>
      <c r="D11" s="34">
        <v>886</v>
      </c>
      <c r="E11" s="35"/>
      <c r="F11" s="35">
        <v>0.79</v>
      </c>
      <c r="G11" s="36">
        <v>2</v>
      </c>
      <c r="H11" s="34">
        <v>850</v>
      </c>
      <c r="I11" s="37">
        <v>41.4</v>
      </c>
      <c r="J11" s="38">
        <f t="shared" si="3"/>
        <v>0.75011106963045959</v>
      </c>
      <c r="K11" s="39">
        <f t="shared" si="4"/>
        <v>90.476772526457921</v>
      </c>
      <c r="L11" s="40"/>
      <c r="M11" s="41">
        <f t="shared" si="0"/>
        <v>0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>
        <v>304</v>
      </c>
      <c r="D12" s="34">
        <v>875</v>
      </c>
      <c r="E12" s="35"/>
      <c r="F12" s="35"/>
      <c r="G12" s="36">
        <v>2</v>
      </c>
      <c r="H12" s="34">
        <v>950</v>
      </c>
      <c r="I12" s="37">
        <v>63.2</v>
      </c>
      <c r="J12" s="38">
        <f t="shared" si="3"/>
        <v>0.45087754068943081</v>
      </c>
      <c r="K12" s="39">
        <f t="shared" si="4"/>
        <v>90.124073540647714</v>
      </c>
      <c r="L12" s="40"/>
      <c r="M12" s="41">
        <f t="shared" si="0"/>
        <v>0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직렬공진_PWM_공진CAP 10uF이용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2021-01-03T23:59:43Z</cp:lastPrinted>
  <dcterms:created xsi:type="dcterms:W3CDTF">2002-10-01T05:20:05Z</dcterms:created>
  <dcterms:modified xsi:type="dcterms:W3CDTF">2021-01-28T02:02:08Z</dcterms:modified>
</cp:coreProperties>
</file>