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n79\Desktop\"/>
    </mc:Choice>
  </mc:AlternateContent>
  <bookViews>
    <workbookView xWindow="0" yWindow="0" windowWidth="28800" windowHeight="1297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2" i="2" l="1"/>
  <c r="T74" i="2" s="1"/>
  <c r="T67" i="2"/>
  <c r="F67" i="2"/>
  <c r="E67" i="2"/>
  <c r="D67" i="2"/>
  <c r="C67" i="2"/>
  <c r="T66" i="2"/>
  <c r="T75" i="2" s="1"/>
  <c r="D66" i="2"/>
  <c r="X63" i="2"/>
  <c r="L59" i="2"/>
  <c r="P56" i="2"/>
  <c r="P58" i="2" s="1"/>
  <c r="X55" i="2"/>
  <c r="D54" i="2"/>
  <c r="D60" i="2" s="1"/>
  <c r="P53" i="2"/>
  <c r="L53" i="2"/>
  <c r="D50" i="2"/>
  <c r="D63" i="2" s="1"/>
  <c r="X48" i="2"/>
  <c r="P48" i="2"/>
  <c r="T47" i="2"/>
  <c r="T46" i="2"/>
  <c r="T50" i="2" s="1"/>
  <c r="T53" i="2" s="1"/>
  <c r="T56" i="2" s="1"/>
  <c r="T58" i="2" s="1"/>
  <c r="L46" i="2"/>
  <c r="L47" i="2" s="1"/>
  <c r="L45" i="2"/>
  <c r="X41" i="2"/>
  <c r="L37" i="2"/>
  <c r="L38" i="2" s="1"/>
  <c r="X36" i="2"/>
  <c r="L36" i="2"/>
  <c r="X35" i="2"/>
  <c r="L35" i="2"/>
  <c r="P34" i="2"/>
  <c r="F32" i="2"/>
  <c r="E32" i="2"/>
  <c r="C32" i="2"/>
  <c r="X30" i="2"/>
  <c r="P30" i="2"/>
  <c r="T27" i="2"/>
  <c r="T31" i="2" s="1"/>
  <c r="T34" i="2" s="1"/>
  <c r="T36" i="2" s="1"/>
  <c r="L27" i="2"/>
  <c r="X26" i="2"/>
  <c r="P26" i="2"/>
  <c r="P38" i="2" s="1"/>
  <c r="P39" i="2" s="1"/>
  <c r="P40" i="2" s="1"/>
  <c r="P41" i="2" s="1"/>
  <c r="P42" i="2" s="1"/>
  <c r="L26" i="2"/>
  <c r="L25" i="2"/>
  <c r="L24" i="2"/>
  <c r="X22" i="2"/>
  <c r="F21" i="2"/>
  <c r="F23" i="2" s="1"/>
  <c r="P19" i="2"/>
  <c r="F18" i="2"/>
  <c r="E18" i="2"/>
  <c r="C18" i="2"/>
  <c r="F16" i="2"/>
  <c r="F22" i="2" s="1"/>
  <c r="F25" i="2" s="1"/>
  <c r="E16" i="2"/>
  <c r="E21" i="2" s="1"/>
  <c r="C16" i="2"/>
  <c r="C21" i="2" s="1"/>
  <c r="X15" i="2"/>
  <c r="X16" i="2" s="1"/>
  <c r="X17" i="2" s="1"/>
  <c r="P13" i="2"/>
  <c r="T12" i="2"/>
  <c r="T15" i="2" s="1"/>
  <c r="T17" i="2" s="1"/>
  <c r="T19" i="2" s="1"/>
  <c r="F10" i="2"/>
  <c r="F37" i="2" s="1"/>
  <c r="F39" i="2" s="1"/>
  <c r="E10" i="2"/>
  <c r="E37" i="2" s="1"/>
  <c r="E39" i="2" s="1"/>
  <c r="C10" i="2"/>
  <c r="C37" i="2" s="1"/>
  <c r="C39" i="2" s="1"/>
  <c r="L9" i="2"/>
  <c r="L14" i="2" s="1"/>
  <c r="X8" i="2"/>
  <c r="T8" i="2"/>
  <c r="T20" i="2" s="1"/>
  <c r="P8" i="2"/>
  <c r="L7" i="2"/>
  <c r="F6" i="2"/>
  <c r="F8" i="2" s="1"/>
  <c r="E6" i="2"/>
  <c r="E8" i="2" s="1"/>
  <c r="C6" i="2"/>
  <c r="C8" i="2" s="1"/>
  <c r="T38" i="2" l="1"/>
  <c r="T39" i="2"/>
  <c r="C54" i="2"/>
  <c r="C23" i="2"/>
  <c r="C24" i="2"/>
  <c r="F28" i="2"/>
  <c r="D70" i="2"/>
  <c r="D69" i="2"/>
  <c r="D72" i="2" s="1"/>
  <c r="D68" i="2"/>
  <c r="E23" i="2"/>
  <c r="E19" i="2"/>
  <c r="E54" i="2"/>
  <c r="E24" i="2"/>
  <c r="P35" i="2"/>
  <c r="T9" i="2"/>
  <c r="C11" i="2"/>
  <c r="C22" i="2"/>
  <c r="C25" i="2" s="1"/>
  <c r="D53" i="2"/>
  <c r="D59" i="2"/>
  <c r="D62" i="2" s="1"/>
  <c r="D71" i="2" s="1"/>
  <c r="T59" i="2"/>
  <c r="E11" i="2"/>
  <c r="E22" i="2"/>
  <c r="E25" i="2" s="1"/>
  <c r="F24" i="2"/>
  <c r="F26" i="2" s="1"/>
  <c r="F54" i="2"/>
  <c r="D55" i="2"/>
  <c r="F11" i="2"/>
  <c r="T28" i="2"/>
  <c r="D88" i="2" l="1"/>
  <c r="D82" i="2"/>
  <c r="D80" i="2"/>
  <c r="D86" i="2" s="1"/>
  <c r="E28" i="2"/>
  <c r="E26" i="2"/>
  <c r="D73" i="2"/>
  <c r="D75" i="2" s="1"/>
  <c r="C60" i="2"/>
  <c r="C53" i="2"/>
  <c r="C59" i="2"/>
  <c r="C62" i="2" s="1"/>
  <c r="C28" i="2"/>
  <c r="C26" i="2"/>
  <c r="F43" i="2"/>
  <c r="F31" i="2"/>
  <c r="F41" i="2" s="1"/>
  <c r="F66" i="2" s="1"/>
  <c r="F29" i="2"/>
  <c r="F30" i="2"/>
  <c r="F59" i="2"/>
  <c r="F62" i="2" s="1"/>
  <c r="F53" i="2"/>
  <c r="F60" i="2"/>
  <c r="E59" i="2"/>
  <c r="E62" i="2" s="1"/>
  <c r="E53" i="2"/>
  <c r="E60" i="2"/>
  <c r="D89" i="2"/>
  <c r="D83" i="2"/>
  <c r="D81" i="2"/>
  <c r="D87" i="2" s="1"/>
  <c r="F50" i="2" l="1"/>
  <c r="F44" i="2"/>
  <c r="F45" i="2" s="1"/>
  <c r="F46" i="2" s="1"/>
  <c r="F34" i="2"/>
  <c r="F33" i="2"/>
  <c r="C30" i="2"/>
  <c r="C43" i="2"/>
  <c r="C31" i="2"/>
  <c r="C41" i="2" s="1"/>
  <c r="C66" i="2" s="1"/>
  <c r="C29" i="2"/>
  <c r="D92" i="2"/>
  <c r="D77" i="2"/>
  <c r="E43" i="2"/>
  <c r="E31" i="2"/>
  <c r="E41" i="2" s="1"/>
  <c r="E66" i="2" s="1"/>
  <c r="E29" i="2"/>
  <c r="E30" i="2"/>
  <c r="C33" i="2" l="1"/>
  <c r="C34" i="2"/>
  <c r="E50" i="2"/>
  <c r="E44" i="2"/>
  <c r="E45" i="2" s="1"/>
  <c r="E46" i="2" s="1"/>
  <c r="E34" i="2"/>
  <c r="E33" i="2"/>
  <c r="F55" i="2"/>
  <c r="F63" i="2"/>
  <c r="C50" i="2"/>
  <c r="C44" i="2"/>
  <c r="C45" i="2" s="1"/>
  <c r="C46" i="2" s="1"/>
  <c r="F70" i="2" l="1"/>
  <c r="F73" i="2" s="1"/>
  <c r="F75" i="2" s="1"/>
  <c r="F68" i="2"/>
  <c r="F71" i="2" s="1"/>
  <c r="F69" i="2"/>
  <c r="F72" i="2" s="1"/>
  <c r="E63" i="2"/>
  <c r="E55" i="2"/>
  <c r="C55" i="2"/>
  <c r="C63" i="2"/>
  <c r="C70" i="2" l="1"/>
  <c r="C73" i="2" s="1"/>
  <c r="C75" i="2" s="1"/>
  <c r="C69" i="2"/>
  <c r="C72" i="2" s="1"/>
  <c r="C68" i="2"/>
  <c r="C71" i="2" s="1"/>
  <c r="F89" i="2"/>
  <c r="F83" i="2"/>
  <c r="F81" i="2"/>
  <c r="F87" i="2" s="1"/>
  <c r="E70" i="2"/>
  <c r="E73" i="2" s="1"/>
  <c r="E75" i="2" s="1"/>
  <c r="E69" i="2"/>
  <c r="E72" i="2" s="1"/>
  <c r="E68" i="2"/>
  <c r="E71" i="2" s="1"/>
  <c r="F88" i="2"/>
  <c r="F82" i="2"/>
  <c r="F80" i="2"/>
  <c r="F86" i="2" s="1"/>
  <c r="F92" i="2"/>
  <c r="F77" i="2"/>
  <c r="E92" i="2" l="1"/>
  <c r="E77" i="2"/>
  <c r="C80" i="2"/>
  <c r="C86" i="2" s="1"/>
  <c r="C88" i="2"/>
  <c r="C82" i="2"/>
  <c r="E89" i="2"/>
  <c r="E83" i="2"/>
  <c r="E81" i="2"/>
  <c r="E87" i="2" s="1"/>
  <c r="C89" i="2"/>
  <c r="C83" i="2"/>
  <c r="C81" i="2"/>
  <c r="C87" i="2" s="1"/>
  <c r="E88" i="2"/>
  <c r="E82" i="2"/>
  <c r="E80" i="2"/>
  <c r="E86" i="2" s="1"/>
  <c r="C92" i="2"/>
  <c r="C77" i="2"/>
</calcChain>
</file>

<file path=xl/sharedStrings.xml><?xml version="1.0" encoding="utf-8"?>
<sst xmlns="http://schemas.openxmlformats.org/spreadsheetml/2006/main" count="732" uniqueCount="546">
  <si>
    <t>고객사</t>
    <phoneticPr fontId="3" type="noConversion"/>
  </si>
  <si>
    <t>킴스하이테크롤로지</t>
    <phoneticPr fontId="3" type="noConversion"/>
  </si>
  <si>
    <t>엠에스오토텍_핫스템핑 패치가열 TEST</t>
    <phoneticPr fontId="4" type="noConversion"/>
  </si>
  <si>
    <t>공정</t>
    <phoneticPr fontId="3" type="noConversion"/>
  </si>
  <si>
    <t>CVD가열용 전원장치</t>
    <phoneticPr fontId="3" type="noConversion"/>
  </si>
  <si>
    <t>전력</t>
    <phoneticPr fontId="3" type="noConversion"/>
  </si>
  <si>
    <t>150KW</t>
    <phoneticPr fontId="3" type="noConversion"/>
  </si>
  <si>
    <t>예상 동작 주파수</t>
    <phoneticPr fontId="3" type="noConversion"/>
  </si>
  <si>
    <t>25~30kHz</t>
    <phoneticPr fontId="3" type="noConversion"/>
  </si>
  <si>
    <t>MCCB</t>
    <phoneticPr fontId="3" type="noConversion"/>
  </si>
  <si>
    <t>ABS403c 300A</t>
    <phoneticPr fontId="3" type="noConversion"/>
  </si>
  <si>
    <t>FUSE</t>
    <phoneticPr fontId="3" type="noConversion"/>
  </si>
  <si>
    <t>[660GH-400S] 660V 400A</t>
    <phoneticPr fontId="3" type="noConversion"/>
  </si>
  <si>
    <t xml:space="preserve">DIODE </t>
    <phoneticPr fontId="3" type="noConversion"/>
  </si>
  <si>
    <t>[MDD172-16N1] DIP, 300A-1600V, -40 ~ 125</t>
    <phoneticPr fontId="3" type="noConversion"/>
  </si>
  <si>
    <t>인러쉬 충전 및 과전압보호</t>
    <phoneticPr fontId="3" type="noConversion"/>
  </si>
  <si>
    <t>저항 및 크로우바</t>
    <phoneticPr fontId="3" type="noConversion"/>
  </si>
  <si>
    <t>DC 인덕터</t>
    <phoneticPr fontId="3" type="noConversion"/>
  </si>
  <si>
    <t>PSIH-200XF-LI-V1</t>
    <phoneticPr fontId="3" type="noConversion"/>
  </si>
  <si>
    <t>전류센싱 션트저항</t>
    <phoneticPr fontId="3" type="noConversion"/>
  </si>
  <si>
    <t>[SK-S-03] 400A, 50mV, ±2%</t>
    <phoneticPr fontId="3" type="noConversion"/>
  </si>
  <si>
    <t>인버팅 소자(IGBT)</t>
    <phoneticPr fontId="3" type="noConversion"/>
  </si>
  <si>
    <t>[FZ800R12KS4] 1200V, 800A, MODULE</t>
    <phoneticPr fontId="3" type="noConversion"/>
  </si>
  <si>
    <t>DC LINK CAPACITOR</t>
    <phoneticPr fontId="3" type="noConversion"/>
  </si>
  <si>
    <t>1400uF (50uF *28EA)</t>
    <phoneticPr fontId="3" type="noConversion"/>
  </si>
  <si>
    <t>전류센싱 C/T</t>
    <phoneticPr fontId="3" type="noConversion"/>
  </si>
  <si>
    <t>전류검출용 CT 300:1, 페라이트T코아 96mm, 0.3mmX7 USTC (고주파용)</t>
    <phoneticPr fontId="3" type="noConversion"/>
  </si>
  <si>
    <t>DC BLOCKING CAP</t>
    <phoneticPr fontId="3" type="noConversion"/>
  </si>
  <si>
    <t>사용안함</t>
    <phoneticPr fontId="3" type="noConversion"/>
  </si>
  <si>
    <t>M/T(Matching Transformer)</t>
    <phoneticPr fontId="3" type="noConversion"/>
  </si>
  <si>
    <r>
      <t xml:space="preserve">1. 동파이프 + 판 적층형
2. 1차 권선 : 동파이프(6.5파이 1t 코팅된것) 7턴, 6병렬 (총 6층)
3. 2차 권선 : 판형 (외곽 물라인, 2t) 1턴, 5직렬 (총 7층)
 --&gt; 상부권선과 하부권선은 연결하지 않음  
4. 코아 : UU120C 4조 (중족 단면적 48cm2)
5. 턴비 : 7/7/7/7/7:5 --&gt; 7:5 </t>
    </r>
    <r>
      <rPr>
        <sz val="10"/>
        <rFont val="맑은 고딕"/>
        <family val="3"/>
        <charset val="129"/>
      </rPr>
      <t>⇒ 14/14/14 : 3/3</t>
    </r>
    <r>
      <rPr>
        <sz val="10"/>
        <rFont val="맑은 고딕"/>
        <family val="3"/>
        <charset val="129"/>
        <scheme val="minor"/>
      </rPr>
      <t xml:space="preserve">
--&gt; 1차 최대 전류 : 500A, 2차 전류 : 700A</t>
    </r>
    <phoneticPr fontId="3" type="noConversion"/>
  </si>
  <si>
    <t>공진 CAP</t>
    <phoneticPr fontId="3" type="noConversion"/>
  </si>
  <si>
    <t>[DHF-S500P1000A] 700V 10uF, 1000A DHF-S500P, W*T*H=100*100*47</t>
    <phoneticPr fontId="3" type="noConversion"/>
  </si>
  <si>
    <t>RFM 1.25-3000-3S</t>
    <phoneticPr fontId="4" type="noConversion"/>
  </si>
  <si>
    <t>공진 CAP 구조</t>
    <phoneticPr fontId="3" type="noConversion"/>
  </si>
  <si>
    <t>4직렬 1병렬, 
 : 총 2.5uF, 2000V, 1000A, (4EA)</t>
    <phoneticPr fontId="3" type="noConversion"/>
  </si>
  <si>
    <t xml:space="preserve">1병렬, 1250V 2400A
--&gt; 전원장치 외부설치로 매칭트랜스 --&gt; 공진콘덴서 --&gt; 코일간 출력케이블 연결가능한 부스바 구조 필요 </t>
    <phoneticPr fontId="4" type="noConversion"/>
  </si>
  <si>
    <t>MAIN C/T</t>
    <phoneticPr fontId="4" type="noConversion"/>
  </si>
  <si>
    <t>사용안함</t>
    <phoneticPr fontId="4" type="noConversion"/>
  </si>
  <si>
    <t xml:space="preserve">코일 </t>
    <phoneticPr fontId="3" type="noConversion"/>
  </si>
  <si>
    <t>개발팀 문의</t>
    <phoneticPr fontId="4" type="noConversion"/>
  </si>
  <si>
    <t>코일 연결 구조</t>
    <phoneticPr fontId="3" type="noConversion"/>
  </si>
  <si>
    <t>예상 Q값</t>
    <phoneticPr fontId="3" type="noConversion"/>
  </si>
  <si>
    <t>3~6</t>
    <phoneticPr fontId="4" type="noConversion"/>
  </si>
  <si>
    <t>2~3</t>
    <phoneticPr fontId="4" type="noConversion"/>
  </si>
  <si>
    <t>입력 선전류( 마진포함)</t>
    <phoneticPr fontId="3" type="noConversion"/>
  </si>
  <si>
    <t>281A</t>
    <phoneticPr fontId="3" type="noConversion"/>
  </si>
  <si>
    <t>입력 DC전류</t>
    <phoneticPr fontId="3" type="noConversion"/>
  </si>
  <si>
    <t>300A</t>
    <phoneticPr fontId="3" type="noConversion"/>
  </si>
  <si>
    <t>인버터 출력전류(M/T 1차)</t>
    <phoneticPr fontId="3" type="noConversion"/>
  </si>
  <si>
    <t>최대 500A (실제로는 420A 예상)</t>
    <phoneticPr fontId="3" type="noConversion"/>
  </si>
  <si>
    <t>600A</t>
    <phoneticPr fontId="4" type="noConversion"/>
  </si>
  <si>
    <t>공진전류(공진CAP,출력케이블)</t>
    <phoneticPr fontId="3" type="noConversion"/>
  </si>
  <si>
    <t>최대 700A (실제로는 500~600A 예상)</t>
    <phoneticPr fontId="3" type="noConversion"/>
  </si>
  <si>
    <t>1400A</t>
    <phoneticPr fontId="4" type="noConversion"/>
  </si>
  <si>
    <t>코일전류</t>
    <phoneticPr fontId="4" type="noConversion"/>
  </si>
  <si>
    <t>최대 700A (실제로는 500~600A 예상)</t>
    <phoneticPr fontId="4" type="noConversion"/>
  </si>
  <si>
    <t>1400A</t>
    <phoneticPr fontId="4" type="noConversion"/>
  </si>
  <si>
    <t>제어방식</t>
    <phoneticPr fontId="3" type="noConversion"/>
  </si>
  <si>
    <t>FM+ LBPWM (Full Bridge)</t>
    <phoneticPr fontId="3" type="noConversion"/>
  </si>
  <si>
    <t>메인 컨트롤 보드</t>
    <phoneticPr fontId="4" type="noConversion"/>
  </si>
  <si>
    <t>IH DIGITAL CONTROL BOARD V3.6</t>
    <phoneticPr fontId="4" type="noConversion"/>
  </si>
  <si>
    <t>확장(익스펜션) 보드</t>
    <phoneticPr fontId="4" type="noConversion"/>
  </si>
  <si>
    <t>사용안함</t>
    <phoneticPr fontId="3" type="noConversion"/>
  </si>
  <si>
    <t>모듈 컨트롤 보드</t>
    <phoneticPr fontId="4" type="noConversion"/>
  </si>
  <si>
    <t>게이트 드라이버 보드</t>
    <phoneticPr fontId="4" type="noConversion"/>
  </si>
  <si>
    <t>IH_GATE_DRIVER_V21_DUAL_R6_800A</t>
    <phoneticPr fontId="4" type="noConversion"/>
  </si>
  <si>
    <t xml:space="preserve">직렬공진회로 설계 시트_PAM,PWM </t>
    <phoneticPr fontId="4" type="noConversion"/>
  </si>
  <si>
    <t>정류부 관련</t>
    <phoneticPr fontId="4" type="noConversion"/>
  </si>
  <si>
    <t>시뮬레이션 결과</t>
    <phoneticPr fontId="4" type="noConversion"/>
  </si>
  <si>
    <t>기입순서</t>
    <phoneticPr fontId="4" type="noConversion"/>
  </si>
  <si>
    <t xml:space="preserve">비고 </t>
    <phoneticPr fontId="4" type="noConversion"/>
  </si>
  <si>
    <t>Po</t>
    <phoneticPr fontId="4" type="noConversion"/>
  </si>
  <si>
    <t>kW</t>
    <phoneticPr fontId="4" type="noConversion"/>
  </si>
  <si>
    <t>전력</t>
    <phoneticPr fontId="4" type="noConversion"/>
  </si>
  <si>
    <t>&lt;코일 인덕턴스 계산 공식: 팬케익형, C/T 및 출력케이블포함&gt;</t>
    <phoneticPr fontId="4" type="noConversion"/>
  </si>
  <si>
    <t>ok</t>
    <phoneticPr fontId="4" type="noConversion"/>
  </si>
  <si>
    <t>&lt;트랜스포머 최소 턴수 계산 공식&gt;</t>
    <phoneticPr fontId="4" type="noConversion"/>
  </si>
  <si>
    <t>&lt;동 부스바(AC) 발열량 계산 공식&gt;</t>
    <phoneticPr fontId="4" type="noConversion"/>
  </si>
  <si>
    <t>&lt;Fault 발생시 L에 의한 VDC 상승전압 계산공식&gt;</t>
    <phoneticPr fontId="4" type="noConversion"/>
  </si>
  <si>
    <t>Vin(입력선전압)</t>
    <phoneticPr fontId="4" type="noConversion"/>
  </si>
  <si>
    <t>V</t>
    <phoneticPr fontId="4" type="noConversion"/>
  </si>
  <si>
    <t>입력 선전압</t>
    <phoneticPr fontId="4" type="noConversion"/>
  </si>
  <si>
    <t>코일턴수 T</t>
    <phoneticPr fontId="4" type="noConversion"/>
  </si>
  <si>
    <t>Turns</t>
    <phoneticPr fontId="4" type="noConversion"/>
  </si>
  <si>
    <t>일차 최대전압</t>
    <phoneticPr fontId="4" type="noConversion"/>
  </si>
  <si>
    <t>사용 재료</t>
    <phoneticPr fontId="3" type="noConversion"/>
  </si>
  <si>
    <t>타프피치 동</t>
    <phoneticPr fontId="3" type="noConversion"/>
  </si>
  <si>
    <t>코일 L값</t>
    <phoneticPr fontId="4" type="noConversion"/>
  </si>
  <si>
    <t>uH</t>
    <phoneticPr fontId="4" type="noConversion"/>
  </si>
  <si>
    <t>역율</t>
    <phoneticPr fontId="4" type="noConversion"/>
  </si>
  <si>
    <t>3상 : 0.93, 6상: 0.96 (설계시에는 마진 고려 0.9로 함)</t>
    <phoneticPr fontId="4" type="noConversion"/>
  </si>
  <si>
    <t>내부직경 r</t>
    <phoneticPr fontId="4" type="noConversion"/>
  </si>
  <si>
    <t>mm</t>
    <phoneticPr fontId="4" type="noConversion"/>
  </si>
  <si>
    <t>최대자속밀도</t>
    <phoneticPr fontId="4" type="noConversion"/>
  </si>
  <si>
    <t>Tesla</t>
    <phoneticPr fontId="4" type="noConversion"/>
  </si>
  <si>
    <t>도체 고유전기저항</t>
    <phoneticPr fontId="4" type="noConversion"/>
  </si>
  <si>
    <t>[Ωm×10E-8]</t>
    <phoneticPr fontId="4" type="noConversion"/>
  </si>
  <si>
    <t>인버터 출력전류</t>
    <phoneticPr fontId="4" type="noConversion"/>
  </si>
  <si>
    <t>A</t>
    <phoneticPr fontId="4" type="noConversion"/>
  </si>
  <si>
    <t>입력선전류</t>
    <phoneticPr fontId="4" type="noConversion"/>
  </si>
  <si>
    <t>A</t>
    <phoneticPr fontId="4" type="noConversion"/>
  </si>
  <si>
    <t>상당 입력 선전류 (차단기 및 FUSE 선정 기준)</t>
    <phoneticPr fontId="4" type="noConversion"/>
  </si>
  <si>
    <t>권취 수평폭 W</t>
    <phoneticPr fontId="4" type="noConversion"/>
  </si>
  <si>
    <t>mm</t>
    <phoneticPr fontId="4" type="noConversion"/>
  </si>
  <si>
    <t>중족단면적</t>
    <phoneticPr fontId="4" type="noConversion"/>
  </si>
  <si>
    <t>cmSq</t>
    <phoneticPr fontId="4" type="noConversion"/>
  </si>
  <si>
    <t>도체의 온도저항계수</t>
    <phoneticPr fontId="4" type="noConversion"/>
  </si>
  <si>
    <t>at 20℃</t>
    <phoneticPr fontId="4" type="noConversion"/>
  </si>
  <si>
    <t>DC LINK C값</t>
    <phoneticPr fontId="4" type="noConversion"/>
  </si>
  <si>
    <t>uF</t>
    <phoneticPr fontId="4" type="noConversion"/>
  </si>
  <si>
    <t>Current Density</t>
    <phoneticPr fontId="4" type="noConversion"/>
  </si>
  <si>
    <t>A/㎟</t>
    <phoneticPr fontId="4" type="noConversion"/>
  </si>
  <si>
    <t>인덕턴스 L</t>
    <phoneticPr fontId="4" type="noConversion"/>
  </si>
  <si>
    <t>uH</t>
    <phoneticPr fontId="4" type="noConversion"/>
  </si>
  <si>
    <t>스위칭주파수</t>
    <phoneticPr fontId="4" type="noConversion"/>
  </si>
  <si>
    <t>Hz</t>
    <phoneticPr fontId="4" type="noConversion"/>
  </si>
  <si>
    <t>도체의 온도</t>
    <phoneticPr fontId="4" type="noConversion"/>
  </si>
  <si>
    <t>℃</t>
  </si>
  <si>
    <t>VDC (동작: RUN 중)</t>
    <phoneticPr fontId="4" type="noConversion"/>
  </si>
  <si>
    <t>V</t>
    <phoneticPr fontId="4" type="noConversion"/>
  </si>
  <si>
    <t>입력선 단면적</t>
    <phoneticPr fontId="4" type="noConversion"/>
  </si>
  <si>
    <t>㎟</t>
  </si>
  <si>
    <t>L값 감소율</t>
    <phoneticPr fontId="4" type="noConversion"/>
  </si>
  <si>
    <t>%</t>
    <phoneticPr fontId="4" type="noConversion"/>
  </si>
  <si>
    <t>최소 일차턴수</t>
    <phoneticPr fontId="4" type="noConversion"/>
  </si>
  <si>
    <t>turn</t>
    <phoneticPr fontId="4" type="noConversion"/>
  </si>
  <si>
    <t xml:space="preserve">도체의 산출저항 </t>
    <phoneticPr fontId="4" type="noConversion"/>
  </si>
  <si>
    <t>[Ωm×10E-8]</t>
    <phoneticPr fontId="4" type="noConversion"/>
  </si>
  <si>
    <t>VDC (Fault 발생시 상승전압)</t>
    <phoneticPr fontId="4" type="noConversion"/>
  </si>
  <si>
    <t>V</t>
    <phoneticPr fontId="4" type="noConversion"/>
  </si>
  <si>
    <t>부하 인덕턴스</t>
    <phoneticPr fontId="4" type="noConversion"/>
  </si>
  <si>
    <t>도체의 산출 전도도</t>
    <phoneticPr fontId="3" type="noConversion"/>
  </si>
  <si>
    <t>[SIMENS/m]</t>
    <phoneticPr fontId="3" type="noConversion"/>
  </si>
  <si>
    <t>Vdc</t>
    <phoneticPr fontId="4" type="noConversion"/>
  </si>
  <si>
    <t>Vdc 전압</t>
    <phoneticPr fontId="4" type="noConversion"/>
  </si>
  <si>
    <t>출력케이블L값</t>
    <phoneticPr fontId="4" type="noConversion"/>
  </si>
  <si>
    <t>uH</t>
    <phoneticPr fontId="4" type="noConversion"/>
  </si>
  <si>
    <t>5m 4가닥 기준</t>
    <phoneticPr fontId="4" type="noConversion"/>
  </si>
  <si>
    <t>&lt;직렬공진주파수 계산 공식&gt;</t>
    <phoneticPr fontId="4" type="noConversion"/>
  </si>
  <si>
    <t>비투자율</t>
    <phoneticPr fontId="4" type="noConversion"/>
  </si>
  <si>
    <t>ui</t>
    <phoneticPr fontId="3" type="noConversion"/>
  </si>
  <si>
    <t>&lt;DC LINK CAPACITOR 리플 전압,전류 계산 공식&gt;</t>
    <phoneticPr fontId="4" type="noConversion"/>
  </si>
  <si>
    <t>Idc</t>
    <phoneticPr fontId="4" type="noConversion"/>
  </si>
  <si>
    <t>A</t>
    <phoneticPr fontId="4" type="noConversion"/>
  </si>
  <si>
    <t>Idc 전류 (정류다이오드 선정 기준)</t>
    <phoneticPr fontId="4" type="noConversion"/>
  </si>
  <si>
    <t>C/T권선비</t>
    <phoneticPr fontId="4" type="noConversion"/>
  </si>
  <si>
    <t>:1</t>
    <phoneticPr fontId="4" type="noConversion"/>
  </si>
  <si>
    <t>공진콘덴서</t>
    <phoneticPr fontId="4" type="noConversion"/>
  </si>
  <si>
    <t>uF</t>
    <phoneticPr fontId="4" type="noConversion"/>
  </si>
  <si>
    <t>주파수</t>
    <phoneticPr fontId="4" type="noConversion"/>
  </si>
  <si>
    <t>[Hz]</t>
    <phoneticPr fontId="4" type="noConversion"/>
  </si>
  <si>
    <t>DC LINK C값</t>
    <phoneticPr fontId="4" type="noConversion"/>
  </si>
  <si>
    <t>uF</t>
    <phoneticPr fontId="4" type="noConversion"/>
  </si>
  <si>
    <t>코일 병렬 수</t>
    <phoneticPr fontId="4" type="noConversion"/>
  </si>
  <si>
    <t>병렬</t>
    <phoneticPr fontId="4" type="noConversion"/>
  </si>
  <si>
    <t>공진인덕터</t>
    <phoneticPr fontId="4" type="noConversion"/>
  </si>
  <si>
    <t>Skin Depth</t>
    <phoneticPr fontId="4" type="noConversion"/>
  </si>
  <si>
    <t>[mm]</t>
    <phoneticPr fontId="3" type="noConversion"/>
  </si>
  <si>
    <t>VDC 평균값</t>
    <phoneticPr fontId="4" type="noConversion"/>
  </si>
  <si>
    <t>인버터 관련</t>
    <phoneticPr fontId="4" type="noConversion"/>
  </si>
  <si>
    <t>코일 직렬 수</t>
    <phoneticPr fontId="4" type="noConversion"/>
  </si>
  <si>
    <t>직렬</t>
    <phoneticPr fontId="4" type="noConversion"/>
  </si>
  <si>
    <t>공진주파수</t>
    <phoneticPr fontId="4" type="noConversion"/>
  </si>
  <si>
    <t>Hz (결과)</t>
    <phoneticPr fontId="4" type="noConversion"/>
  </si>
  <si>
    <t>배선길이</t>
    <phoneticPr fontId="4" type="noConversion"/>
  </si>
  <si>
    <t>[mm]</t>
    <phoneticPr fontId="3" type="noConversion"/>
  </si>
  <si>
    <t>인버터 출력전류</t>
    <phoneticPr fontId="4" type="noConversion"/>
  </si>
  <si>
    <t>A</t>
    <phoneticPr fontId="4" type="noConversion"/>
  </si>
  <si>
    <t>L</t>
    <phoneticPr fontId="4" type="noConversion"/>
  </si>
  <si>
    <t>코일 혹은 C/T 1차측 L값 (측정값 혹은 설계 값)</t>
    <phoneticPr fontId="4" type="noConversion"/>
  </si>
  <si>
    <t>C/T1차 인덕턴스</t>
    <phoneticPr fontId="4" type="noConversion"/>
  </si>
  <si>
    <t xml:space="preserve">두께 : 부스바 </t>
    <phoneticPr fontId="4" type="noConversion"/>
  </si>
  <si>
    <t>동작주파수</t>
    <phoneticPr fontId="4" type="noConversion"/>
  </si>
  <si>
    <t>Hz</t>
    <phoneticPr fontId="4" type="noConversion"/>
  </si>
  <si>
    <t>C</t>
    <phoneticPr fontId="4" type="noConversion"/>
  </si>
  <si>
    <t>공진 콘덴서 총 C값 (Fs 및 Fr을 원하는 주파수에 맞게 C값을 조정)</t>
    <phoneticPr fontId="4" type="noConversion"/>
  </si>
  <si>
    <t>&lt;콘덴서 내전압 계산 공식&gt;</t>
    <phoneticPr fontId="4" type="noConversion"/>
  </si>
  <si>
    <t>Min(스킨뎁스,두께)</t>
    <phoneticPr fontId="4" type="noConversion"/>
  </si>
  <si>
    <t>[mm]</t>
    <phoneticPr fontId="3" type="noConversion"/>
  </si>
  <si>
    <t>DC LINK CAP 리플 함유율(peak to peak)</t>
    <phoneticPr fontId="4" type="noConversion"/>
  </si>
  <si>
    <t>%</t>
    <phoneticPr fontId="4" type="noConversion"/>
  </si>
  <si>
    <t>Fr</t>
    <phoneticPr fontId="4" type="noConversion"/>
  </si>
  <si>
    <t>kHz</t>
    <phoneticPr fontId="4" type="noConversion"/>
  </si>
  <si>
    <t>공진 주파수</t>
    <phoneticPr fontId="4" type="noConversion"/>
  </si>
  <si>
    <t>&lt;공진 C 계산 공식&gt;</t>
    <phoneticPr fontId="4" type="noConversion"/>
  </si>
  <si>
    <t>ok</t>
    <phoneticPr fontId="4" type="noConversion"/>
  </si>
  <si>
    <t>콘덴서</t>
    <phoneticPr fontId="4" type="noConversion"/>
  </si>
  <si>
    <t>uF</t>
  </si>
  <si>
    <t xml:space="preserve">부스바 폭(너비) </t>
    <phoneticPr fontId="4" type="noConversion"/>
  </si>
  <si>
    <t>DC LINK CAP RIPPLE Voltage</t>
    <phoneticPr fontId="4" type="noConversion"/>
  </si>
  <si>
    <t>Phase MIN</t>
    <phoneticPr fontId="4" type="noConversion"/>
  </si>
  <si>
    <t>°</t>
    <phoneticPr fontId="4" type="noConversion"/>
  </si>
  <si>
    <t>인버터의 위상각(기준 30° ,상황에 따라 20° 까지 적용)</t>
    <phoneticPr fontId="4" type="noConversion"/>
  </si>
  <si>
    <t>단위 C 용량</t>
    <phoneticPr fontId="4" type="noConversion"/>
  </si>
  <si>
    <t>인가주파수</t>
    <phoneticPr fontId="4" type="noConversion"/>
  </si>
  <si>
    <t>단면적</t>
    <phoneticPr fontId="4" type="noConversion"/>
  </si>
  <si>
    <t>[mmSQ]</t>
    <phoneticPr fontId="3" type="noConversion"/>
  </si>
  <si>
    <t>DC LINK CAP RIPPLE Current</t>
    <phoneticPr fontId="4" type="noConversion"/>
  </si>
  <si>
    <t>TAN(Phase MIN)</t>
    <phoneticPr fontId="4" type="noConversion"/>
  </si>
  <si>
    <t>전체 탭</t>
    <phoneticPr fontId="4" type="noConversion"/>
  </si>
  <si>
    <t>탭</t>
    <phoneticPr fontId="4" type="noConversion"/>
  </si>
  <si>
    <t>통전전류</t>
    <phoneticPr fontId="4" type="noConversion"/>
  </si>
  <si>
    <t>A</t>
    <phoneticPr fontId="4" type="noConversion"/>
  </si>
  <si>
    <t>인가전류</t>
    <phoneticPr fontId="4" type="noConversion"/>
  </si>
  <si>
    <t>[A]</t>
    <phoneticPr fontId="4" type="noConversion"/>
  </si>
  <si>
    <t>정격 전압</t>
    <phoneticPr fontId="4" type="noConversion"/>
  </si>
  <si>
    <t>콘덴서전압</t>
    <phoneticPr fontId="4" type="noConversion"/>
  </si>
  <si>
    <t>mmSQ당 전류</t>
    <phoneticPr fontId="4" type="noConversion"/>
  </si>
  <si>
    <t>&lt;수냉케이블 L값 계산 공식: 10kHz 기준, 트위스트 하지 않음&gt;</t>
    <phoneticPr fontId="4" type="noConversion"/>
  </si>
  <si>
    <t>Q</t>
    <phoneticPr fontId="4" type="noConversion"/>
  </si>
  <si>
    <t>코일의 Q값 (예상값 범위를 입력)</t>
    <phoneticPr fontId="4" type="noConversion"/>
  </si>
  <si>
    <t>정격 전류</t>
    <phoneticPr fontId="4" type="noConversion"/>
  </si>
  <si>
    <t>발열량</t>
    <phoneticPr fontId="4" type="noConversion"/>
  </si>
  <si>
    <t>[W]</t>
    <phoneticPr fontId="4" type="noConversion"/>
  </si>
  <si>
    <t xml:space="preserve">단위길이당 L값 (2EA) </t>
    <phoneticPr fontId="4" type="noConversion"/>
  </si>
  <si>
    <t>uH</t>
  </si>
  <si>
    <t>Fs</t>
    <phoneticPr fontId="4" type="noConversion"/>
  </si>
  <si>
    <t>동작 주파수 (Q값 ,위상각 등에 따라 달라짐)</t>
    <phoneticPr fontId="4" type="noConversion"/>
  </si>
  <si>
    <t>사용 탭</t>
    <phoneticPr fontId="4" type="noConversion"/>
  </si>
  <si>
    <t>탭</t>
    <phoneticPr fontId="4" type="noConversion"/>
  </si>
  <si>
    <t>&lt;스너버C 용량 적정성 검토 계산 공식&gt;</t>
    <phoneticPr fontId="4" type="noConversion"/>
  </si>
  <si>
    <t>수냉케이블 길이 (2EA)</t>
    <phoneticPr fontId="4" type="noConversion"/>
  </si>
  <si>
    <t>m</t>
    <phoneticPr fontId="4" type="noConversion"/>
  </si>
  <si>
    <t>Zl at Fr</t>
    <phoneticPr fontId="4" type="noConversion"/>
  </si>
  <si>
    <t>mΩ</t>
    <phoneticPr fontId="4" type="noConversion"/>
  </si>
  <si>
    <t>직렬 연결 수량</t>
    <phoneticPr fontId="4" type="noConversion"/>
  </si>
  <si>
    <t>직렬</t>
    <phoneticPr fontId="4" type="noConversion"/>
  </si>
  <si>
    <t>Vdc 전압</t>
    <phoneticPr fontId="3" type="noConversion"/>
  </si>
  <si>
    <t>Vdc</t>
    <phoneticPr fontId="3" type="noConversion"/>
  </si>
  <si>
    <t>ok</t>
    <phoneticPr fontId="4" type="noConversion"/>
  </si>
  <si>
    <t>&lt;동 파이프(AC) 발열량 계산 공식&gt;</t>
    <phoneticPr fontId="4" type="noConversion"/>
  </si>
  <si>
    <t>수냉케이블 L값 (2EA)</t>
    <phoneticPr fontId="4" type="noConversion"/>
  </si>
  <si>
    <t>Zl</t>
    <phoneticPr fontId="4" type="noConversion"/>
  </si>
  <si>
    <t>mΩ</t>
    <phoneticPr fontId="4" type="noConversion"/>
  </si>
  <si>
    <t>병렬 연결 수량</t>
    <phoneticPr fontId="4" type="noConversion"/>
  </si>
  <si>
    <t>C스너버 개당 C값</t>
    <phoneticPr fontId="3" type="noConversion"/>
  </si>
  <si>
    <t>nF</t>
    <phoneticPr fontId="3" type="noConversion"/>
  </si>
  <si>
    <t>사용 재료</t>
    <phoneticPr fontId="3" type="noConversion"/>
  </si>
  <si>
    <t>타프피치 동</t>
    <phoneticPr fontId="3" type="noConversion"/>
  </si>
  <si>
    <t>Zc</t>
    <phoneticPr fontId="4" type="noConversion"/>
  </si>
  <si>
    <t>mΩ</t>
    <phoneticPr fontId="4" type="noConversion"/>
  </si>
  <si>
    <t>전체 C 용량</t>
    <phoneticPr fontId="4" type="noConversion"/>
  </si>
  <si>
    <t>C스너버 보드당 C갯수</t>
    <phoneticPr fontId="3" type="noConversion"/>
  </si>
  <si>
    <t>개</t>
    <phoneticPr fontId="3" type="noConversion"/>
  </si>
  <si>
    <t>도체 고유전기저항</t>
    <phoneticPr fontId="4" type="noConversion"/>
  </si>
  <si>
    <t>[Ωm×10E-8]</t>
    <phoneticPr fontId="4" type="noConversion"/>
  </si>
  <si>
    <t xml:space="preserve">단위길이당 L값 (4EA) </t>
    <phoneticPr fontId="4" type="noConversion"/>
  </si>
  <si>
    <t>R</t>
    <phoneticPr fontId="4" type="noConversion"/>
  </si>
  <si>
    <t>사용가능 전압</t>
    <phoneticPr fontId="4" type="noConversion"/>
  </si>
  <si>
    <t>V</t>
    <phoneticPr fontId="4" type="noConversion"/>
  </si>
  <si>
    <t>보드를 겹침 수량</t>
    <phoneticPr fontId="3" type="noConversion"/>
  </si>
  <si>
    <t>도체의 온도저항계수</t>
    <phoneticPr fontId="4" type="noConversion"/>
  </si>
  <si>
    <t>at 20℃</t>
    <phoneticPr fontId="4" type="noConversion"/>
  </si>
  <si>
    <t>수냉케이블 길이 (4EA)</t>
    <phoneticPr fontId="4" type="noConversion"/>
  </si>
  <si>
    <t>Z</t>
    <phoneticPr fontId="4" type="noConversion"/>
  </si>
  <si>
    <t>사용가능 전류</t>
    <phoneticPr fontId="4" type="noConversion"/>
  </si>
  <si>
    <t>상하 고려</t>
    <phoneticPr fontId="3" type="noConversion"/>
  </si>
  <si>
    <t>nF</t>
    <phoneticPr fontId="3" type="noConversion"/>
  </si>
  <si>
    <t>도체의 온도</t>
    <phoneticPr fontId="4" type="noConversion"/>
  </si>
  <si>
    <t>수냉케이블 L값 (4EA)</t>
    <phoneticPr fontId="4" type="noConversion"/>
  </si>
  <si>
    <t>KVA</t>
    <phoneticPr fontId="4" type="noConversion"/>
  </si>
  <si>
    <t>상하 데드타임</t>
    <phoneticPr fontId="3" type="noConversion"/>
  </si>
  <si>
    <t>us</t>
    <phoneticPr fontId="3" type="noConversion"/>
  </si>
  <si>
    <t xml:space="preserve">도체의 산출저항 </t>
    <phoneticPr fontId="4" type="noConversion"/>
  </si>
  <si>
    <t>Irmax at R</t>
    <phoneticPr fontId="4" type="noConversion"/>
  </si>
  <si>
    <t>공진 전류(코일전류, C/T 1차전류)</t>
    <phoneticPr fontId="4" type="noConversion"/>
  </si>
  <si>
    <t>모듈 출력전류</t>
    <phoneticPr fontId="3" type="noConversion"/>
  </si>
  <si>
    <t>Arms</t>
    <phoneticPr fontId="3" type="noConversion"/>
  </si>
  <si>
    <t>[SIMENS/m]</t>
    <phoneticPr fontId="3" type="noConversion"/>
  </si>
  <si>
    <t xml:space="preserve">단위길이당 L값 (4EA) </t>
    <phoneticPr fontId="4" type="noConversion"/>
  </si>
  <si>
    <t>Vac for Irmax at inphase</t>
    <phoneticPr fontId="4" type="noConversion"/>
  </si>
  <si>
    <t>&lt;Q값 계산 공식 :공진 C 기준&gt;: 기존설비 데이터</t>
    <phoneticPr fontId="4" type="noConversion"/>
  </si>
  <si>
    <t>운전 모듈 수량</t>
    <phoneticPr fontId="3" type="noConversion"/>
  </si>
  <si>
    <t>대</t>
    <phoneticPr fontId="3" type="noConversion"/>
  </si>
  <si>
    <t>비투자율</t>
    <phoneticPr fontId="4" type="noConversion"/>
  </si>
  <si>
    <t>ui</t>
    <phoneticPr fontId="3" type="noConversion"/>
  </si>
  <si>
    <t>수냉케이블 길이 (4EA)</t>
    <phoneticPr fontId="4" type="noConversion"/>
  </si>
  <si>
    <t>Vc Voltage</t>
    <phoneticPr fontId="4" type="noConversion"/>
  </si>
  <si>
    <t>공진콘덴서 전압</t>
    <phoneticPr fontId="4" type="noConversion"/>
  </si>
  <si>
    <t>주파수</t>
    <phoneticPr fontId="4" type="noConversion"/>
  </si>
  <si>
    <t>Hz</t>
    <phoneticPr fontId="4" type="noConversion"/>
  </si>
  <si>
    <t>인버터 출력전류</t>
    <phoneticPr fontId="3" type="noConversion"/>
  </si>
  <si>
    <t>Arms</t>
    <phoneticPr fontId="3" type="noConversion"/>
  </si>
  <si>
    <t>[Hz]</t>
    <phoneticPr fontId="4" type="noConversion"/>
  </si>
  <si>
    <t>수냉케이블 L값 (4EA)</t>
    <phoneticPr fontId="4" type="noConversion"/>
  </si>
  <si>
    <t>Vac for Irmax with phase</t>
    <phoneticPr fontId="4" type="noConversion"/>
  </si>
  <si>
    <t>콘덴서값</t>
    <phoneticPr fontId="4" type="noConversion"/>
  </si>
  <si>
    <t>Skin Depth</t>
    <phoneticPr fontId="4" type="noConversion"/>
  </si>
  <si>
    <t>COS(Phase MIN)</t>
    <phoneticPr fontId="4" type="noConversion"/>
  </si>
  <si>
    <t>1차 공진전류</t>
    <phoneticPr fontId="4" type="noConversion"/>
  </si>
  <si>
    <t>정격전류시 상승시간</t>
    <phoneticPr fontId="3" type="noConversion"/>
  </si>
  <si>
    <t>ON-POLE</t>
    <phoneticPr fontId="3" type="noConversion"/>
  </si>
  <si>
    <t>배선길이</t>
    <phoneticPr fontId="4" type="noConversion"/>
  </si>
  <si>
    <t>&lt;FUSE 용량 계산 공식&gt;</t>
    <phoneticPr fontId="4" type="noConversion"/>
  </si>
  <si>
    <t>Qsw-cap</t>
    <phoneticPr fontId="4" type="noConversion"/>
  </si>
  <si>
    <t>공진콘덴서 기준의 Q값(예상데이터, 측정 및 계산 데이터)</t>
    <phoneticPr fontId="4" type="noConversion"/>
  </si>
  <si>
    <t>입력전력</t>
    <phoneticPr fontId="4" type="noConversion"/>
  </si>
  <si>
    <t>kW</t>
    <phoneticPr fontId="4" type="noConversion"/>
  </si>
  <si>
    <t>스위칭각</t>
    <phoneticPr fontId="3" type="noConversion"/>
  </si>
  <si>
    <t>deg</t>
    <phoneticPr fontId="3" type="noConversion"/>
  </si>
  <si>
    <t>두께 : 파이프</t>
    <phoneticPr fontId="4" type="noConversion"/>
  </si>
  <si>
    <t>입력선전압</t>
    <phoneticPr fontId="4" type="noConversion"/>
  </si>
  <si>
    <t>Vl Voltage</t>
    <phoneticPr fontId="4" type="noConversion"/>
  </si>
  <si>
    <t>코일 전압(출력케이블 포함)</t>
    <phoneticPr fontId="4" type="noConversion"/>
  </si>
  <si>
    <t>트랜스포머 권선비</t>
    <phoneticPr fontId="4" type="noConversion"/>
  </si>
  <si>
    <t>:1</t>
    <phoneticPr fontId="4" type="noConversion"/>
  </si>
  <si>
    <t>스위칭 전류</t>
    <phoneticPr fontId="3" type="noConversion"/>
  </si>
  <si>
    <t>A</t>
    <phoneticPr fontId="3" type="noConversion"/>
  </si>
  <si>
    <t>Min(스킨뎁스,두께)</t>
    <phoneticPr fontId="4" type="noConversion"/>
  </si>
  <si>
    <t>입력선전류</t>
    <phoneticPr fontId="4" type="noConversion"/>
  </si>
  <si>
    <t>공진전압</t>
    <phoneticPr fontId="4" type="noConversion"/>
  </si>
  <si>
    <t>VAC</t>
    <phoneticPr fontId="4" type="noConversion"/>
  </si>
  <si>
    <t>전압 상승 소요시간</t>
    <phoneticPr fontId="3" type="noConversion"/>
  </si>
  <si>
    <t>nsec</t>
    <phoneticPr fontId="3" type="noConversion"/>
  </si>
  <si>
    <t>파이프 외경</t>
    <phoneticPr fontId="4" type="noConversion"/>
  </si>
  <si>
    <t>FUSE 정격전압</t>
    <phoneticPr fontId="4" type="noConversion"/>
  </si>
  <si>
    <t>V 이상</t>
    <phoneticPr fontId="4" type="noConversion"/>
  </si>
  <si>
    <t>HB/FB</t>
    <phoneticPr fontId="4" type="noConversion"/>
  </si>
  <si>
    <t>Half Bridge = 2, Full Bridge = 1</t>
    <phoneticPr fontId="4" type="noConversion"/>
  </si>
  <si>
    <t>2차공진전류</t>
    <phoneticPr fontId="4" type="noConversion"/>
  </si>
  <si>
    <t xml:space="preserve">단면적 </t>
    <phoneticPr fontId="4" type="noConversion"/>
  </si>
  <si>
    <t>FUSE 정격전류</t>
    <phoneticPr fontId="4" type="noConversion"/>
  </si>
  <si>
    <t>A 이상</t>
    <phoneticPr fontId="4" type="noConversion"/>
  </si>
  <si>
    <t xml:space="preserve">Vac max </t>
    <phoneticPr fontId="4" type="noConversion"/>
  </si>
  <si>
    <t>M/T 1차 구형파 전압으로 얻을 수 있는 AC 전압의 최대값</t>
    <phoneticPr fontId="4" type="noConversion"/>
  </si>
  <si>
    <t>kVar</t>
    <phoneticPr fontId="4" type="noConversion"/>
  </si>
  <si>
    <t>데드타임 에 맞추기 위한</t>
    <phoneticPr fontId="3" type="noConversion"/>
  </si>
  <si>
    <t>인가전류</t>
    <phoneticPr fontId="4" type="noConversion"/>
  </si>
  <si>
    <t>[A]</t>
    <phoneticPr fontId="4" type="noConversion"/>
  </si>
  <si>
    <t>Turn Ratio</t>
    <phoneticPr fontId="4" type="noConversion"/>
  </si>
  <si>
    <t>Matching Transformer 의 권선비(Duty가 100%넘지 않도록 조정)</t>
    <phoneticPr fontId="4" type="noConversion"/>
  </si>
  <si>
    <t>ZVS 모듈 스위칭 전류</t>
    <phoneticPr fontId="3" type="noConversion"/>
  </si>
  <si>
    <t>mmSQ당 전류</t>
    <phoneticPr fontId="4" type="noConversion"/>
  </si>
  <si>
    <t>&lt;컷오프주파수 계산 공식&gt;</t>
    <phoneticPr fontId="4" type="noConversion"/>
  </si>
  <si>
    <t>Vac secondary</t>
    <phoneticPr fontId="4" type="noConversion"/>
  </si>
  <si>
    <t>M/T 2차 구형파 전압으로 얻을 수 있는 AC 전압의 최대값</t>
    <phoneticPr fontId="4" type="noConversion"/>
  </si>
  <si>
    <t>ZVS 모듈 전류</t>
    <phoneticPr fontId="3" type="noConversion"/>
  </si>
  <si>
    <t>발열량</t>
    <phoneticPr fontId="4" type="noConversion"/>
  </si>
  <si>
    <t>[W]</t>
    <phoneticPr fontId="4" type="noConversion"/>
  </si>
  <si>
    <t>공진콘덴서</t>
    <phoneticPr fontId="4" type="noConversion"/>
  </si>
  <si>
    <t>uF</t>
    <phoneticPr fontId="4" type="noConversion"/>
  </si>
  <si>
    <t>&lt;위상각 계산 공식&gt;</t>
    <phoneticPr fontId="4" type="noConversion"/>
  </si>
  <si>
    <t>인버터 출력전류</t>
    <phoneticPr fontId="3" type="noConversion"/>
  </si>
  <si>
    <t>공진인덕터</t>
    <phoneticPr fontId="4" type="noConversion"/>
  </si>
  <si>
    <t>Duty</t>
    <phoneticPr fontId="4" type="noConversion"/>
  </si>
  <si>
    <t>100%이하(98%정도이하),Turn Ratio값을 조정하여 변경</t>
    <phoneticPr fontId="4" type="noConversion"/>
  </si>
  <si>
    <t>Po</t>
    <phoneticPr fontId="4" type="noConversion"/>
  </si>
  <si>
    <t>kw</t>
    <phoneticPr fontId="4" type="noConversion"/>
  </si>
  <si>
    <t>정격전류 대비 율</t>
    <phoneticPr fontId="3" type="noConversion"/>
  </si>
  <si>
    <t>%</t>
    <phoneticPr fontId="3" type="noConversion"/>
  </si>
  <si>
    <t>&lt;사각 파이프(AC) 발열량 계산 공식&gt;</t>
    <phoneticPr fontId="4" type="noConversion"/>
  </si>
  <si>
    <t>Hz (결과)</t>
    <phoneticPr fontId="4" type="noConversion"/>
  </si>
  <si>
    <t>IR</t>
    <phoneticPr fontId="4" type="noConversion"/>
  </si>
  <si>
    <t>정격전력 대비 율</t>
    <phoneticPr fontId="3" type="noConversion"/>
  </si>
  <si>
    <t>Ir primary</t>
    <phoneticPr fontId="4" type="noConversion"/>
  </si>
  <si>
    <t>M/T 1차 전류(인버터 출력 전류)</t>
    <phoneticPr fontId="4" type="noConversion"/>
  </si>
  <si>
    <t>VDC</t>
    <phoneticPr fontId="4" type="noConversion"/>
  </si>
  <si>
    <t>도체 고유전기저항</t>
    <phoneticPr fontId="4" type="noConversion"/>
  </si>
  <si>
    <t>&lt;트랜스포머(C/T) 최소 턴수 계산 공식&gt;</t>
    <phoneticPr fontId="4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</si>
  <si>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k</t>
    </r>
    <phoneticPr fontId="4" type="noConversion"/>
  </si>
  <si>
    <t>Ir avg</t>
    <phoneticPr fontId="4" type="noConversion"/>
  </si>
  <si>
    <t>HALF(2)/FULL(1)</t>
    <phoneticPr fontId="4" type="noConversion"/>
  </si>
  <si>
    <t>&lt;Dead Time 계산 공식&gt;</t>
    <phoneticPr fontId="4" type="noConversion"/>
  </si>
  <si>
    <t>도체의 온도저항계수</t>
    <phoneticPr fontId="4" type="noConversion"/>
  </si>
  <si>
    <t>at 20℃</t>
    <phoneticPr fontId="4" type="noConversion"/>
  </si>
  <si>
    <t>Ir avg DC</t>
    <phoneticPr fontId="4" type="noConversion"/>
  </si>
  <si>
    <t>VAC</t>
    <phoneticPr fontId="4" type="noConversion"/>
  </si>
  <si>
    <t>스너버 C값(POLE 기준)</t>
    <phoneticPr fontId="3" type="noConversion"/>
  </si>
  <si>
    <t>Ir avg DC/Idc</t>
    <phoneticPr fontId="4" type="noConversion"/>
  </si>
  <si>
    <t>COSθ</t>
    <phoneticPr fontId="4" type="noConversion"/>
  </si>
  <si>
    <t>VDC 전압</t>
    <phoneticPr fontId="3" type="noConversion"/>
  </si>
  <si>
    <t>V</t>
    <phoneticPr fontId="3" type="noConversion"/>
  </si>
  <si>
    <t>중족단면적</t>
    <phoneticPr fontId="4" type="noConversion"/>
  </si>
  <si>
    <t>cmSq</t>
    <phoneticPr fontId="4" type="noConversion"/>
  </si>
  <si>
    <t>θ (위상각, Phase)</t>
    <phoneticPr fontId="4" type="noConversion"/>
  </si>
  <si>
    <t>스위칭전류</t>
    <phoneticPr fontId="3" type="noConversion"/>
  </si>
  <si>
    <t>[SIMENS/m]</t>
    <phoneticPr fontId="3" type="noConversion"/>
  </si>
  <si>
    <t>스위칭주파수</t>
    <phoneticPr fontId="4" type="noConversion"/>
  </si>
  <si>
    <t>IGBT 발열량 계산(기초)</t>
    <phoneticPr fontId="4" type="noConversion"/>
  </si>
  <si>
    <t>스위칭시 전압 상승시간</t>
    <phoneticPr fontId="3" type="noConversion"/>
  </si>
  <si>
    <t>ns</t>
    <phoneticPr fontId="3" type="noConversion"/>
  </si>
  <si>
    <t>최소 일차턴수</t>
    <phoneticPr fontId="4" type="noConversion"/>
  </si>
  <si>
    <t>turn</t>
    <phoneticPr fontId="4" type="noConversion"/>
  </si>
  <si>
    <t>IGBT 병렬 수량</t>
    <phoneticPr fontId="4" type="noConversion"/>
  </si>
  <si>
    <t>EA</t>
    <phoneticPr fontId="4" type="noConversion"/>
  </si>
  <si>
    <t>IGBT 병렬 연결 수량</t>
    <phoneticPr fontId="4" type="noConversion"/>
  </si>
  <si>
    <t>&lt;평판 인덕턴스 계산 공식&gt;</t>
    <phoneticPr fontId="4" type="noConversion"/>
  </si>
  <si>
    <t>[Hz]</t>
    <phoneticPr fontId="4" type="noConversion"/>
  </si>
  <si>
    <t>IGBT IC RMS전류</t>
    <phoneticPr fontId="4" type="noConversion"/>
  </si>
  <si>
    <t>IGBT 1EA 당 흐르는 IC RMS 전류</t>
    <phoneticPr fontId="4" type="noConversion"/>
  </si>
  <si>
    <t>판폭</t>
    <phoneticPr fontId="4" type="noConversion"/>
  </si>
  <si>
    <t>&lt;동축케이블 커패시턴스 계산 공식&gt;</t>
    <phoneticPr fontId="4" type="noConversion"/>
  </si>
  <si>
    <t>Total Gate Charge</t>
    <phoneticPr fontId="4" type="noConversion"/>
  </si>
  <si>
    <t>uC</t>
    <phoneticPr fontId="4" type="noConversion"/>
  </si>
  <si>
    <t>DATA SHEET 확인</t>
    <phoneticPr fontId="4" type="noConversion"/>
  </si>
  <si>
    <t>판사이거리</t>
    <phoneticPr fontId="4" type="noConversion"/>
  </si>
  <si>
    <t>내부도체외경</t>
    <phoneticPr fontId="4" type="noConversion"/>
  </si>
  <si>
    <t>배선길이</t>
    <phoneticPr fontId="4" type="noConversion"/>
  </si>
  <si>
    <t>&lt;콘덴서 전류 계산 공식&gt;</t>
    <phoneticPr fontId="4" type="noConversion"/>
  </si>
  <si>
    <t>게이트 전압</t>
    <phoneticPr fontId="4" type="noConversion"/>
  </si>
  <si>
    <t>게이트드라이버 전위차(예를 들어 +15V,-10V 일때는 25V)</t>
    <phoneticPr fontId="4" type="noConversion"/>
  </si>
  <si>
    <t>판길이</t>
    <phoneticPr fontId="4" type="noConversion"/>
  </si>
  <si>
    <t>절연체두께</t>
    <phoneticPr fontId="4" type="noConversion"/>
  </si>
  <si>
    <t>콘덴서</t>
    <phoneticPr fontId="4" type="noConversion"/>
  </si>
  <si>
    <t>게이트 구동손실</t>
    <phoneticPr fontId="4" type="noConversion"/>
  </si>
  <si>
    <t>W</t>
    <phoneticPr fontId="4" type="noConversion"/>
  </si>
  <si>
    <t>nH</t>
    <phoneticPr fontId="4" type="noConversion"/>
  </si>
  <si>
    <t>외부도체내경</t>
    <phoneticPr fontId="4" type="noConversion"/>
  </si>
  <si>
    <t>인가주파수</t>
    <phoneticPr fontId="4" type="noConversion"/>
  </si>
  <si>
    <t>kHz</t>
    <phoneticPr fontId="4" type="noConversion"/>
  </si>
  <si>
    <t>Switching Frequency</t>
    <phoneticPr fontId="4" type="noConversion"/>
  </si>
  <si>
    <t>파형 및 LCD 확인</t>
    <phoneticPr fontId="4" type="noConversion"/>
  </si>
  <si>
    <t>공기유전율 (ε0)</t>
    <phoneticPr fontId="3" type="noConversion"/>
  </si>
  <si>
    <t>가로(외곽)</t>
    <phoneticPr fontId="4" type="noConversion"/>
  </si>
  <si>
    <t>콘덴서전압</t>
    <phoneticPr fontId="4" type="noConversion"/>
  </si>
  <si>
    <t>Switching Current(peak)</t>
    <phoneticPr fontId="4" type="noConversion"/>
  </si>
  <si>
    <t>정현파 기준 PEAK치로 계산 (IC RMS *1.414)</t>
    <phoneticPr fontId="4" type="noConversion"/>
  </si>
  <si>
    <t>&lt;평판 커패시턴스 계산 공식&gt;</t>
    <phoneticPr fontId="4" type="noConversion"/>
  </si>
  <si>
    <t>비유전율 (εr)</t>
    <phoneticPr fontId="4" type="noConversion"/>
  </si>
  <si>
    <t>테프론(2.1)</t>
    <phoneticPr fontId="4" type="noConversion"/>
  </si>
  <si>
    <t>세로(외곽)</t>
    <phoneticPr fontId="4" type="noConversion"/>
  </si>
  <si>
    <t>Off Switching Energy</t>
    <phoneticPr fontId="4" type="noConversion"/>
  </si>
  <si>
    <t>mJ</t>
    <phoneticPr fontId="4" type="noConversion"/>
  </si>
  <si>
    <t>DATA SHEET 확인(Switching Current 에 해당하는 Off Switching Energy)</t>
    <phoneticPr fontId="4" type="noConversion"/>
  </si>
  <si>
    <t>판 면적</t>
    <phoneticPr fontId="4" type="noConversion"/>
  </si>
  <si>
    <t>mm^2</t>
    <phoneticPr fontId="4" type="noConversion"/>
  </si>
  <si>
    <t>C(단위길이당 1m 당)</t>
    <phoneticPr fontId="4" type="noConversion"/>
  </si>
  <si>
    <t>nF</t>
    <phoneticPr fontId="4" type="noConversion"/>
  </si>
  <si>
    <t>단면적</t>
    <phoneticPr fontId="4" type="noConversion"/>
  </si>
  <si>
    <t>[mmSQ]</t>
    <phoneticPr fontId="3" type="noConversion"/>
  </si>
  <si>
    <t>On Switching Energy(ZVS)</t>
    <phoneticPr fontId="4" type="noConversion"/>
  </si>
  <si>
    <t>케이블 길이</t>
    <phoneticPr fontId="4" type="noConversion"/>
  </si>
  <si>
    <t>m</t>
    <phoneticPr fontId="4" type="noConversion"/>
  </si>
  <si>
    <t>[A]</t>
    <phoneticPr fontId="4" type="noConversion"/>
  </si>
  <si>
    <t>Diode 역방향 회복 Energy(ZVS)</t>
    <phoneticPr fontId="4" type="noConversion"/>
  </si>
  <si>
    <t>mJ</t>
    <phoneticPr fontId="4" type="noConversion"/>
  </si>
  <si>
    <t>비유전율</t>
    <phoneticPr fontId="4" type="noConversion"/>
  </si>
  <si>
    <t>테프론(2.1)</t>
    <phoneticPr fontId="4" type="noConversion"/>
  </si>
  <si>
    <t xml:space="preserve">C값 </t>
    <phoneticPr fontId="4" type="noConversion"/>
  </si>
  <si>
    <t>nF</t>
    <phoneticPr fontId="4" type="noConversion"/>
  </si>
  <si>
    <t>mmSQ당 전류</t>
    <phoneticPr fontId="4" type="noConversion"/>
  </si>
  <si>
    <t>IGBT Switching Loss/Device</t>
    <phoneticPr fontId="4" type="noConversion"/>
  </si>
  <si>
    <t>W</t>
    <phoneticPr fontId="4" type="noConversion"/>
  </si>
  <si>
    <t>C</t>
    <phoneticPr fontId="4" type="noConversion"/>
  </si>
  <si>
    <t>&lt;코일 인덕턴스 계산 공식 (팬케익)&gt;</t>
    <phoneticPr fontId="4" type="noConversion"/>
  </si>
  <si>
    <t>Diode 역방향 회복 손실(ZVS)</t>
    <phoneticPr fontId="4" type="noConversion"/>
  </si>
  <si>
    <t>스너버 손실 비율</t>
  </si>
  <si>
    <t>스너버 없으면 100%, 스너버 최소 손실비율(55% 감소)</t>
    <phoneticPr fontId="4" type="noConversion"/>
  </si>
  <si>
    <t>&lt;코아/주파수별 자속밀도 실험 데이터&gt;</t>
    <phoneticPr fontId="4" type="noConversion"/>
  </si>
  <si>
    <t>&lt;동 부스바(DC) 발열량 계산 공식&gt;</t>
    <phoneticPr fontId="4" type="noConversion"/>
  </si>
  <si>
    <t>IGBT Switching Loss/Device_스너버손실비율 포함</t>
    <phoneticPr fontId="4" type="noConversion"/>
  </si>
  <si>
    <t>규소강판[Tesla]</t>
    <phoneticPr fontId="4" type="noConversion"/>
  </si>
  <si>
    <t>아몰퍼스[Tesla]</t>
    <phoneticPr fontId="4" type="noConversion"/>
  </si>
  <si>
    <t>페라이트[Tesla]</t>
    <phoneticPr fontId="4" type="noConversion"/>
  </si>
  <si>
    <t>권취 수평폭 W</t>
    <phoneticPr fontId="4" type="noConversion"/>
  </si>
  <si>
    <t>mm</t>
    <phoneticPr fontId="4" type="noConversion"/>
  </si>
  <si>
    <t>IC 평균전류</t>
    <phoneticPr fontId="4" type="noConversion"/>
  </si>
  <si>
    <t>주파수[kHz]</t>
    <phoneticPr fontId="4" type="noConversion"/>
  </si>
  <si>
    <t>dT 80℃기준</t>
    <phoneticPr fontId="4" type="noConversion"/>
  </si>
  <si>
    <t>dT 75~80℃기준</t>
    <phoneticPr fontId="4" type="noConversion"/>
  </si>
  <si>
    <t>dT 60℃기준</t>
    <phoneticPr fontId="4" type="noConversion"/>
  </si>
  <si>
    <t>인덕턴스 L</t>
    <phoneticPr fontId="4" type="noConversion"/>
  </si>
  <si>
    <t>IGBT VCE Saturation</t>
    <phoneticPr fontId="4" type="noConversion"/>
  </si>
  <si>
    <t>DATA SHEET 확인(IC 평균전류에 해당하는 Vce saturation 확인)</t>
    <phoneticPr fontId="4" type="noConversion"/>
  </si>
  <si>
    <t>Diode Vf</t>
    <phoneticPr fontId="4" type="noConversion"/>
  </si>
  <si>
    <t>DATA SHEET 확인(IC 평균전류에 해당하는 Diode Vf 확인)</t>
    <phoneticPr fontId="4" type="noConversion"/>
  </si>
  <si>
    <t>Duty</t>
    <phoneticPr fontId="4" type="noConversion"/>
  </si>
  <si>
    <t>%</t>
    <phoneticPr fontId="4" type="noConversion"/>
  </si>
  <si>
    <t>위상지연각</t>
    <phoneticPr fontId="4" type="noConversion"/>
  </si>
  <si>
    <t>도체의 산출 전도도</t>
    <phoneticPr fontId="3" type="noConversion"/>
  </si>
  <si>
    <t>IGBT Conduction Loss</t>
    <phoneticPr fontId="4" type="noConversion"/>
  </si>
  <si>
    <t>비투자율</t>
    <phoneticPr fontId="4" type="noConversion"/>
  </si>
  <si>
    <t>ui</t>
    <phoneticPr fontId="3" type="noConversion"/>
  </si>
  <si>
    <t>Diode Conduction Loss</t>
    <phoneticPr fontId="4" type="noConversion"/>
  </si>
  <si>
    <t>Conduction Loss/Device</t>
    <phoneticPr fontId="4" type="noConversion"/>
  </si>
  <si>
    <t xml:space="preserve">두께 : 부스바 </t>
    <phoneticPr fontId="4" type="noConversion"/>
  </si>
  <si>
    <t>IGBT Loss (Total)</t>
    <phoneticPr fontId="4" type="noConversion"/>
  </si>
  <si>
    <t>Diode Loss (Total)</t>
    <phoneticPr fontId="4" type="noConversion"/>
  </si>
  <si>
    <t>단면적</t>
    <phoneticPr fontId="4" type="noConversion"/>
  </si>
  <si>
    <t>Total Loss/Module</t>
    <phoneticPr fontId="4" type="noConversion"/>
  </si>
  <si>
    <t>모듈 Package 당 IGBT(switching device)수량</t>
    <phoneticPr fontId="4" type="noConversion"/>
  </si>
  <si>
    <t>SINGLE 모듈: 1, DUAL 모듈: 2(62mm package)</t>
    <phoneticPr fontId="4" type="noConversion"/>
  </si>
  <si>
    <t>Total Solid Device Loss</t>
    <phoneticPr fontId="4" type="noConversion"/>
  </si>
  <si>
    <t>W MAX</t>
    <phoneticPr fontId="4" type="noConversion"/>
  </si>
  <si>
    <t>Ptot / IGBT CASE</t>
    <phoneticPr fontId="4" type="noConversion"/>
  </si>
  <si>
    <t>Loss %</t>
    <phoneticPr fontId="4" type="noConversion"/>
  </si>
  <si>
    <t>약 30% 이하가 되어야 함</t>
    <phoneticPr fontId="4" type="noConversion"/>
  </si>
  <si>
    <t>열저항(Junction-Case)-IGBT</t>
    <phoneticPr fontId="4" type="noConversion"/>
  </si>
  <si>
    <t>K/W</t>
    <phoneticPr fontId="4" type="noConversion"/>
  </si>
  <si>
    <t>열저항(Junction-Case)-Diode</t>
    <phoneticPr fontId="4" type="noConversion"/>
  </si>
  <si>
    <t>K/W</t>
    <phoneticPr fontId="4" type="noConversion"/>
  </si>
  <si>
    <t>Case온도(IGBT,Tj=125℃기준)</t>
    <phoneticPr fontId="4" type="noConversion"/>
  </si>
  <si>
    <t>℃</t>
    <phoneticPr fontId="4" type="noConversion"/>
  </si>
  <si>
    <t>표기된 온도 이상은 사용 불가</t>
    <phoneticPr fontId="4" type="noConversion"/>
  </si>
  <si>
    <t>Case온도(Diode,Tj=125℃기준)</t>
    <phoneticPr fontId="4" type="noConversion"/>
  </si>
  <si>
    <t>℃</t>
    <phoneticPr fontId="4" type="noConversion"/>
  </si>
  <si>
    <t>Case온도- IGBT  온도차</t>
    <phoneticPr fontId="4" type="noConversion"/>
  </si>
  <si>
    <t>&lt;코아 중족 단면적 ( 1조 기준, 주사용품)&gt;</t>
    <phoneticPr fontId="4" type="noConversion"/>
  </si>
  <si>
    <t>&lt;DC 인덕터 L값)&gt;</t>
    <phoneticPr fontId="4" type="noConversion"/>
  </si>
  <si>
    <t>Case온도- Diode 온도차</t>
    <phoneticPr fontId="4" type="noConversion"/>
  </si>
  <si>
    <t>코아 종류</t>
    <phoneticPr fontId="4" type="noConversion"/>
  </si>
  <si>
    <t>중족단면적(Ae)</t>
    <phoneticPr fontId="4" type="noConversion"/>
  </si>
  <si>
    <t>규격</t>
    <phoneticPr fontId="4" type="noConversion"/>
  </si>
  <si>
    <t>자재코드</t>
    <phoneticPr fontId="4" type="noConversion"/>
  </si>
  <si>
    <t>L값(360Hz)</t>
    <phoneticPr fontId="4" type="noConversion"/>
  </si>
  <si>
    <t>열저항(Case-Heatsink)-IGBT(lPaste = 1 W/(m·K)기준)</t>
    <phoneticPr fontId="4" type="noConversion"/>
  </si>
  <si>
    <t>규소강판(0.2t, Si 3%)</t>
    <phoneticPr fontId="4" type="noConversion"/>
  </si>
  <si>
    <t>cm^2</t>
    <phoneticPr fontId="4" type="noConversion"/>
  </si>
  <si>
    <t xml:space="preserve">[PSIH-50XF-L1F-V1] </t>
    <phoneticPr fontId="4" type="noConversion"/>
  </si>
  <si>
    <t>LLL00001</t>
    <phoneticPr fontId="3" type="noConversion"/>
  </si>
  <si>
    <t>60uH</t>
    <phoneticPr fontId="3" type="noConversion"/>
  </si>
  <si>
    <t>열저항(Case-Heatsink)-Diode(lPaste = 1 W/(m·K)기준)</t>
    <phoneticPr fontId="4" type="noConversion"/>
  </si>
  <si>
    <t>DATA SHEET 확인</t>
    <phoneticPr fontId="4" type="noConversion"/>
  </si>
  <si>
    <t>아몰퍼스(50x175xSF)</t>
    <phoneticPr fontId="4" type="noConversion"/>
  </si>
  <si>
    <t>cm^2</t>
    <phoneticPr fontId="4" type="noConversion"/>
  </si>
  <si>
    <t xml:space="preserve">[PSIH-050HF-LO-01] </t>
    <phoneticPr fontId="4" type="noConversion"/>
  </si>
  <si>
    <t>LLL00005</t>
    <phoneticPr fontId="3" type="noConversion"/>
  </si>
  <si>
    <t>390uH</t>
    <phoneticPr fontId="3" type="noConversion"/>
  </si>
  <si>
    <t>Heatsink온도-IGBT바닥면 중심</t>
    <phoneticPr fontId="4" type="noConversion"/>
  </si>
  <si>
    <t>UU100</t>
    <phoneticPr fontId="4" type="noConversion"/>
  </si>
  <si>
    <t>[PSIH-100XF-LI-V1]</t>
    <phoneticPr fontId="4" type="noConversion"/>
  </si>
  <si>
    <t>LLL00060</t>
    <phoneticPr fontId="3" type="noConversion"/>
  </si>
  <si>
    <t>900uH</t>
    <phoneticPr fontId="3" type="noConversion"/>
  </si>
  <si>
    <t>Heatsink온도-Diode바닥면 중심</t>
    <phoneticPr fontId="4" type="noConversion"/>
  </si>
  <si>
    <t>UU120</t>
    <phoneticPr fontId="4" type="noConversion"/>
  </si>
  <si>
    <t xml:space="preserve">[PSIH-200XF-LI-V1] </t>
    <phoneticPr fontId="4" type="noConversion"/>
  </si>
  <si>
    <t>LLL00012</t>
    <phoneticPr fontId="3" type="noConversion"/>
  </si>
  <si>
    <t>630uH</t>
    <phoneticPr fontId="3" type="noConversion"/>
  </si>
  <si>
    <t>Heatsink온도-케이스간 온도차-IGBT</t>
    <phoneticPr fontId="4" type="noConversion"/>
  </si>
  <si>
    <t>UU120C</t>
    <phoneticPr fontId="4" type="noConversion"/>
  </si>
  <si>
    <t xml:space="preserve">[PSIH-400XF-LI-V1]  </t>
    <phoneticPr fontId="4" type="noConversion"/>
  </si>
  <si>
    <t>LLL00013</t>
    <phoneticPr fontId="3" type="noConversion"/>
  </si>
  <si>
    <t>375uH</t>
    <phoneticPr fontId="3" type="noConversion"/>
  </si>
  <si>
    <t>Heatsink온도-케이스간 온도차-Diode</t>
    <phoneticPr fontId="4" type="noConversion"/>
  </si>
  <si>
    <t>I118+I140 조합</t>
    <phoneticPr fontId="4" type="noConversion"/>
  </si>
  <si>
    <t xml:space="preserve">[PSIH-500XF-LI-V2] </t>
    <phoneticPr fontId="4" type="noConversion"/>
  </si>
  <si>
    <t>LLL00051</t>
    <phoneticPr fontId="3" type="noConversion"/>
  </si>
  <si>
    <t>515uH</t>
    <phoneticPr fontId="3" type="noConversion"/>
  </si>
  <si>
    <t>냉각수 출수 온도</t>
    <phoneticPr fontId="4" type="noConversion"/>
  </si>
  <si>
    <t>수냉방열판과의 열저항의 기준이 없어 60℃를 기준으로함</t>
    <phoneticPr fontId="4" type="noConversion"/>
  </si>
  <si>
    <t>냉각수 유량</t>
    <phoneticPr fontId="4" type="noConversion"/>
  </si>
  <si>
    <t>lpm</t>
    <phoneticPr fontId="4" type="noConversion"/>
  </si>
  <si>
    <t>유량</t>
    <phoneticPr fontId="4" type="noConversion"/>
  </si>
  <si>
    <t>냉각수 입수 온도 최대</t>
    <phoneticPr fontId="4" type="noConversion"/>
  </si>
  <si>
    <t>기존 턴비 : 14/14/14 : 3/3 (4.66:1) 
⇒ 14/14/14 : 7 (2:1)변경
--&gt; 2차 직렬연결 블록 필요
--&gt; 2차 부스바 출력케이블 연결구조필요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</si>
</sst>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"/>
    <numFmt numFmtId="177" formatCode="0.0_ "/>
    <numFmt numFmtId="178" formatCode="0.0000"/>
    <numFmt numFmtId="179" formatCode="0.000_);[Red]\(0.000\)"/>
    <numFmt numFmtId="180" formatCode="0.000_ "/>
    <numFmt numFmtId="181" formatCode="0_ "/>
    <numFmt numFmtId="182" formatCode="0.0000_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/>
  </cellStyleXfs>
  <cellXfs count="11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22" fontId="2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1" fillId="0" borderId="0" xfId="1" applyFont="1">
      <alignment vertical="center"/>
    </xf>
    <xf numFmtId="0" fontId="10" fillId="0" borderId="0" xfId="1">
      <alignment vertical="center"/>
    </xf>
    <xf numFmtId="0" fontId="12" fillId="3" borderId="6" xfId="1" applyFont="1" applyFill="1" applyBorder="1">
      <alignment vertical="center"/>
    </xf>
    <xf numFmtId="0" fontId="12" fillId="0" borderId="0" xfId="1" applyFont="1">
      <alignment vertical="center"/>
    </xf>
    <xf numFmtId="0" fontId="12" fillId="0" borderId="6" xfId="1" applyFont="1" applyBorder="1">
      <alignment vertical="center"/>
    </xf>
    <xf numFmtId="176" fontId="12" fillId="4" borderId="6" xfId="1" applyNumberFormat="1" applyFont="1" applyFill="1" applyBorder="1">
      <alignment vertical="center"/>
    </xf>
    <xf numFmtId="0" fontId="13" fillId="0" borderId="6" xfId="1" applyFont="1" applyBorder="1" applyAlignment="1">
      <alignment horizontal="center" vertical="center"/>
    </xf>
    <xf numFmtId="0" fontId="14" fillId="0" borderId="6" xfId="1" applyFont="1" applyBorder="1">
      <alignment vertical="center"/>
    </xf>
    <xf numFmtId="0" fontId="13" fillId="0" borderId="7" xfId="1" applyFont="1" applyBorder="1" applyAlignment="1">
      <alignment horizontal="left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2" fillId="0" borderId="6" xfId="2" applyFont="1" applyBorder="1"/>
    <xf numFmtId="0" fontId="12" fillId="4" borderId="6" xfId="2" applyFont="1" applyFill="1" applyBorder="1"/>
    <xf numFmtId="0" fontId="12" fillId="0" borderId="6" xfId="0" applyFont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2" fontId="12" fillId="2" borderId="6" xfId="1" applyNumberFormat="1" applyFont="1" applyFill="1" applyBorder="1">
      <alignment vertical="center"/>
    </xf>
    <xf numFmtId="0" fontId="16" fillId="0" borderId="6" xfId="0" applyFont="1" applyBorder="1" applyAlignment="1">
      <alignment vertical="center"/>
    </xf>
    <xf numFmtId="0" fontId="15" fillId="0" borderId="6" xfId="0" applyNumberFormat="1" applyFont="1" applyBorder="1" applyAlignment="1">
      <alignment vertical="center"/>
    </xf>
    <xf numFmtId="176" fontId="12" fillId="5" borderId="6" xfId="1" applyNumberFormat="1" applyFont="1" applyFill="1" applyBorder="1">
      <alignment vertical="center"/>
    </xf>
    <xf numFmtId="0" fontId="16" fillId="0" borderId="6" xfId="0" applyNumberFormat="1" applyFont="1" applyBorder="1" applyAlignment="1">
      <alignment vertical="center"/>
    </xf>
    <xf numFmtId="176" fontId="12" fillId="2" borderId="6" xfId="1" applyNumberFormat="1" applyFont="1" applyFill="1" applyBorder="1">
      <alignment vertical="center"/>
    </xf>
    <xf numFmtId="0" fontId="14" fillId="6" borderId="6" xfId="2" applyFont="1" applyFill="1" applyBorder="1"/>
    <xf numFmtId="0" fontId="15" fillId="2" borderId="6" xfId="0" applyNumberFormat="1" applyFont="1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176" fontId="12" fillId="0" borderId="6" xfId="1" applyNumberFormat="1" applyFont="1" applyBorder="1">
      <alignment vertical="center"/>
    </xf>
    <xf numFmtId="0" fontId="12" fillId="6" borderId="6" xfId="0" applyFont="1" applyFill="1" applyBorder="1" applyAlignment="1">
      <alignment vertical="center"/>
    </xf>
    <xf numFmtId="1" fontId="15" fillId="0" borderId="6" xfId="0" applyNumberFormat="1" applyFont="1" applyBorder="1" applyAlignment="1">
      <alignment vertical="center"/>
    </xf>
    <xf numFmtId="0" fontId="16" fillId="4" borderId="6" xfId="0" applyNumberFormat="1" applyFont="1" applyFill="1" applyBorder="1" applyAlignment="1">
      <alignment vertical="center"/>
    </xf>
    <xf numFmtId="177" fontId="15" fillId="6" borderId="6" xfId="0" applyNumberFormat="1" applyFont="1" applyFill="1" applyBorder="1" applyAlignment="1">
      <alignment vertical="center"/>
    </xf>
    <xf numFmtId="0" fontId="12" fillId="4" borderId="6" xfId="0" applyNumberFormat="1" applyFont="1" applyFill="1" applyBorder="1" applyAlignment="1">
      <alignment vertical="center"/>
    </xf>
    <xf numFmtId="177" fontId="16" fillId="4" borderId="6" xfId="0" applyNumberFormat="1" applyFont="1" applyFill="1" applyBorder="1" applyAlignment="1">
      <alignment vertical="center"/>
    </xf>
    <xf numFmtId="178" fontId="12" fillId="4" borderId="6" xfId="1" applyNumberFormat="1" applyFont="1" applyFill="1" applyBorder="1">
      <alignment vertical="center"/>
    </xf>
    <xf numFmtId="179" fontId="14" fillId="6" borderId="6" xfId="0" applyNumberFormat="1" applyFont="1" applyFill="1" applyBorder="1" applyAlignment="1">
      <alignment vertical="center"/>
    </xf>
    <xf numFmtId="0" fontId="0" fillId="0" borderId="0" xfId="1" applyFont="1">
      <alignment vertical="center"/>
    </xf>
    <xf numFmtId="177" fontId="16" fillId="6" borderId="6" xfId="0" applyNumberFormat="1" applyFont="1" applyFill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180" fontId="16" fillId="0" borderId="6" xfId="0" applyNumberFormat="1" applyFont="1" applyBorder="1" applyAlignment="1">
      <alignment vertical="center"/>
    </xf>
    <xf numFmtId="177" fontId="14" fillId="7" borderId="6" xfId="0" applyNumberFormat="1" applyFont="1" applyFill="1" applyBorder="1" applyAlignment="1">
      <alignment vertical="center"/>
    </xf>
    <xf numFmtId="2" fontId="12" fillId="4" borderId="6" xfId="1" applyNumberFormat="1" applyFont="1" applyFill="1" applyBorder="1">
      <alignment vertical="center"/>
    </xf>
    <xf numFmtId="0" fontId="12" fillId="8" borderId="6" xfId="1" applyFont="1" applyFill="1" applyBorder="1" applyAlignment="1">
      <alignment vertical="center"/>
    </xf>
    <xf numFmtId="176" fontId="12" fillId="6" borderId="6" xfId="1" applyNumberFormat="1" applyFont="1" applyFill="1" applyBorder="1">
      <alignment vertical="center"/>
    </xf>
    <xf numFmtId="2" fontId="12" fillId="6" borderId="6" xfId="1" applyNumberFormat="1" applyFont="1" applyFill="1" applyBorder="1">
      <alignment vertical="center"/>
    </xf>
    <xf numFmtId="0" fontId="13" fillId="0" borderId="6" xfId="1" applyFont="1" applyBorder="1">
      <alignment vertical="center"/>
    </xf>
    <xf numFmtId="0" fontId="12" fillId="4" borderId="6" xfId="1" applyFont="1" applyFill="1" applyBorder="1">
      <alignment vertical="center"/>
    </xf>
    <xf numFmtId="0" fontId="14" fillId="6" borderId="6" xfId="1" applyFont="1" applyFill="1" applyBorder="1">
      <alignment vertical="center"/>
    </xf>
    <xf numFmtId="0" fontId="14" fillId="6" borderId="6" xfId="1" applyFont="1" applyFill="1" applyBorder="1" applyAlignment="1">
      <alignment vertical="center"/>
    </xf>
    <xf numFmtId="0" fontId="12" fillId="6" borderId="6" xfId="1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6" xfId="0" applyFont="1" applyFill="1" applyBorder="1" applyAlignment="1">
      <alignment horizontal="center" vertical="center"/>
    </xf>
    <xf numFmtId="176" fontId="12" fillId="3" borderId="6" xfId="1" applyNumberFormat="1" applyFont="1" applyFill="1" applyBorder="1">
      <alignment vertical="center"/>
    </xf>
    <xf numFmtId="2" fontId="12" fillId="3" borderId="6" xfId="1" applyNumberFormat="1" applyFont="1" applyFill="1" applyBorder="1">
      <alignment vertical="center"/>
    </xf>
    <xf numFmtId="177" fontId="12" fillId="6" borderId="6" xfId="0" applyNumberFormat="1" applyFont="1" applyFill="1" applyBorder="1" applyAlignment="1">
      <alignment vertical="center"/>
    </xf>
    <xf numFmtId="177" fontId="14" fillId="6" borderId="6" xfId="0" applyNumberFormat="1" applyFont="1" applyFill="1" applyBorder="1" applyAlignment="1">
      <alignment vertical="center"/>
    </xf>
    <xf numFmtId="0" fontId="13" fillId="0" borderId="6" xfId="1" applyFont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14" fillId="6" borderId="6" xfId="1" quotePrefix="1" applyFont="1" applyFill="1" applyBorder="1" applyAlignment="1">
      <alignment vertical="center"/>
    </xf>
    <xf numFmtId="0" fontId="12" fillId="0" borderId="6" xfId="0" applyFont="1" applyBorder="1" applyAlignment="1"/>
    <xf numFmtId="0" fontId="12" fillId="4" borderId="6" xfId="0" applyFont="1" applyFill="1" applyBorder="1" applyAlignment="1">
      <alignment horizontal="right"/>
    </xf>
    <xf numFmtId="0" fontId="14" fillId="0" borderId="6" xfId="0" applyFont="1" applyBorder="1" applyAlignment="1"/>
    <xf numFmtId="177" fontId="12" fillId="2" borderId="6" xfId="0" applyNumberFormat="1" applyFont="1" applyFill="1" applyBorder="1" applyAlignment="1"/>
    <xf numFmtId="0" fontId="12" fillId="4" borderId="6" xfId="0" applyFont="1" applyFill="1" applyBorder="1" applyAlignment="1"/>
    <xf numFmtId="177" fontId="12" fillId="4" borderId="6" xfId="0" applyNumberFormat="1" applyFont="1" applyFill="1" applyBorder="1" applyAlignment="1">
      <alignment horizontal="right"/>
    </xf>
    <xf numFmtId="177" fontId="12" fillId="2" borderId="6" xfId="0" applyNumberFormat="1" applyFont="1" applyFill="1" applyBorder="1" applyAlignment="1">
      <alignment horizontal="right"/>
    </xf>
    <xf numFmtId="0" fontId="14" fillId="6" borderId="6" xfId="0" applyFont="1" applyFill="1" applyBorder="1" applyAlignment="1"/>
    <xf numFmtId="0" fontId="16" fillId="0" borderId="6" xfId="0" applyFont="1" applyBorder="1" applyAlignment="1">
      <alignment horizontal="left" vertical="center"/>
    </xf>
    <xf numFmtId="0" fontId="12" fillId="6" borderId="6" xfId="1" applyFont="1" applyFill="1" applyBorder="1">
      <alignment vertical="center"/>
    </xf>
    <xf numFmtId="177" fontId="13" fillId="6" borderId="6" xfId="0" applyNumberFormat="1" applyFont="1" applyFill="1" applyBorder="1" applyAlignment="1">
      <alignment horizontal="right"/>
    </xf>
    <xf numFmtId="1" fontId="14" fillId="6" borderId="6" xfId="0" applyNumberFormat="1" applyFont="1" applyFill="1" applyBorder="1" applyAlignment="1">
      <alignment vertical="center"/>
    </xf>
    <xf numFmtId="0" fontId="10" fillId="0" borderId="0" xfId="2"/>
    <xf numFmtId="0" fontId="14" fillId="7" borderId="6" xfId="1" applyFont="1" applyFill="1" applyBorder="1">
      <alignment vertical="center"/>
    </xf>
    <xf numFmtId="177" fontId="12" fillId="5" borderId="6" xfId="0" applyNumberFormat="1" applyFont="1" applyFill="1" applyBorder="1" applyAlignment="1">
      <alignment horizontal="right"/>
    </xf>
    <xf numFmtId="0" fontId="13" fillId="0" borderId="0" xfId="2" applyFont="1"/>
    <xf numFmtId="0" fontId="12" fillId="0" borderId="0" xfId="2" applyFont="1"/>
    <xf numFmtId="0" fontId="13" fillId="0" borderId="7" xfId="0" applyFont="1" applyBorder="1" applyAlignment="1">
      <alignment horizontal="left"/>
    </xf>
    <xf numFmtId="177" fontId="15" fillId="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12" fillId="0" borderId="6" xfId="0" applyFont="1" applyBorder="1" applyAlignment="1">
      <alignment horizontal="left"/>
    </xf>
    <xf numFmtId="181" fontId="12" fillId="4" borderId="6" xfId="0" applyNumberFormat="1" applyFont="1" applyFill="1" applyBorder="1" applyAlignment="1">
      <alignment horizontal="right"/>
    </xf>
    <xf numFmtId="177" fontId="14" fillId="6" borderId="6" xfId="0" applyNumberFormat="1" applyFont="1" applyFill="1" applyBorder="1" applyAlignment="1">
      <alignment horizontal="right"/>
    </xf>
    <xf numFmtId="177" fontId="13" fillId="4" borderId="6" xfId="0" applyNumberFormat="1" applyFont="1" applyFill="1" applyBorder="1" applyAlignment="1">
      <alignment horizontal="right"/>
    </xf>
    <xf numFmtId="182" fontId="12" fillId="4" borderId="6" xfId="0" applyNumberFormat="1" applyFont="1" applyFill="1" applyBorder="1" applyAlignment="1"/>
    <xf numFmtId="0" fontId="13" fillId="0" borderId="6" xfId="0" applyFont="1" applyBorder="1" applyAlignment="1"/>
    <xf numFmtId="177" fontId="14" fillId="6" borderId="6" xfId="0" applyNumberFormat="1" applyFont="1" applyFill="1" applyBorder="1" applyAlignment="1"/>
    <xf numFmtId="0" fontId="12" fillId="0" borderId="6" xfId="0" applyFont="1" applyFill="1" applyBorder="1" applyAlignment="1"/>
    <xf numFmtId="0" fontId="12" fillId="8" borderId="6" xfId="1" applyFont="1" applyFill="1" applyBorder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177" fontId="15" fillId="2" borderId="6" xfId="0" applyNumberFormat="1" applyFont="1" applyFill="1" applyBorder="1" applyAlignment="1"/>
    <xf numFmtId="0" fontId="12" fillId="2" borderId="6" xfId="0" applyFont="1" applyFill="1" applyBorder="1" applyAlignment="1"/>
    <xf numFmtId="177" fontId="12" fillId="5" borderId="6" xfId="0" applyNumberFormat="1" applyFont="1" applyFill="1" applyBorder="1" applyAlignment="1"/>
  </cellXfs>
  <cellStyles count="3">
    <cellStyle name="표준" xfId="0" builtinId="0"/>
    <cellStyle name="표준_20080312_동작점설계_해송_150MF" xfId="1"/>
    <cellStyle name="표준_계산공식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1557705</xdr:colOff>
      <xdr:row>19</xdr:row>
      <xdr:rowOff>58555</xdr:rowOff>
    </xdr:from>
    <xdr:to>
      <xdr:col>22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1695355</xdr:colOff>
      <xdr:row>19</xdr:row>
      <xdr:rowOff>61441</xdr:rowOff>
    </xdr:from>
    <xdr:to>
      <xdr:col>22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89863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1557705</xdr:colOff>
      <xdr:row>23</xdr:row>
      <xdr:rowOff>58555</xdr:rowOff>
    </xdr:from>
    <xdr:to>
      <xdr:col>22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776098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1695355</xdr:colOff>
      <xdr:row>23</xdr:row>
      <xdr:rowOff>61441</xdr:rowOff>
    </xdr:from>
    <xdr:to>
      <xdr:col>22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89863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1819409</xdr:colOff>
      <xdr:row>23</xdr:row>
      <xdr:rowOff>54807</xdr:rowOff>
    </xdr:from>
    <xdr:to>
      <xdr:col>22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802268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1957059</xdr:colOff>
      <xdr:row>23</xdr:row>
      <xdr:rowOff>57693</xdr:rowOff>
    </xdr:from>
    <xdr:to>
      <xdr:col>22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816033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1549897</xdr:colOff>
      <xdr:row>27</xdr:row>
      <xdr:rowOff>23231</xdr:rowOff>
    </xdr:from>
    <xdr:to>
      <xdr:col>22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775317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1668030</xdr:colOff>
      <xdr:row>27</xdr:row>
      <xdr:rowOff>23231</xdr:rowOff>
    </xdr:from>
    <xdr:to>
      <xdr:col>22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87130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1667817</xdr:colOff>
      <xdr:row>27</xdr:row>
      <xdr:rowOff>120160</xdr:rowOff>
    </xdr:from>
    <xdr:to>
      <xdr:col>22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87109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1556525</xdr:colOff>
      <xdr:row>27</xdr:row>
      <xdr:rowOff>121015</xdr:rowOff>
    </xdr:from>
    <xdr:to>
      <xdr:col>22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775980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1557705</xdr:colOff>
      <xdr:row>19</xdr:row>
      <xdr:rowOff>58555</xdr:rowOff>
    </xdr:from>
    <xdr:to>
      <xdr:col>22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1695356</xdr:colOff>
      <xdr:row>19</xdr:row>
      <xdr:rowOff>55621</xdr:rowOff>
    </xdr:from>
    <xdr:to>
      <xdr:col>22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89863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1557705</xdr:colOff>
      <xdr:row>23</xdr:row>
      <xdr:rowOff>56203</xdr:rowOff>
    </xdr:from>
    <xdr:to>
      <xdr:col>22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776098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1690298</xdr:colOff>
      <xdr:row>23</xdr:row>
      <xdr:rowOff>54429</xdr:rowOff>
    </xdr:from>
    <xdr:to>
      <xdr:col>22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89357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1819409</xdr:colOff>
      <xdr:row>23</xdr:row>
      <xdr:rowOff>53245</xdr:rowOff>
    </xdr:from>
    <xdr:to>
      <xdr:col>22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802268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1950107</xdr:colOff>
      <xdr:row>23</xdr:row>
      <xdr:rowOff>54428</xdr:rowOff>
    </xdr:from>
    <xdr:to>
      <xdr:col>22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815338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1553159</xdr:colOff>
      <xdr:row>27</xdr:row>
      <xdr:rowOff>23664</xdr:rowOff>
    </xdr:from>
    <xdr:to>
      <xdr:col>22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775643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1668030</xdr:colOff>
      <xdr:row>27</xdr:row>
      <xdr:rowOff>23230</xdr:rowOff>
    </xdr:from>
    <xdr:to>
      <xdr:col>22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87130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1664555</xdr:colOff>
      <xdr:row>27</xdr:row>
      <xdr:rowOff>120160</xdr:rowOff>
    </xdr:from>
    <xdr:to>
      <xdr:col>22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86783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1556525</xdr:colOff>
      <xdr:row>27</xdr:row>
      <xdr:rowOff>124239</xdr:rowOff>
    </xdr:from>
    <xdr:to>
      <xdr:col>22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775980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28575</xdr:colOff>
      <xdr:row>57</xdr:row>
      <xdr:rowOff>47625</xdr:rowOff>
    </xdr:from>
    <xdr:to>
      <xdr:col>27</xdr:col>
      <xdr:colOff>0</xdr:colOff>
      <xdr:row>63</xdr:row>
      <xdr:rowOff>76200</xdr:rowOff>
    </xdr:to>
    <xdr:grpSp>
      <xdr:nvGrpSpPr>
        <xdr:cNvPr id="22" name="그룹 73"/>
        <xdr:cNvGrpSpPr>
          <a:grpSpLocks/>
        </xdr:cNvGrpSpPr>
      </xdr:nvGrpSpPr>
      <xdr:grpSpPr bwMode="auto">
        <a:xfrm>
          <a:off x="29913263" y="12263438"/>
          <a:ext cx="1352550" cy="1314450"/>
          <a:chOff x="13722010" y="2477311"/>
          <a:chExt cx="1617739" cy="1066696"/>
        </a:xfrm>
      </xdr:grpSpPr>
      <xdr:sp macro="" textlink="">
        <xdr:nvSpPr>
          <xdr:cNvPr id="23" name="직사각형 22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왼쪽 중괄호 25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0" name="타원 29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1" name="타원 30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2" name="타원 31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0" name="직선 연결선 39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35719</xdr:colOff>
      <xdr:row>3</xdr:row>
      <xdr:rowOff>47625</xdr:rowOff>
    </xdr:from>
    <xdr:to>
      <xdr:col>13</xdr:col>
      <xdr:colOff>683418</xdr:colOff>
      <xdr:row>8</xdr:row>
      <xdr:rowOff>47625</xdr:rowOff>
    </xdr:to>
    <xdr:grpSp>
      <xdr:nvGrpSpPr>
        <xdr:cNvPr id="41" name="그룹 73"/>
        <xdr:cNvGrpSpPr>
          <a:grpSpLocks/>
        </xdr:cNvGrpSpPr>
      </xdr:nvGrpSpPr>
      <xdr:grpSpPr bwMode="auto">
        <a:xfrm>
          <a:off x="16883063" y="690563"/>
          <a:ext cx="647699" cy="1071562"/>
          <a:chOff x="13722010" y="2477311"/>
          <a:chExt cx="1617739" cy="1066696"/>
        </a:xfrm>
      </xdr:grpSpPr>
      <xdr:sp macro="" textlink="">
        <xdr:nvSpPr>
          <xdr:cNvPr id="42" name="직사각형 41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3" name="직선 화살표 연결선 42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직선 화살표 연결선 43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왼쪽 중괄호 44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49" name="타원 48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1" name="타원 50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타원 51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" name="타원 52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4" name="타원 53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5" name="타원 54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타원 55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7" name="타원 56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8" name="타원 57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59" name="직선 연결선 58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2"/>
  <sheetViews>
    <sheetView topLeftCell="E1" zoomScale="80" zoomScaleNormal="80" workbookViewId="0">
      <selection activeCell="V28" sqref="V28"/>
    </sheetView>
  </sheetViews>
  <sheetFormatPr defaultRowHeight="13.5" x14ac:dyDescent="0.3"/>
  <cols>
    <col min="1" max="1" width="9" style="23"/>
    <col min="2" max="2" width="39.875" style="23" customWidth="1"/>
    <col min="3" max="3" width="16.375" style="23" bestFit="1" customWidth="1"/>
    <col min="4" max="4" width="6.375" style="23" customWidth="1"/>
    <col min="5" max="6" width="8.25" style="23" customWidth="1"/>
    <col min="7" max="7" width="7.125" style="23" customWidth="1"/>
    <col min="8" max="8" width="9.25" style="23" bestFit="1" customWidth="1"/>
    <col min="9" max="9" width="63.625" style="23" customWidth="1"/>
    <col min="10" max="10" width="6.125" style="23" customWidth="1"/>
    <col min="11" max="11" width="17.75" style="23" bestFit="1" customWidth="1"/>
    <col min="12" max="12" width="14.5" style="23" bestFit="1" customWidth="1"/>
    <col min="13" max="13" width="14.375" style="23" bestFit="1" customWidth="1"/>
    <col min="14" max="14" width="26.875" style="23" customWidth="1"/>
    <col min="15" max="15" width="23.25" style="23" bestFit="1" customWidth="1"/>
    <col min="16" max="17" width="9" style="23"/>
    <col min="18" max="18" width="5.25" style="23" customWidth="1"/>
    <col min="19" max="19" width="19.75" style="23" bestFit="1" customWidth="1"/>
    <col min="20" max="20" width="9" style="23"/>
    <col min="21" max="21" width="12.125" style="23" bestFit="1" customWidth="1"/>
    <col min="22" max="22" width="4.75" style="23" customWidth="1"/>
    <col min="23" max="23" width="33.75" style="23" customWidth="1"/>
    <col min="24" max="16384" width="9" style="23"/>
  </cols>
  <sheetData>
    <row r="1" spans="2:25" ht="17.25" x14ac:dyDescent="0.3">
      <c r="B1" s="22" t="s">
        <v>67</v>
      </c>
    </row>
    <row r="2" spans="2:25" ht="16.5" x14ac:dyDescent="0.3">
      <c r="B2" s="24" t="s">
        <v>68</v>
      </c>
      <c r="C2" s="25" t="s">
        <v>69</v>
      </c>
      <c r="D2" s="25"/>
      <c r="E2" s="25"/>
      <c r="F2" s="25"/>
      <c r="G2" s="25"/>
      <c r="H2" s="25" t="s">
        <v>70</v>
      </c>
      <c r="I2" s="25" t="s">
        <v>71</v>
      </c>
    </row>
    <row r="3" spans="2:25" ht="16.5" x14ac:dyDescent="0.3">
      <c r="B3" s="26" t="s">
        <v>72</v>
      </c>
      <c r="C3" s="27">
        <v>150</v>
      </c>
      <c r="D3" s="27"/>
      <c r="E3" s="27">
        <v>150</v>
      </c>
      <c r="F3" s="27">
        <v>150</v>
      </c>
      <c r="G3" s="26" t="s">
        <v>73</v>
      </c>
      <c r="H3" s="28">
        <v>1</v>
      </c>
      <c r="I3" s="29" t="s">
        <v>74</v>
      </c>
      <c r="K3" s="30" t="s">
        <v>75</v>
      </c>
      <c r="L3" s="30"/>
      <c r="M3" s="30"/>
      <c r="N3" s="31" t="s">
        <v>76</v>
      </c>
      <c r="O3" s="32" t="s">
        <v>77</v>
      </c>
      <c r="P3" s="32"/>
      <c r="Q3" s="32"/>
      <c r="R3" s="31" t="s">
        <v>76</v>
      </c>
      <c r="S3" s="32" t="s">
        <v>78</v>
      </c>
      <c r="T3" s="32"/>
      <c r="U3" s="32"/>
      <c r="V3" s="31"/>
      <c r="W3" s="30" t="s">
        <v>79</v>
      </c>
      <c r="X3" s="30"/>
      <c r="Y3" s="30"/>
    </row>
    <row r="4" spans="2:25" ht="16.5" x14ac:dyDescent="0.3">
      <c r="B4" s="26" t="s">
        <v>80</v>
      </c>
      <c r="C4" s="27">
        <v>380</v>
      </c>
      <c r="D4" s="27"/>
      <c r="E4" s="27">
        <v>380</v>
      </c>
      <c r="F4" s="27">
        <v>380</v>
      </c>
      <c r="G4" s="26" t="s">
        <v>81</v>
      </c>
      <c r="H4" s="28">
        <v>2</v>
      </c>
      <c r="I4" s="29" t="s">
        <v>82</v>
      </c>
      <c r="K4" s="33" t="s">
        <v>83</v>
      </c>
      <c r="L4" s="34">
        <v>20</v>
      </c>
      <c r="M4" s="33" t="s">
        <v>84</v>
      </c>
      <c r="N4" s="31"/>
      <c r="O4" s="35" t="s">
        <v>85</v>
      </c>
      <c r="P4" s="36">
        <v>400</v>
      </c>
      <c r="Q4" s="35" t="s">
        <v>81</v>
      </c>
      <c r="R4" s="31"/>
      <c r="S4" s="35" t="s">
        <v>86</v>
      </c>
      <c r="T4" s="37" t="s">
        <v>87</v>
      </c>
      <c r="U4" s="37"/>
      <c r="V4" s="31"/>
      <c r="W4" s="38" t="s">
        <v>88</v>
      </c>
      <c r="X4" s="36">
        <v>200</v>
      </c>
      <c r="Y4" s="38" t="s">
        <v>89</v>
      </c>
    </row>
    <row r="5" spans="2:25" ht="16.5" x14ac:dyDescent="0.3">
      <c r="B5" s="26" t="s">
        <v>90</v>
      </c>
      <c r="C5" s="39">
        <v>0.9</v>
      </c>
      <c r="D5" s="39"/>
      <c r="E5" s="39">
        <v>0.9</v>
      </c>
      <c r="F5" s="39">
        <v>0.9</v>
      </c>
      <c r="G5" s="26"/>
      <c r="H5" s="28"/>
      <c r="I5" s="26" t="s">
        <v>91</v>
      </c>
      <c r="K5" s="33" t="s">
        <v>92</v>
      </c>
      <c r="L5" s="34">
        <v>34</v>
      </c>
      <c r="M5" s="33" t="s">
        <v>93</v>
      </c>
      <c r="N5" s="31"/>
      <c r="O5" s="35" t="s">
        <v>94</v>
      </c>
      <c r="P5" s="36">
        <v>0.62</v>
      </c>
      <c r="Q5" s="35" t="s">
        <v>95</v>
      </c>
      <c r="R5" s="31"/>
      <c r="S5" s="40" t="s">
        <v>96</v>
      </c>
      <c r="T5" s="41">
        <v>1.75</v>
      </c>
      <c r="U5" s="40" t="s">
        <v>97</v>
      </c>
      <c r="V5" s="31"/>
      <c r="W5" s="38" t="s">
        <v>98</v>
      </c>
      <c r="X5" s="36">
        <v>7200</v>
      </c>
      <c r="Y5" s="38" t="s">
        <v>99</v>
      </c>
    </row>
    <row r="6" spans="2:25" ht="16.5" x14ac:dyDescent="0.3">
      <c r="B6" s="26" t="s">
        <v>100</v>
      </c>
      <c r="C6" s="42">
        <f t="shared" ref="C6:F6" si="0">ROUND(C3*1000/(C4*0.9)/(3^0.5)/C5,1)</f>
        <v>281.39999999999998</v>
      </c>
      <c r="D6" s="42"/>
      <c r="E6" s="42">
        <f t="shared" si="0"/>
        <v>281.39999999999998</v>
      </c>
      <c r="F6" s="42">
        <f t="shared" si="0"/>
        <v>281.39999999999998</v>
      </c>
      <c r="G6" s="26" t="s">
        <v>101</v>
      </c>
      <c r="H6" s="28"/>
      <c r="I6" s="26" t="s">
        <v>102</v>
      </c>
      <c r="K6" s="33" t="s">
        <v>103</v>
      </c>
      <c r="L6" s="34">
        <v>154</v>
      </c>
      <c r="M6" s="33" t="s">
        <v>104</v>
      </c>
      <c r="N6" s="31"/>
      <c r="O6" s="35" t="s">
        <v>105</v>
      </c>
      <c r="P6" s="36">
        <v>36</v>
      </c>
      <c r="Q6" s="35" t="s">
        <v>106</v>
      </c>
      <c r="R6" s="31"/>
      <c r="S6" s="40" t="s">
        <v>107</v>
      </c>
      <c r="T6" s="43">
        <v>3.8999999999999998E-3</v>
      </c>
      <c r="U6" s="40" t="s">
        <v>108</v>
      </c>
      <c r="V6" s="31"/>
      <c r="W6" s="38" t="s">
        <v>109</v>
      </c>
      <c r="X6" s="36">
        <v>12800</v>
      </c>
      <c r="Y6" s="38" t="s">
        <v>110</v>
      </c>
    </row>
    <row r="7" spans="2:25" ht="16.5" x14ac:dyDescent="0.3">
      <c r="B7" s="26" t="s">
        <v>111</v>
      </c>
      <c r="C7" s="44">
        <v>2</v>
      </c>
      <c r="D7" s="44"/>
      <c r="E7" s="44">
        <v>2</v>
      </c>
      <c r="F7" s="44">
        <v>2</v>
      </c>
      <c r="G7" s="26" t="s">
        <v>112</v>
      </c>
      <c r="H7" s="28"/>
      <c r="I7" s="26"/>
      <c r="K7" s="33" t="s">
        <v>113</v>
      </c>
      <c r="L7" s="45">
        <f>((L5/25.4)^2*(L4^2))/(8*L5/25.4+11*L6/25.4)</f>
        <v>9.2597784381733579</v>
      </c>
      <c r="M7" s="33" t="s">
        <v>114</v>
      </c>
      <c r="N7" s="31"/>
      <c r="O7" s="35" t="s">
        <v>115</v>
      </c>
      <c r="P7" s="36">
        <v>5500</v>
      </c>
      <c r="Q7" s="35" t="s">
        <v>116</v>
      </c>
      <c r="R7" s="31"/>
      <c r="S7" s="40" t="s">
        <v>117</v>
      </c>
      <c r="T7" s="46">
        <v>45</v>
      </c>
      <c r="U7" s="40" t="s">
        <v>118</v>
      </c>
      <c r="V7" s="31"/>
      <c r="W7" s="38" t="s">
        <v>119</v>
      </c>
      <c r="X7" s="36">
        <v>645</v>
      </c>
      <c r="Y7" s="38" t="s">
        <v>120</v>
      </c>
    </row>
    <row r="8" spans="2:25" ht="16.5" x14ac:dyDescent="0.3">
      <c r="B8" s="26" t="s">
        <v>121</v>
      </c>
      <c r="C8" s="44">
        <f t="shared" ref="C8:F8" si="1">ROUND(C6/C7,0)</f>
        <v>141</v>
      </c>
      <c r="D8" s="44"/>
      <c r="E8" s="44">
        <f t="shared" si="1"/>
        <v>141</v>
      </c>
      <c r="F8" s="44">
        <f t="shared" si="1"/>
        <v>141</v>
      </c>
      <c r="G8" s="26" t="s">
        <v>122</v>
      </c>
      <c r="H8" s="28"/>
      <c r="I8" s="26"/>
      <c r="K8" s="35" t="s">
        <v>123</v>
      </c>
      <c r="L8" s="36">
        <v>100</v>
      </c>
      <c r="M8" s="35" t="s">
        <v>124</v>
      </c>
      <c r="N8" s="31"/>
      <c r="O8" s="35" t="s">
        <v>125</v>
      </c>
      <c r="P8" s="47">
        <f>(5000*P4)/(P5*P6*P7)</f>
        <v>16.291951775822742</v>
      </c>
      <c r="Q8" s="35" t="s">
        <v>126</v>
      </c>
      <c r="R8" s="31"/>
      <c r="S8" s="40" t="s">
        <v>127</v>
      </c>
      <c r="T8" s="43">
        <f>T5*(1+T6*(T7-20))</f>
        <v>1.9206249999999998</v>
      </c>
      <c r="U8" s="40" t="s">
        <v>128</v>
      </c>
      <c r="V8" s="31"/>
      <c r="W8" s="38" t="s">
        <v>129</v>
      </c>
      <c r="X8" s="47">
        <f>SQRT(X7^2+X4*X5^2/X6)</f>
        <v>1107.2601320376345</v>
      </c>
      <c r="Y8" s="38" t="s">
        <v>130</v>
      </c>
    </row>
    <row r="9" spans="2:25" ht="16.5" x14ac:dyDescent="0.3">
      <c r="B9" s="26"/>
      <c r="C9" s="48"/>
      <c r="D9" s="48"/>
      <c r="E9" s="48"/>
      <c r="F9" s="48"/>
      <c r="G9" s="26"/>
      <c r="H9" s="28"/>
      <c r="I9" s="26"/>
      <c r="K9" s="35" t="s">
        <v>131</v>
      </c>
      <c r="L9" s="49">
        <f>L7*L8/100</f>
        <v>9.2597784381733579</v>
      </c>
      <c r="M9" s="35" t="s">
        <v>114</v>
      </c>
      <c r="N9" s="31"/>
      <c r="O9" s="31"/>
      <c r="P9" s="31"/>
      <c r="Q9" s="31"/>
      <c r="R9" s="31"/>
      <c r="S9" s="40" t="s">
        <v>132</v>
      </c>
      <c r="T9" s="50">
        <f>1/(T8/100000000)</f>
        <v>52066384.64041654</v>
      </c>
      <c r="U9" s="40" t="s">
        <v>133</v>
      </c>
      <c r="V9" s="31"/>
      <c r="W9" s="31"/>
      <c r="X9" s="31"/>
      <c r="Y9" s="31"/>
    </row>
    <row r="10" spans="2:25" ht="16.5" x14ac:dyDescent="0.3">
      <c r="B10" s="26" t="s">
        <v>134</v>
      </c>
      <c r="C10" s="42">
        <f t="shared" ref="C10:F10" si="2">ROUND(C4*2^0.5*0.93,1)</f>
        <v>499.8</v>
      </c>
      <c r="D10" s="42"/>
      <c r="E10" s="42">
        <f t="shared" si="2"/>
        <v>499.8</v>
      </c>
      <c r="F10" s="42">
        <f t="shared" si="2"/>
        <v>499.8</v>
      </c>
      <c r="G10" s="26" t="s">
        <v>130</v>
      </c>
      <c r="H10" s="28"/>
      <c r="I10" s="26" t="s">
        <v>135</v>
      </c>
      <c r="K10" s="38" t="s">
        <v>136</v>
      </c>
      <c r="L10" s="36">
        <v>1.25</v>
      </c>
      <c r="M10" s="35" t="s">
        <v>137</v>
      </c>
      <c r="N10" s="31" t="s">
        <v>138</v>
      </c>
      <c r="O10" s="32" t="s">
        <v>139</v>
      </c>
      <c r="P10" s="32"/>
      <c r="Q10" s="32"/>
      <c r="R10" s="31"/>
      <c r="S10" s="40" t="s">
        <v>140</v>
      </c>
      <c r="T10" s="37">
        <v>1</v>
      </c>
      <c r="U10" s="40" t="s">
        <v>141</v>
      </c>
      <c r="V10" s="31"/>
      <c r="W10" s="30" t="s">
        <v>142</v>
      </c>
      <c r="X10" s="30"/>
      <c r="Y10" s="30"/>
    </row>
    <row r="11" spans="2:25" ht="16.5" x14ac:dyDescent="0.3">
      <c r="B11" s="26" t="s">
        <v>143</v>
      </c>
      <c r="C11" s="42">
        <f t="shared" ref="C11:F11" si="3">ROUND(C3*1000/C10,1)</f>
        <v>300.10000000000002</v>
      </c>
      <c r="D11" s="42"/>
      <c r="E11" s="42">
        <f t="shared" si="3"/>
        <v>300.10000000000002</v>
      </c>
      <c r="F11" s="42">
        <f t="shared" si="3"/>
        <v>300.10000000000002</v>
      </c>
      <c r="G11" s="26" t="s">
        <v>144</v>
      </c>
      <c r="H11" s="28"/>
      <c r="I11" s="26" t="s">
        <v>145</v>
      </c>
      <c r="K11" s="38" t="s">
        <v>146</v>
      </c>
      <c r="L11" s="36">
        <v>1</v>
      </c>
      <c r="M11" s="35" t="s">
        <v>147</v>
      </c>
      <c r="N11" s="31"/>
      <c r="O11" s="35" t="s">
        <v>148</v>
      </c>
      <c r="P11" s="36">
        <v>2500</v>
      </c>
      <c r="Q11" s="35" t="s">
        <v>149</v>
      </c>
      <c r="R11" s="31"/>
      <c r="S11" s="40" t="s">
        <v>150</v>
      </c>
      <c r="T11" s="51">
        <v>1000</v>
      </c>
      <c r="U11" s="40" t="s">
        <v>151</v>
      </c>
      <c r="V11" s="31"/>
      <c r="W11" s="35" t="s">
        <v>152</v>
      </c>
      <c r="X11" s="36">
        <v>9284</v>
      </c>
      <c r="Y11" s="35" t="s">
        <v>153</v>
      </c>
    </row>
    <row r="12" spans="2:25" ht="16.5" x14ac:dyDescent="0.3">
      <c r="B12" s="26"/>
      <c r="C12" s="48"/>
      <c r="D12" s="48"/>
      <c r="E12" s="48"/>
      <c r="F12" s="48"/>
      <c r="G12" s="26"/>
      <c r="H12" s="28"/>
      <c r="I12" s="26"/>
      <c r="K12" s="38" t="s">
        <v>154</v>
      </c>
      <c r="L12" s="36">
        <v>1</v>
      </c>
      <c r="M12" s="35" t="s">
        <v>155</v>
      </c>
      <c r="N12" s="31"/>
      <c r="O12" s="35" t="s">
        <v>156</v>
      </c>
      <c r="P12" s="36">
        <v>40</v>
      </c>
      <c r="Q12" s="35" t="s">
        <v>114</v>
      </c>
      <c r="R12" s="31"/>
      <c r="S12" s="40" t="s">
        <v>157</v>
      </c>
      <c r="T12" s="52">
        <f>503.3*SQRT((T8/100000000)/(T10*T11))*1000</f>
        <v>2.205709020034714</v>
      </c>
      <c r="U12" s="40" t="s">
        <v>158</v>
      </c>
      <c r="V12" s="31"/>
      <c r="W12" s="35" t="s">
        <v>159</v>
      </c>
      <c r="X12" s="36">
        <v>675</v>
      </c>
      <c r="Y12" s="35" t="s">
        <v>130</v>
      </c>
    </row>
    <row r="13" spans="2:25" ht="16.5" x14ac:dyDescent="0.3">
      <c r="B13" s="24" t="s">
        <v>160</v>
      </c>
      <c r="C13" s="48"/>
      <c r="D13" s="48"/>
      <c r="E13" s="48"/>
      <c r="F13" s="48"/>
      <c r="G13" s="26"/>
      <c r="H13" s="28"/>
      <c r="I13" s="26"/>
      <c r="K13" s="38" t="s">
        <v>161</v>
      </c>
      <c r="L13" s="53">
        <v>1</v>
      </c>
      <c r="M13" s="35" t="s">
        <v>162</v>
      </c>
      <c r="N13" s="31"/>
      <c r="O13" s="35" t="s">
        <v>163</v>
      </c>
      <c r="P13" s="47">
        <f>1/(2*3.14*SQRT((P11/1000000)*(P12/1000000)))</f>
        <v>503.54739811598398</v>
      </c>
      <c r="Q13" s="35" t="s">
        <v>164</v>
      </c>
      <c r="R13" s="31"/>
      <c r="S13" s="40" t="s">
        <v>165</v>
      </c>
      <c r="T13" s="54">
        <v>6126</v>
      </c>
      <c r="U13" s="40" t="s">
        <v>166</v>
      </c>
      <c r="V13" s="31"/>
      <c r="W13" s="35" t="s">
        <v>167</v>
      </c>
      <c r="X13" s="36">
        <v>4300</v>
      </c>
      <c r="Y13" s="35" t="s">
        <v>168</v>
      </c>
    </row>
    <row r="14" spans="2:25" ht="16.5" x14ac:dyDescent="0.3">
      <c r="B14" s="26" t="s">
        <v>169</v>
      </c>
      <c r="C14" s="55">
        <v>9.2772000000000006</v>
      </c>
      <c r="D14" s="27"/>
      <c r="E14" s="27">
        <v>10.5</v>
      </c>
      <c r="F14" s="27">
        <v>10.5</v>
      </c>
      <c r="G14" s="26" t="s">
        <v>114</v>
      </c>
      <c r="H14" s="28">
        <v>3</v>
      </c>
      <c r="I14" s="29" t="s">
        <v>170</v>
      </c>
      <c r="K14" s="38" t="s">
        <v>171</v>
      </c>
      <c r="L14" s="56">
        <f>L9/L12*L13*L11^2+L10</f>
        <v>10.509778438173358</v>
      </c>
      <c r="M14" s="35" t="s">
        <v>137</v>
      </c>
      <c r="N14" s="31"/>
      <c r="O14" s="31"/>
      <c r="P14" s="31"/>
      <c r="Q14" s="31"/>
      <c r="R14" s="31"/>
      <c r="S14" s="40" t="s">
        <v>172</v>
      </c>
      <c r="T14" s="54">
        <v>5</v>
      </c>
      <c r="U14" s="40" t="s">
        <v>158</v>
      </c>
      <c r="V14" s="31"/>
      <c r="W14" s="35" t="s">
        <v>173</v>
      </c>
      <c r="X14" s="36">
        <v>800</v>
      </c>
      <c r="Y14" s="35" t="s">
        <v>174</v>
      </c>
    </row>
    <row r="15" spans="2:25" ht="16.5" x14ac:dyDescent="0.3">
      <c r="B15" s="26" t="s">
        <v>175</v>
      </c>
      <c r="C15" s="27">
        <v>153</v>
      </c>
      <c r="D15" s="27"/>
      <c r="E15" s="27">
        <v>102</v>
      </c>
      <c r="F15" s="27">
        <v>102</v>
      </c>
      <c r="G15" s="26" t="s">
        <v>153</v>
      </c>
      <c r="H15" s="28">
        <v>4</v>
      </c>
      <c r="I15" s="29" t="s">
        <v>176</v>
      </c>
      <c r="J15" s="57"/>
      <c r="K15" s="31"/>
      <c r="L15" s="31"/>
      <c r="M15" s="31"/>
      <c r="N15" s="31"/>
      <c r="O15" s="32" t="s">
        <v>177</v>
      </c>
      <c r="P15" s="32"/>
      <c r="Q15" s="32"/>
      <c r="R15" s="31"/>
      <c r="S15" s="40" t="s">
        <v>178</v>
      </c>
      <c r="T15" s="58">
        <f>MIN(T12,T14)</f>
        <v>2.205709020034714</v>
      </c>
      <c r="U15" s="40" t="s">
        <v>179</v>
      </c>
      <c r="V15" s="31"/>
      <c r="W15" s="35" t="s">
        <v>180</v>
      </c>
      <c r="X15" s="49">
        <f>(1.414*X13*0.421)/(2*3.14159*X14*X12*2*X11*0.000001)*2*100</f>
        <v>8.1262759844751162</v>
      </c>
      <c r="Y15" s="35" t="s">
        <v>181</v>
      </c>
    </row>
    <row r="16" spans="2:25" ht="16.5" x14ac:dyDescent="0.3">
      <c r="B16" s="26" t="s">
        <v>182</v>
      </c>
      <c r="C16" s="42">
        <f t="shared" ref="C16:F16" si="4">1000/(2*PI()*(C14*C15)^0.5)</f>
        <v>4.2244089744104167</v>
      </c>
      <c r="D16" s="42"/>
      <c r="E16" s="42">
        <f t="shared" si="4"/>
        <v>4.8632365708983656</v>
      </c>
      <c r="F16" s="42">
        <f t="shared" si="4"/>
        <v>4.8632365708983656</v>
      </c>
      <c r="G16" s="26" t="s">
        <v>183</v>
      </c>
      <c r="H16" s="28"/>
      <c r="I16" s="26" t="s">
        <v>184</v>
      </c>
      <c r="K16" s="30" t="s">
        <v>185</v>
      </c>
      <c r="L16" s="30"/>
      <c r="M16" s="30"/>
      <c r="N16" s="31" t="s">
        <v>186</v>
      </c>
      <c r="O16" s="35" t="s">
        <v>187</v>
      </c>
      <c r="P16" s="36">
        <v>855</v>
      </c>
      <c r="Q16" s="35" t="s">
        <v>188</v>
      </c>
      <c r="R16" s="31"/>
      <c r="S16" s="40" t="s">
        <v>189</v>
      </c>
      <c r="T16" s="54">
        <v>200</v>
      </c>
      <c r="U16" s="40" t="s">
        <v>179</v>
      </c>
      <c r="V16" s="31"/>
      <c r="W16" s="35" t="s">
        <v>190</v>
      </c>
      <c r="X16" s="47">
        <f>X12*X15/100</f>
        <v>54.852362895207037</v>
      </c>
      <c r="Y16" s="35" t="s">
        <v>130</v>
      </c>
    </row>
    <row r="17" spans="2:25" ht="16.5" x14ac:dyDescent="0.3">
      <c r="B17" s="26" t="s">
        <v>191</v>
      </c>
      <c r="C17" s="27">
        <v>30</v>
      </c>
      <c r="D17" s="27"/>
      <c r="E17" s="27">
        <v>30</v>
      </c>
      <c r="F17" s="27">
        <v>30</v>
      </c>
      <c r="G17" s="26" t="s">
        <v>192</v>
      </c>
      <c r="H17" s="28">
        <v>5</v>
      </c>
      <c r="I17" s="29" t="s">
        <v>193</v>
      </c>
      <c r="K17" s="59" t="s">
        <v>194</v>
      </c>
      <c r="L17" s="60">
        <v>10</v>
      </c>
      <c r="M17" s="59" t="s">
        <v>153</v>
      </c>
      <c r="N17" s="31"/>
      <c r="O17" s="35" t="s">
        <v>195</v>
      </c>
      <c r="P17" s="36">
        <v>0.5</v>
      </c>
      <c r="Q17" s="35" t="s">
        <v>183</v>
      </c>
      <c r="R17" s="31"/>
      <c r="S17" s="40" t="s">
        <v>196</v>
      </c>
      <c r="T17" s="52">
        <f>T15*T16</f>
        <v>441.14180400694283</v>
      </c>
      <c r="U17" s="40" t="s">
        <v>197</v>
      </c>
      <c r="V17" s="31"/>
      <c r="W17" s="35" t="s">
        <v>198</v>
      </c>
      <c r="X17" s="47">
        <f>2*3.14159*X14*X11*0.000001*X16</f>
        <v>2559.7641999999996</v>
      </c>
      <c r="Y17" s="35" t="s">
        <v>168</v>
      </c>
    </row>
    <row r="18" spans="2:25" ht="16.5" x14ac:dyDescent="0.3">
      <c r="B18" s="26" t="s">
        <v>199</v>
      </c>
      <c r="C18" s="44">
        <f t="shared" ref="C18:F18" si="5">ROUNDUP(TAN(PI()*C17/180),3)</f>
        <v>0.57799999999999996</v>
      </c>
      <c r="D18" s="44"/>
      <c r="E18" s="44">
        <f t="shared" si="5"/>
        <v>0.57799999999999996</v>
      </c>
      <c r="F18" s="44">
        <f t="shared" si="5"/>
        <v>0.57799999999999996</v>
      </c>
      <c r="G18" s="26"/>
      <c r="H18" s="28"/>
      <c r="I18" s="26"/>
      <c r="K18" s="59" t="s">
        <v>200</v>
      </c>
      <c r="L18" s="60">
        <v>1</v>
      </c>
      <c r="M18" s="59" t="s">
        <v>201</v>
      </c>
      <c r="N18" s="31"/>
      <c r="O18" s="35" t="s">
        <v>202</v>
      </c>
      <c r="P18" s="36">
        <v>7200</v>
      </c>
      <c r="Q18" s="35" t="s">
        <v>203</v>
      </c>
      <c r="R18" s="31"/>
      <c r="S18" s="40" t="s">
        <v>204</v>
      </c>
      <c r="T18" s="54">
        <v>1000</v>
      </c>
      <c r="U18" s="61" t="s">
        <v>205</v>
      </c>
      <c r="V18" s="31"/>
      <c r="W18" s="31"/>
    </row>
    <row r="19" spans="2:25" ht="16.5" x14ac:dyDescent="0.3">
      <c r="B19" s="26"/>
      <c r="C19" s="48"/>
      <c r="D19" s="48"/>
      <c r="E19" s="48">
        <f>(E14/C14)*(E21/C21)^0.5*C20</f>
        <v>1.9419358868548129</v>
      </c>
      <c r="F19" s="48"/>
      <c r="G19" s="26"/>
      <c r="H19" s="28"/>
      <c r="I19" s="26"/>
      <c r="K19" s="59" t="s">
        <v>206</v>
      </c>
      <c r="L19" s="60">
        <v>700</v>
      </c>
      <c r="M19" s="59" t="s">
        <v>130</v>
      </c>
      <c r="N19" s="31"/>
      <c r="O19" s="35" t="s">
        <v>207</v>
      </c>
      <c r="P19" s="47">
        <f>(P18)/(2*3.14*P17*1000*(P16/1000000))</f>
        <v>2681.8638954073081</v>
      </c>
      <c r="Q19" s="35" t="s">
        <v>120</v>
      </c>
      <c r="R19" s="31"/>
      <c r="S19" s="40" t="s">
        <v>208</v>
      </c>
      <c r="T19" s="62">
        <f>T18/T17</f>
        <v>2.2668447898541522</v>
      </c>
      <c r="U19" s="61" t="s">
        <v>205</v>
      </c>
      <c r="V19" s="31"/>
      <c r="W19" s="30" t="s">
        <v>209</v>
      </c>
      <c r="X19" s="30"/>
      <c r="Y19" s="30"/>
    </row>
    <row r="20" spans="2:25" ht="16.5" x14ac:dyDescent="0.3">
      <c r="B20" s="26" t="s">
        <v>210</v>
      </c>
      <c r="C20" s="63">
        <v>1.62</v>
      </c>
      <c r="D20" s="63"/>
      <c r="E20" s="63">
        <v>1.9</v>
      </c>
      <c r="F20" s="63">
        <v>4</v>
      </c>
      <c r="G20" s="26"/>
      <c r="H20" s="28">
        <v>6</v>
      </c>
      <c r="I20" s="29" t="s">
        <v>211</v>
      </c>
      <c r="K20" s="59" t="s">
        <v>212</v>
      </c>
      <c r="L20" s="60">
        <v>1000</v>
      </c>
      <c r="M20" s="59" t="s">
        <v>168</v>
      </c>
      <c r="N20" s="31"/>
      <c r="O20" s="31"/>
      <c r="P20" s="31"/>
      <c r="Q20" s="31"/>
      <c r="R20" s="31"/>
      <c r="S20" s="40" t="s">
        <v>213</v>
      </c>
      <c r="T20" s="62">
        <f>T8/100000000*(T18^2)/(T17/1000000)*T13/1000</f>
        <v>266.71126252670501</v>
      </c>
      <c r="U20" s="61" t="s">
        <v>214</v>
      </c>
      <c r="V20" s="31"/>
      <c r="W20" s="64" t="s">
        <v>215</v>
      </c>
      <c r="X20" s="26">
        <v>0.9133</v>
      </c>
      <c r="Y20" s="26" t="s">
        <v>216</v>
      </c>
    </row>
    <row r="21" spans="2:25" ht="16.5" x14ac:dyDescent="0.3">
      <c r="B21" s="26" t="s">
        <v>217</v>
      </c>
      <c r="C21" s="65">
        <f t="shared" ref="C21:F21" si="6">C16*((C18/C20)+(((C18/C20)^2+4)^0.5))/2</f>
        <v>5.0447166805219599</v>
      </c>
      <c r="D21" s="65"/>
      <c r="E21" s="66">
        <f t="shared" si="6"/>
        <v>5.6588967114050481</v>
      </c>
      <c r="F21" s="66">
        <f t="shared" si="6"/>
        <v>5.227282090842543</v>
      </c>
      <c r="G21" s="26" t="s">
        <v>183</v>
      </c>
      <c r="H21" s="28"/>
      <c r="I21" s="67" t="s">
        <v>218</v>
      </c>
      <c r="K21" s="59" t="s">
        <v>219</v>
      </c>
      <c r="L21" s="60">
        <v>1</v>
      </c>
      <c r="M21" s="59" t="s">
        <v>220</v>
      </c>
      <c r="N21" s="31"/>
      <c r="O21" s="32" t="s">
        <v>221</v>
      </c>
      <c r="P21" s="32"/>
      <c r="Q21" s="32"/>
      <c r="R21" s="31"/>
      <c r="S21" s="31"/>
      <c r="T21" s="31"/>
      <c r="U21" s="31"/>
      <c r="V21" s="31"/>
      <c r="W21" s="59" t="s">
        <v>222</v>
      </c>
      <c r="X21" s="68">
        <v>3</v>
      </c>
      <c r="Y21" s="26" t="s">
        <v>223</v>
      </c>
    </row>
    <row r="22" spans="2:25" ht="16.5" x14ac:dyDescent="0.3">
      <c r="B22" s="26" t="s">
        <v>224</v>
      </c>
      <c r="C22" s="44">
        <f t="shared" ref="C22:F22" si="7">2*PI()*C16*C14</f>
        <v>246.24234834334865</v>
      </c>
      <c r="D22" s="44"/>
      <c r="E22" s="44">
        <f t="shared" si="7"/>
        <v>320.84447395987394</v>
      </c>
      <c r="F22" s="44">
        <f t="shared" si="7"/>
        <v>320.84447395987394</v>
      </c>
      <c r="G22" s="26" t="s">
        <v>225</v>
      </c>
      <c r="H22" s="28"/>
      <c r="I22" s="26"/>
      <c r="K22" s="59" t="s">
        <v>226</v>
      </c>
      <c r="L22" s="60">
        <v>4</v>
      </c>
      <c r="M22" s="59" t="s">
        <v>227</v>
      </c>
      <c r="N22" s="31"/>
      <c r="O22" s="38" t="s">
        <v>228</v>
      </c>
      <c r="P22" s="36">
        <v>600</v>
      </c>
      <c r="Q22" s="35" t="s">
        <v>229</v>
      </c>
      <c r="R22" s="31" t="s">
        <v>230</v>
      </c>
      <c r="S22" s="32" t="s">
        <v>231</v>
      </c>
      <c r="T22" s="32"/>
      <c r="U22" s="32"/>
      <c r="V22" s="31"/>
      <c r="W22" s="59" t="s">
        <v>232</v>
      </c>
      <c r="X22" s="69">
        <f>X20*X21</f>
        <v>2.7399</v>
      </c>
      <c r="Y22" s="26" t="s">
        <v>216</v>
      </c>
    </row>
    <row r="23" spans="2:25" ht="16.5" x14ac:dyDescent="0.3">
      <c r="B23" s="26" t="s">
        <v>233</v>
      </c>
      <c r="C23" s="44">
        <f t="shared" ref="C23:F23" si="8">2*PI()*C21*C14</f>
        <v>294.05838536548458</v>
      </c>
      <c r="D23" s="44"/>
      <c r="E23" s="44">
        <f t="shared" si="8"/>
        <v>373.33691505544431</v>
      </c>
      <c r="F23" s="44">
        <f t="shared" si="8"/>
        <v>344.86181131148095</v>
      </c>
      <c r="G23" s="26" t="s">
        <v>234</v>
      </c>
      <c r="H23" s="28"/>
      <c r="I23" s="26"/>
      <c r="K23" s="59" t="s">
        <v>235</v>
      </c>
      <c r="L23" s="60">
        <v>2</v>
      </c>
      <c r="M23" s="59" t="s">
        <v>155</v>
      </c>
      <c r="N23" s="31"/>
      <c r="O23" s="38" t="s">
        <v>236</v>
      </c>
      <c r="P23" s="36">
        <v>2.2000000000000002</v>
      </c>
      <c r="Q23" s="35" t="s">
        <v>237</v>
      </c>
      <c r="R23" s="31"/>
      <c r="S23" s="35" t="s">
        <v>238</v>
      </c>
      <c r="T23" s="37" t="s">
        <v>239</v>
      </c>
      <c r="U23" s="37"/>
      <c r="V23" s="31"/>
      <c r="W23" s="59"/>
      <c r="X23" s="26"/>
      <c r="Y23" s="26"/>
    </row>
    <row r="24" spans="2:25" ht="16.5" x14ac:dyDescent="0.3">
      <c r="B24" s="26" t="s">
        <v>240</v>
      </c>
      <c r="C24" s="44">
        <f t="shared" ref="C24:F24" si="9">1000000/(2*PI()*C21*C15)</f>
        <v>206.20154749977144</v>
      </c>
      <c r="D24" s="44"/>
      <c r="E24" s="44">
        <f t="shared" si="9"/>
        <v>275.73264876659852</v>
      </c>
      <c r="F24" s="44">
        <f t="shared" si="9"/>
        <v>298.49978482427923</v>
      </c>
      <c r="G24" s="26" t="s">
        <v>241</v>
      </c>
      <c r="H24" s="28"/>
      <c r="I24" s="26"/>
      <c r="K24" s="59" t="s">
        <v>242</v>
      </c>
      <c r="L24" s="70">
        <f>L17*(L21/L18)*L23/L22</f>
        <v>5</v>
      </c>
      <c r="M24" s="59" t="s">
        <v>153</v>
      </c>
      <c r="N24" s="31"/>
      <c r="O24" s="38" t="s">
        <v>243</v>
      </c>
      <c r="P24" s="36">
        <v>22</v>
      </c>
      <c r="Q24" s="35" t="s">
        <v>244</v>
      </c>
      <c r="R24" s="31"/>
      <c r="S24" s="40" t="s">
        <v>245</v>
      </c>
      <c r="T24" s="41">
        <v>1.75</v>
      </c>
      <c r="U24" s="40" t="s">
        <v>246</v>
      </c>
      <c r="V24" s="31"/>
      <c r="W24" s="64" t="s">
        <v>247</v>
      </c>
      <c r="X24" s="26">
        <v>0.48</v>
      </c>
      <c r="Y24" s="26" t="s">
        <v>216</v>
      </c>
    </row>
    <row r="25" spans="2:25" ht="16.5" x14ac:dyDescent="0.3">
      <c r="B25" s="26" t="s">
        <v>248</v>
      </c>
      <c r="C25" s="44">
        <f t="shared" ref="C25:F25" si="10">C22/C20</f>
        <v>152.00144959465965</v>
      </c>
      <c r="D25" s="44"/>
      <c r="E25" s="44">
        <f t="shared" si="10"/>
        <v>168.86551261045997</v>
      </c>
      <c r="F25" s="44">
        <f t="shared" si="10"/>
        <v>80.211118489968484</v>
      </c>
      <c r="G25" s="26" t="s">
        <v>234</v>
      </c>
      <c r="H25" s="28"/>
      <c r="I25" s="26"/>
      <c r="K25" s="59" t="s">
        <v>249</v>
      </c>
      <c r="L25" s="71">
        <f>L19*L22</f>
        <v>2800</v>
      </c>
      <c r="M25" s="59" t="s">
        <v>250</v>
      </c>
      <c r="N25" s="31"/>
      <c r="O25" s="38" t="s">
        <v>251</v>
      </c>
      <c r="P25" s="36">
        <v>2</v>
      </c>
      <c r="Q25" s="35"/>
      <c r="R25" s="31"/>
      <c r="S25" s="40" t="s">
        <v>252</v>
      </c>
      <c r="T25" s="43">
        <v>3.8999999999999998E-3</v>
      </c>
      <c r="U25" s="40" t="s">
        <v>253</v>
      </c>
      <c r="V25" s="31"/>
      <c r="W25" s="59" t="s">
        <v>254</v>
      </c>
      <c r="X25" s="68">
        <v>5</v>
      </c>
      <c r="Y25" s="26" t="s">
        <v>223</v>
      </c>
    </row>
    <row r="26" spans="2:25" ht="16.5" x14ac:dyDescent="0.3">
      <c r="B26" s="26" t="s">
        <v>255</v>
      </c>
      <c r="C26" s="44">
        <f t="shared" ref="C26:F26" si="11">(C25^2+(C23-C24)^2)^0.5</f>
        <v>175.56555652701377</v>
      </c>
      <c r="D26" s="44"/>
      <c r="E26" s="44">
        <f t="shared" si="11"/>
        <v>195.04398003265146</v>
      </c>
      <c r="F26" s="44">
        <f t="shared" si="11"/>
        <v>92.645890515509421</v>
      </c>
      <c r="G26" s="26" t="s">
        <v>241</v>
      </c>
      <c r="H26" s="28"/>
      <c r="I26" s="26"/>
      <c r="K26" s="59" t="s">
        <v>256</v>
      </c>
      <c r="L26" s="71">
        <f>L20*(L21/L18)*L23</f>
        <v>2000</v>
      </c>
      <c r="M26" s="59" t="s">
        <v>144</v>
      </c>
      <c r="N26" s="31"/>
      <c r="O26" s="38" t="s">
        <v>257</v>
      </c>
      <c r="P26" s="49">
        <f>P23*P24*P25*2</f>
        <v>193.60000000000002</v>
      </c>
      <c r="Q26" s="35" t="s">
        <v>258</v>
      </c>
      <c r="R26" s="31"/>
      <c r="S26" s="40" t="s">
        <v>259</v>
      </c>
      <c r="T26" s="46">
        <v>45</v>
      </c>
      <c r="U26" s="40" t="s">
        <v>118</v>
      </c>
      <c r="V26" s="31"/>
      <c r="W26" s="59" t="s">
        <v>260</v>
      </c>
      <c r="X26" s="69">
        <f>X24*X25</f>
        <v>2.4</v>
      </c>
      <c r="Y26" s="26" t="s">
        <v>216</v>
      </c>
    </row>
    <row r="27" spans="2:25" ht="16.5" x14ac:dyDescent="0.3">
      <c r="B27" s="26"/>
      <c r="C27" s="48"/>
      <c r="D27" s="48"/>
      <c r="E27" s="48"/>
      <c r="F27" s="48"/>
      <c r="G27" s="26"/>
      <c r="H27" s="28"/>
      <c r="I27" s="26"/>
      <c r="K27" s="59" t="s">
        <v>261</v>
      </c>
      <c r="L27" s="71">
        <f>L25*L26/1000</f>
        <v>5600</v>
      </c>
      <c r="M27" s="59" t="s">
        <v>261</v>
      </c>
      <c r="N27" s="31"/>
      <c r="O27" s="38" t="s">
        <v>262</v>
      </c>
      <c r="P27" s="36">
        <v>1.5</v>
      </c>
      <c r="Q27" s="35" t="s">
        <v>263</v>
      </c>
      <c r="R27" s="31"/>
      <c r="S27" s="40" t="s">
        <v>264</v>
      </c>
      <c r="T27" s="43">
        <f>T24*(1+T25*(T26-20))</f>
        <v>1.9206249999999998</v>
      </c>
      <c r="U27" s="40" t="s">
        <v>246</v>
      </c>
      <c r="V27" s="31"/>
      <c r="W27" s="59"/>
      <c r="X27" s="26"/>
      <c r="Y27" s="26"/>
    </row>
    <row r="28" spans="2:25" ht="16.5" x14ac:dyDescent="0.3">
      <c r="B28" s="26" t="s">
        <v>265</v>
      </c>
      <c r="C28" s="65">
        <f t="shared" ref="C28:F28" si="12">(C3*1000000/C25)^0.5</f>
        <v>993.39453090413269</v>
      </c>
      <c r="D28" s="65"/>
      <c r="E28" s="65">
        <f t="shared" si="12"/>
        <v>942.48652171812876</v>
      </c>
      <c r="F28" s="65">
        <f t="shared" si="12"/>
        <v>1367.5031751105923</v>
      </c>
      <c r="G28" s="26" t="s">
        <v>203</v>
      </c>
      <c r="H28" s="28"/>
      <c r="I28" s="67" t="s">
        <v>266</v>
      </c>
      <c r="K28" s="31"/>
      <c r="L28" s="31"/>
      <c r="M28" s="31"/>
      <c r="N28" s="31"/>
      <c r="O28" s="38" t="s">
        <v>267</v>
      </c>
      <c r="P28" s="36">
        <v>400</v>
      </c>
      <c r="Q28" s="35" t="s">
        <v>268</v>
      </c>
      <c r="R28" s="31"/>
      <c r="S28" s="40" t="s">
        <v>132</v>
      </c>
      <c r="T28" s="50">
        <f>1/(T27/100000000)</f>
        <v>52066384.64041654</v>
      </c>
      <c r="U28" s="40" t="s">
        <v>269</v>
      </c>
      <c r="V28" s="31"/>
      <c r="W28" s="64" t="s">
        <v>270</v>
      </c>
      <c r="X28" s="26">
        <v>0.4133</v>
      </c>
      <c r="Y28" s="26" t="s">
        <v>216</v>
      </c>
    </row>
    <row r="29" spans="2:25" ht="16.5" x14ac:dyDescent="0.3">
      <c r="B29" s="26" t="s">
        <v>271</v>
      </c>
      <c r="C29" s="44">
        <f t="shared" ref="C29:F29" si="13">C28*C25/1000</f>
        <v>150.99740871683508</v>
      </c>
      <c r="D29" s="44"/>
      <c r="E29" s="44">
        <f t="shared" si="13"/>
        <v>159.15346961838122</v>
      </c>
      <c r="F29" s="44">
        <f t="shared" si="13"/>
        <v>109.68895921420385</v>
      </c>
      <c r="G29" s="26" t="s">
        <v>250</v>
      </c>
      <c r="H29" s="28"/>
      <c r="I29" s="26"/>
      <c r="K29" s="30" t="s">
        <v>272</v>
      </c>
      <c r="L29" s="30"/>
      <c r="M29" s="30"/>
      <c r="N29" s="31" t="s">
        <v>230</v>
      </c>
      <c r="O29" s="38" t="s">
        <v>273</v>
      </c>
      <c r="P29" s="36">
        <v>1</v>
      </c>
      <c r="Q29" s="35" t="s">
        <v>274</v>
      </c>
      <c r="R29" s="31"/>
      <c r="S29" s="40" t="s">
        <v>275</v>
      </c>
      <c r="T29" s="37">
        <v>1</v>
      </c>
      <c r="U29" s="40" t="s">
        <v>276</v>
      </c>
      <c r="V29" s="31"/>
      <c r="W29" s="59" t="s">
        <v>277</v>
      </c>
      <c r="X29" s="68">
        <v>3</v>
      </c>
      <c r="Y29" s="26" t="s">
        <v>223</v>
      </c>
    </row>
    <row r="30" spans="2:25" ht="16.5" x14ac:dyDescent="0.3">
      <c r="B30" s="26" t="s">
        <v>278</v>
      </c>
      <c r="C30" s="65">
        <f t="shared" ref="C30:F30" si="14">C28/(2*3.14159*C21*1000*C15/1000000)</f>
        <v>204.83966257090276</v>
      </c>
      <c r="D30" s="65"/>
      <c r="E30" s="65">
        <f t="shared" si="14"/>
        <v>259.87452456677818</v>
      </c>
      <c r="F30" s="65">
        <f t="shared" si="14"/>
        <v>408.19974830860752</v>
      </c>
      <c r="G30" s="26" t="s">
        <v>130</v>
      </c>
      <c r="H30" s="28"/>
      <c r="I30" s="67" t="s">
        <v>279</v>
      </c>
      <c r="K30" s="38" t="s">
        <v>280</v>
      </c>
      <c r="L30" s="36">
        <v>41870</v>
      </c>
      <c r="M30" s="38" t="s">
        <v>281</v>
      </c>
      <c r="N30" s="31"/>
      <c r="O30" s="38" t="s">
        <v>282</v>
      </c>
      <c r="P30" s="49">
        <f>P28*P29</f>
        <v>400</v>
      </c>
      <c r="Q30" s="35" t="s">
        <v>283</v>
      </c>
      <c r="R30" s="31"/>
      <c r="S30" s="40" t="s">
        <v>150</v>
      </c>
      <c r="T30" s="51">
        <v>1000</v>
      </c>
      <c r="U30" s="40" t="s">
        <v>284</v>
      </c>
      <c r="V30" s="31"/>
      <c r="W30" s="59" t="s">
        <v>285</v>
      </c>
      <c r="X30" s="69">
        <f>X28*X29</f>
        <v>1.2399</v>
      </c>
      <c r="Y30" s="26" t="s">
        <v>216</v>
      </c>
    </row>
    <row r="31" spans="2:25" ht="16.5" x14ac:dyDescent="0.3">
      <c r="B31" s="26" t="s">
        <v>286</v>
      </c>
      <c r="C31" s="44">
        <f t="shared" ref="C31:F31" si="15">C28*C26/1000</f>
        <v>174.40586366907584</v>
      </c>
      <c r="D31" s="44"/>
      <c r="E31" s="44">
        <f t="shared" si="15"/>
        <v>183.82632232303382</v>
      </c>
      <c r="F31" s="44">
        <f t="shared" si="15"/>
        <v>126.69354944090745</v>
      </c>
      <c r="G31" s="26" t="s">
        <v>130</v>
      </c>
      <c r="H31" s="28"/>
      <c r="I31" s="26"/>
      <c r="K31" s="38" t="s">
        <v>287</v>
      </c>
      <c r="L31" s="36">
        <v>5</v>
      </c>
      <c r="M31" s="38" t="s">
        <v>153</v>
      </c>
      <c r="N31" s="31"/>
      <c r="O31" s="35"/>
      <c r="P31" s="35"/>
      <c r="Q31" s="35"/>
      <c r="R31" s="31"/>
      <c r="S31" s="40" t="s">
        <v>288</v>
      </c>
      <c r="T31" s="52">
        <f>503.3*SQRT((T27/100000000)/(T29*T30))*1000</f>
        <v>2.205709020034714</v>
      </c>
      <c r="U31" s="40" t="s">
        <v>166</v>
      </c>
      <c r="V31" s="31"/>
      <c r="W31" s="31"/>
    </row>
    <row r="32" spans="2:25" ht="16.5" x14ac:dyDescent="0.3">
      <c r="B32" s="26" t="s">
        <v>289</v>
      </c>
      <c r="C32" s="44">
        <f t="shared" ref="C32:F32" si="16">ROUNDUP(COS(PI()*C17/180),3)</f>
        <v>0.86699999999999999</v>
      </c>
      <c r="D32" s="44"/>
      <c r="E32" s="44">
        <f t="shared" si="16"/>
        <v>0.86699999999999999</v>
      </c>
      <c r="F32" s="44">
        <f t="shared" si="16"/>
        <v>0.86699999999999999</v>
      </c>
      <c r="G32" s="26"/>
      <c r="H32" s="28"/>
      <c r="I32" s="26"/>
      <c r="K32" s="38" t="s">
        <v>290</v>
      </c>
      <c r="L32" s="36">
        <v>200</v>
      </c>
      <c r="M32" s="38" t="s">
        <v>168</v>
      </c>
      <c r="N32" s="31"/>
      <c r="O32" s="72" t="s">
        <v>291</v>
      </c>
      <c r="P32" s="73" t="s">
        <v>292</v>
      </c>
      <c r="Q32" s="73"/>
      <c r="R32" s="31"/>
      <c r="S32" s="40" t="s">
        <v>293</v>
      </c>
      <c r="T32" s="54">
        <v>6126</v>
      </c>
      <c r="U32" s="40" t="s">
        <v>166</v>
      </c>
      <c r="V32" s="31"/>
      <c r="W32" s="32" t="s">
        <v>294</v>
      </c>
      <c r="X32" s="32"/>
      <c r="Y32" s="32"/>
    </row>
    <row r="33" spans="2:26" ht="16.5" x14ac:dyDescent="0.3">
      <c r="B33" s="26" t="s">
        <v>295</v>
      </c>
      <c r="C33" s="74">
        <f t="shared" ref="C33:F33" si="17">C30/(C25*C28/1000)</f>
        <v>1.3565773367345519</v>
      </c>
      <c r="D33" s="74"/>
      <c r="E33" s="75">
        <f t="shared" si="17"/>
        <v>1.6328549116139677</v>
      </c>
      <c r="F33" s="75">
        <f t="shared" si="17"/>
        <v>3.7214296792757691</v>
      </c>
      <c r="G33" s="26"/>
      <c r="H33" s="28"/>
      <c r="I33" s="67" t="s">
        <v>296</v>
      </c>
      <c r="K33" s="38" t="s">
        <v>297</v>
      </c>
      <c r="L33" s="36">
        <v>63</v>
      </c>
      <c r="M33" s="38" t="s">
        <v>298</v>
      </c>
      <c r="N33" s="31"/>
      <c r="O33" s="38" t="s">
        <v>299</v>
      </c>
      <c r="P33" s="36">
        <v>30</v>
      </c>
      <c r="Q33" s="35" t="s">
        <v>300</v>
      </c>
      <c r="R33" s="31"/>
      <c r="S33" s="40" t="s">
        <v>301</v>
      </c>
      <c r="T33" s="54">
        <v>2</v>
      </c>
      <c r="U33" s="40" t="s">
        <v>179</v>
      </c>
      <c r="V33" s="31"/>
      <c r="W33" s="35" t="s">
        <v>302</v>
      </c>
      <c r="X33" s="36">
        <v>440</v>
      </c>
      <c r="Y33" s="35" t="s">
        <v>250</v>
      </c>
    </row>
    <row r="34" spans="2:26" ht="16.5" x14ac:dyDescent="0.3">
      <c r="B34" s="26" t="s">
        <v>303</v>
      </c>
      <c r="C34" s="65">
        <f t="shared" ref="C34:F34" si="18">C30+C28*C18*C25/1000</f>
        <v>292.11616480923345</v>
      </c>
      <c r="D34" s="65"/>
      <c r="E34" s="65">
        <f t="shared" si="18"/>
        <v>351.86523000620252</v>
      </c>
      <c r="F34" s="65">
        <f t="shared" si="18"/>
        <v>471.59996673441736</v>
      </c>
      <c r="G34" s="26" t="s">
        <v>250</v>
      </c>
      <c r="H34" s="28"/>
      <c r="I34" s="67" t="s">
        <v>304</v>
      </c>
      <c r="K34" s="38" t="s">
        <v>305</v>
      </c>
      <c r="L34" s="36">
        <v>4.6660000000000004</v>
      </c>
      <c r="M34" s="38" t="s">
        <v>306</v>
      </c>
      <c r="N34" s="31"/>
      <c r="O34" s="38" t="s">
        <v>307</v>
      </c>
      <c r="P34" s="76">
        <f>P28*SQRT(2)*SIN(P33*PI()/180)</f>
        <v>282.84271247461896</v>
      </c>
      <c r="Q34" s="35" t="s">
        <v>308</v>
      </c>
      <c r="R34" s="31"/>
      <c r="S34" s="40" t="s">
        <v>309</v>
      </c>
      <c r="T34" s="58">
        <f>MIN(T31,T33)</f>
        <v>2</v>
      </c>
      <c r="U34" s="40" t="s">
        <v>179</v>
      </c>
      <c r="V34" s="31"/>
      <c r="W34" s="35" t="s">
        <v>310</v>
      </c>
      <c r="X34" s="36">
        <v>300</v>
      </c>
      <c r="Y34" s="35" t="s">
        <v>168</v>
      </c>
    </row>
    <row r="35" spans="2:26" ht="16.5" x14ac:dyDescent="0.3">
      <c r="B35" s="26"/>
      <c r="C35" s="48"/>
      <c r="D35" s="48"/>
      <c r="E35" s="48"/>
      <c r="F35" s="48"/>
      <c r="G35" s="26"/>
      <c r="H35" s="28"/>
      <c r="I35" s="26"/>
      <c r="K35" s="38" t="s">
        <v>311</v>
      </c>
      <c r="L35" s="49">
        <f>(L32*L34)/(2*3.1415*L30*(L31/1000000))</f>
        <v>709.47109317734282</v>
      </c>
      <c r="M35" s="38" t="s">
        <v>312</v>
      </c>
      <c r="N35" s="31"/>
      <c r="O35" s="38" t="s">
        <v>313</v>
      </c>
      <c r="P35" s="77">
        <f>P22*P26/P34</f>
        <v>410.6876185131469</v>
      </c>
      <c r="Q35" s="35" t="s">
        <v>314</v>
      </c>
      <c r="R35" s="31"/>
      <c r="S35" s="40" t="s">
        <v>315</v>
      </c>
      <c r="T35" s="54">
        <v>30</v>
      </c>
      <c r="U35" s="40" t="s">
        <v>166</v>
      </c>
      <c r="V35" s="31"/>
      <c r="W35" s="35" t="s">
        <v>316</v>
      </c>
      <c r="X35" s="47">
        <f>X33</f>
        <v>440</v>
      </c>
      <c r="Y35" s="35" t="s">
        <v>317</v>
      </c>
    </row>
    <row r="36" spans="2:26" ht="16.5" x14ac:dyDescent="0.3">
      <c r="B36" s="26" t="s">
        <v>318</v>
      </c>
      <c r="C36" s="44">
        <v>1</v>
      </c>
      <c r="D36" s="44"/>
      <c r="E36" s="44">
        <v>1</v>
      </c>
      <c r="F36" s="44">
        <v>1</v>
      </c>
      <c r="G36" s="26"/>
      <c r="H36" s="28"/>
      <c r="I36" s="26" t="s">
        <v>319</v>
      </c>
      <c r="K36" s="38" t="s">
        <v>320</v>
      </c>
      <c r="L36" s="49">
        <f>L32*L34</f>
        <v>933.2</v>
      </c>
      <c r="M36" s="38"/>
      <c r="N36" s="31"/>
      <c r="O36" s="35"/>
      <c r="P36" s="35"/>
      <c r="Q36" s="35"/>
      <c r="R36" s="31"/>
      <c r="S36" s="40" t="s">
        <v>321</v>
      </c>
      <c r="T36" s="52">
        <f>(PI()*(T35/2)^2)-(PI()*(T35/2-T34)^2)</f>
        <v>175.92918860102839</v>
      </c>
      <c r="U36" s="40" t="s">
        <v>197</v>
      </c>
      <c r="V36" s="31"/>
      <c r="W36" s="35" t="s">
        <v>322</v>
      </c>
      <c r="X36" s="47">
        <f>X34*1.25</f>
        <v>375</v>
      </c>
      <c r="Y36" s="35" t="s">
        <v>323</v>
      </c>
    </row>
    <row r="37" spans="2:26" ht="16.5" x14ac:dyDescent="0.3">
      <c r="B37" s="26" t="s">
        <v>324</v>
      </c>
      <c r="C37" s="44">
        <f t="shared" ref="C37:F37" si="19">C10/C36*4/PI()/2^0.5</f>
        <v>449.97809481532158</v>
      </c>
      <c r="D37" s="44"/>
      <c r="E37" s="44">
        <f t="shared" si="19"/>
        <v>449.97809481532158</v>
      </c>
      <c r="F37" s="44">
        <f t="shared" si="19"/>
        <v>449.97809481532158</v>
      </c>
      <c r="G37" s="26" t="s">
        <v>130</v>
      </c>
      <c r="H37" s="28"/>
      <c r="I37" s="26" t="s">
        <v>325</v>
      </c>
      <c r="K37" s="38" t="s">
        <v>326</v>
      </c>
      <c r="L37" s="49">
        <f>L35*L36/1000</f>
        <v>662.07842415309642</v>
      </c>
      <c r="M37" s="38" t="s">
        <v>326</v>
      </c>
      <c r="N37" s="31"/>
      <c r="O37" s="72" t="s">
        <v>327</v>
      </c>
      <c r="P37" s="38"/>
      <c r="Q37" s="38"/>
      <c r="R37" s="31"/>
      <c r="S37" s="40" t="s">
        <v>328</v>
      </c>
      <c r="T37" s="54">
        <v>850</v>
      </c>
      <c r="U37" s="61" t="s">
        <v>329</v>
      </c>
      <c r="V37" s="31"/>
      <c r="W37" s="31"/>
    </row>
    <row r="38" spans="2:26" ht="16.5" x14ac:dyDescent="0.3">
      <c r="B38" s="26" t="s">
        <v>330</v>
      </c>
      <c r="C38" s="27">
        <v>1</v>
      </c>
      <c r="D38" s="27"/>
      <c r="E38" s="27">
        <v>2</v>
      </c>
      <c r="F38" s="27">
        <v>2</v>
      </c>
      <c r="G38" s="26" t="s">
        <v>306</v>
      </c>
      <c r="H38" s="28">
        <v>7</v>
      </c>
      <c r="I38" s="29" t="s">
        <v>331</v>
      </c>
      <c r="K38" s="38" t="s">
        <v>210</v>
      </c>
      <c r="L38" s="47">
        <f>L37/L33</f>
        <v>10.509181335763435</v>
      </c>
      <c r="M38" s="38"/>
      <c r="N38" s="31"/>
      <c r="O38" s="38" t="s">
        <v>332</v>
      </c>
      <c r="P38" s="76">
        <f>P22*P26/P27/1000</f>
        <v>77.440000000000012</v>
      </c>
      <c r="Q38" s="35" t="s">
        <v>308</v>
      </c>
      <c r="R38" s="31"/>
      <c r="S38" s="40" t="s">
        <v>333</v>
      </c>
      <c r="T38" s="62">
        <f>T37/T36</f>
        <v>4.8314893438611097</v>
      </c>
      <c r="U38" s="61" t="s">
        <v>329</v>
      </c>
      <c r="V38" s="31"/>
      <c r="W38" s="32" t="s">
        <v>334</v>
      </c>
      <c r="X38" s="32"/>
      <c r="Y38" s="32"/>
    </row>
    <row r="39" spans="2:26" ht="16.5" x14ac:dyDescent="0.3">
      <c r="B39" s="26" t="s">
        <v>335</v>
      </c>
      <c r="C39" s="44">
        <f t="shared" ref="C39:F39" si="20">ROUND(C37/C38,1)</f>
        <v>450</v>
      </c>
      <c r="D39" s="44"/>
      <c r="E39" s="44">
        <f t="shared" si="20"/>
        <v>225</v>
      </c>
      <c r="F39" s="44">
        <f t="shared" si="20"/>
        <v>225</v>
      </c>
      <c r="G39" s="26" t="s">
        <v>250</v>
      </c>
      <c r="H39" s="28"/>
      <c r="I39" s="26" t="s">
        <v>336</v>
      </c>
      <c r="K39" s="31"/>
      <c r="L39" s="31"/>
      <c r="M39" s="31"/>
      <c r="N39" s="31"/>
      <c r="O39" s="38" t="s">
        <v>337</v>
      </c>
      <c r="P39" s="76">
        <f>P38/SIN(P33*PI()/180)/SQRT(2)</f>
        <v>109.51669827017251</v>
      </c>
      <c r="Q39" s="35" t="s">
        <v>268</v>
      </c>
      <c r="R39" s="31"/>
      <c r="S39" s="40" t="s">
        <v>338</v>
      </c>
      <c r="T39" s="62">
        <f>T27/100000000*(T37^2)/(T36/1000000)*T32/1000</f>
        <v>483.19176251946334</v>
      </c>
      <c r="U39" s="61" t="s">
        <v>339</v>
      </c>
      <c r="V39" s="31"/>
      <c r="W39" s="35" t="s">
        <v>340</v>
      </c>
      <c r="X39" s="36">
        <v>0.52800000000000002</v>
      </c>
      <c r="Y39" s="35" t="s">
        <v>341</v>
      </c>
    </row>
    <row r="40" spans="2:26" ht="16.5" x14ac:dyDescent="0.3">
      <c r="B40" s="26"/>
      <c r="C40" s="48"/>
      <c r="D40" s="48"/>
      <c r="E40" s="48"/>
      <c r="F40" s="48"/>
      <c r="G40" s="26"/>
      <c r="H40" s="28"/>
      <c r="I40" s="26"/>
      <c r="K40" s="30" t="s">
        <v>342</v>
      </c>
      <c r="L40" s="30"/>
      <c r="M40" s="30"/>
      <c r="N40" s="31"/>
      <c r="O40" s="38" t="s">
        <v>343</v>
      </c>
      <c r="P40" s="77">
        <f>P39*P29</f>
        <v>109.51669827017251</v>
      </c>
      <c r="Q40" s="35" t="s">
        <v>268</v>
      </c>
      <c r="R40" s="31"/>
      <c r="S40" s="31"/>
      <c r="T40" s="31"/>
      <c r="U40" s="31"/>
      <c r="V40" s="31"/>
      <c r="W40" s="35" t="s">
        <v>344</v>
      </c>
      <c r="X40" s="36">
        <v>0.27</v>
      </c>
      <c r="Y40" s="35" t="s">
        <v>114</v>
      </c>
    </row>
    <row r="41" spans="2:26" ht="16.5" x14ac:dyDescent="0.3">
      <c r="B41" s="26" t="s">
        <v>345</v>
      </c>
      <c r="C41" s="74">
        <f t="shared" ref="C41:F41" si="21">C31/C39*100</f>
        <v>38.756858593127966</v>
      </c>
      <c r="D41" s="74"/>
      <c r="E41" s="74">
        <f t="shared" si="21"/>
        <v>81.700587699126146</v>
      </c>
      <c r="F41" s="74">
        <f t="shared" si="21"/>
        <v>56.308244195958871</v>
      </c>
      <c r="G41" s="26" t="s">
        <v>181</v>
      </c>
      <c r="H41" s="28"/>
      <c r="I41" s="78" t="s">
        <v>346</v>
      </c>
      <c r="K41" s="59" t="s">
        <v>347</v>
      </c>
      <c r="L41" s="60">
        <v>40</v>
      </c>
      <c r="M41" s="59" t="s">
        <v>348</v>
      </c>
      <c r="N41" s="31"/>
      <c r="O41" s="38" t="s">
        <v>349</v>
      </c>
      <c r="P41" s="76">
        <f>P40/P30*100</f>
        <v>27.379174567543132</v>
      </c>
      <c r="Q41" s="79" t="s">
        <v>350</v>
      </c>
      <c r="R41" s="31"/>
      <c r="S41" s="32" t="s">
        <v>351</v>
      </c>
      <c r="T41" s="32"/>
      <c r="U41" s="32"/>
      <c r="V41" s="31"/>
      <c r="W41" s="35" t="s">
        <v>163</v>
      </c>
      <c r="X41" s="47">
        <f>1/(2*3.14*SQRT((X39/1000000)*(X40/1000000)))</f>
        <v>421736.81406829093</v>
      </c>
      <c r="Y41" s="35" t="s">
        <v>352</v>
      </c>
    </row>
    <row r="42" spans="2:26" ht="16.5" x14ac:dyDescent="0.3">
      <c r="B42" s="26"/>
      <c r="C42" s="48"/>
      <c r="D42" s="48"/>
      <c r="E42" s="48"/>
      <c r="F42" s="48"/>
      <c r="G42" s="26"/>
      <c r="H42" s="28"/>
      <c r="I42" s="26"/>
      <c r="K42" s="59" t="s">
        <v>353</v>
      </c>
      <c r="L42" s="60">
        <v>127</v>
      </c>
      <c r="M42" s="59" t="s">
        <v>203</v>
      </c>
      <c r="N42" s="31"/>
      <c r="O42" s="38" t="s">
        <v>354</v>
      </c>
      <c r="P42" s="76">
        <f>P41*P41/100</f>
        <v>7.4961920000000068</v>
      </c>
      <c r="Q42" s="79" t="s">
        <v>350</v>
      </c>
      <c r="R42" s="31"/>
      <c r="S42" s="35" t="s">
        <v>238</v>
      </c>
      <c r="T42" s="37" t="s">
        <v>87</v>
      </c>
      <c r="U42" s="37"/>
      <c r="V42" s="31"/>
      <c r="W42" s="31"/>
    </row>
    <row r="43" spans="2:26" ht="16.5" x14ac:dyDescent="0.3">
      <c r="B43" s="26" t="s">
        <v>355</v>
      </c>
      <c r="C43" s="65">
        <f t="shared" ref="C43:F43" si="22">C28/C38</f>
        <v>993.39453090413269</v>
      </c>
      <c r="D43" s="65"/>
      <c r="E43" s="65">
        <f t="shared" si="22"/>
        <v>471.24326085906438</v>
      </c>
      <c r="F43" s="65">
        <f t="shared" si="22"/>
        <v>683.75158755529617</v>
      </c>
      <c r="G43" s="26" t="s">
        <v>203</v>
      </c>
      <c r="H43" s="28"/>
      <c r="I43" s="67" t="s">
        <v>356</v>
      </c>
      <c r="K43" s="59" t="s">
        <v>357</v>
      </c>
      <c r="L43" s="60">
        <v>401</v>
      </c>
      <c r="M43" s="59" t="s">
        <v>250</v>
      </c>
      <c r="N43" s="31"/>
      <c r="O43" s="31"/>
      <c r="P43" s="31"/>
      <c r="Q43" s="31"/>
      <c r="R43" s="31"/>
      <c r="S43" s="40" t="s">
        <v>358</v>
      </c>
      <c r="T43" s="41">
        <v>1.75</v>
      </c>
      <c r="U43" s="40" t="s">
        <v>246</v>
      </c>
      <c r="V43" s="31"/>
      <c r="W43" s="32" t="s">
        <v>359</v>
      </c>
      <c r="X43" s="32"/>
      <c r="Y43" s="32"/>
      <c r="Z43" s="57" t="s">
        <v>360</v>
      </c>
    </row>
    <row r="44" spans="2:26" ht="16.5" x14ac:dyDescent="0.3">
      <c r="B44" s="26" t="s">
        <v>361</v>
      </c>
      <c r="C44" s="44">
        <f t="shared" ref="C44:F44" si="23">ROUND(C43*2^0.5*2/PI(),0)</f>
        <v>894</v>
      </c>
      <c r="D44" s="44"/>
      <c r="E44" s="44">
        <f t="shared" si="23"/>
        <v>424</v>
      </c>
      <c r="F44" s="44">
        <f t="shared" si="23"/>
        <v>616</v>
      </c>
      <c r="G44" s="26" t="s">
        <v>168</v>
      </c>
      <c r="H44" s="28"/>
      <c r="I44" s="26"/>
      <c r="K44" s="59" t="s">
        <v>362</v>
      </c>
      <c r="L44" s="60">
        <v>1</v>
      </c>
      <c r="M44" s="59"/>
      <c r="N44" s="31"/>
      <c r="O44" s="32" t="s">
        <v>363</v>
      </c>
      <c r="P44" s="32"/>
      <c r="Q44" s="32"/>
      <c r="R44" s="31"/>
      <c r="S44" s="40" t="s">
        <v>364</v>
      </c>
      <c r="T44" s="43">
        <v>3.8999999999999998E-3</v>
      </c>
      <c r="U44" s="40" t="s">
        <v>365</v>
      </c>
      <c r="V44" s="31"/>
      <c r="W44" s="35" t="s">
        <v>85</v>
      </c>
      <c r="X44" s="36">
        <v>1100</v>
      </c>
      <c r="Y44" s="35" t="s">
        <v>250</v>
      </c>
    </row>
    <row r="45" spans="2:26" ht="16.5" x14ac:dyDescent="0.3">
      <c r="B45" s="26" t="s">
        <v>366</v>
      </c>
      <c r="C45" s="44">
        <f t="shared" ref="C45:F45" si="24">C44/C36</f>
        <v>894</v>
      </c>
      <c r="D45" s="44"/>
      <c r="E45" s="44">
        <f t="shared" si="24"/>
        <v>424</v>
      </c>
      <c r="F45" s="44">
        <f t="shared" si="24"/>
        <v>616</v>
      </c>
      <c r="G45" s="26" t="s">
        <v>144</v>
      </c>
      <c r="H45" s="28"/>
      <c r="I45" s="26"/>
      <c r="K45" s="59" t="s">
        <v>367</v>
      </c>
      <c r="L45" s="71">
        <f>L43*0.9/L44</f>
        <v>360.90000000000003</v>
      </c>
      <c r="M45" s="59" t="s">
        <v>250</v>
      </c>
      <c r="N45" s="31"/>
      <c r="O45" s="38" t="s">
        <v>368</v>
      </c>
      <c r="P45" s="36">
        <v>5808</v>
      </c>
      <c r="Q45" s="38" t="s">
        <v>258</v>
      </c>
      <c r="R45" s="31"/>
      <c r="S45" s="40" t="s">
        <v>259</v>
      </c>
      <c r="T45" s="46">
        <v>45</v>
      </c>
      <c r="U45" s="40" t="s">
        <v>118</v>
      </c>
      <c r="V45" s="31"/>
      <c r="W45" s="35" t="s">
        <v>94</v>
      </c>
      <c r="X45" s="36">
        <v>0.35</v>
      </c>
      <c r="Y45" s="35" t="s">
        <v>95</v>
      </c>
    </row>
    <row r="46" spans="2:26" ht="16.5" x14ac:dyDescent="0.3">
      <c r="B46" s="26" t="s">
        <v>369</v>
      </c>
      <c r="C46" s="44">
        <f t="shared" ref="C46:F46" si="25">ROUND(C45/C11,3)</f>
        <v>2.9790000000000001</v>
      </c>
      <c r="D46" s="44"/>
      <c r="E46" s="44">
        <f t="shared" si="25"/>
        <v>1.413</v>
      </c>
      <c r="F46" s="44">
        <f t="shared" si="25"/>
        <v>2.0529999999999999</v>
      </c>
      <c r="G46" s="26"/>
      <c r="H46" s="28"/>
      <c r="I46" s="26"/>
      <c r="K46" s="59" t="s">
        <v>370</v>
      </c>
      <c r="L46" s="71">
        <f>(L41*1000)/(L42*L43*0.9/L44)</f>
        <v>0.87270886650390644</v>
      </c>
      <c r="M46" s="59"/>
      <c r="N46" s="31"/>
      <c r="O46" s="38" t="s">
        <v>371</v>
      </c>
      <c r="P46" s="36">
        <v>680</v>
      </c>
      <c r="Q46" s="38" t="s">
        <v>372</v>
      </c>
      <c r="R46" s="31"/>
      <c r="S46" s="40" t="s">
        <v>264</v>
      </c>
      <c r="T46" s="43">
        <f>T43*(1+T44*(T45-20))</f>
        <v>1.9206249999999998</v>
      </c>
      <c r="U46" s="40" t="s">
        <v>246</v>
      </c>
      <c r="V46" s="31"/>
      <c r="W46" s="35" t="s">
        <v>373</v>
      </c>
      <c r="X46" s="36">
        <v>78.540000000000006</v>
      </c>
      <c r="Y46" s="35" t="s">
        <v>374</v>
      </c>
    </row>
    <row r="47" spans="2:26" ht="16.5" x14ac:dyDescent="0.3">
      <c r="K47" s="59" t="s">
        <v>375</v>
      </c>
      <c r="L47" s="80">
        <f>DEGREES(ACOS(L46))</f>
        <v>29.225030363895115</v>
      </c>
      <c r="M47" s="59"/>
      <c r="N47" s="31"/>
      <c r="O47" s="38" t="s">
        <v>376</v>
      </c>
      <c r="P47" s="36">
        <v>300</v>
      </c>
      <c r="Q47" s="38" t="s">
        <v>308</v>
      </c>
      <c r="R47" s="31"/>
      <c r="S47" s="40" t="s">
        <v>132</v>
      </c>
      <c r="T47" s="50">
        <f>1/(T46/100000000)</f>
        <v>52066384.64041654</v>
      </c>
      <c r="U47" s="40" t="s">
        <v>377</v>
      </c>
      <c r="V47" s="31"/>
      <c r="W47" s="35" t="s">
        <v>378</v>
      </c>
      <c r="X47" s="36">
        <v>20000</v>
      </c>
      <c r="Y47" s="35" t="s">
        <v>281</v>
      </c>
    </row>
    <row r="48" spans="2:26" ht="16.5" x14ac:dyDescent="0.3">
      <c r="B48" s="24" t="s">
        <v>379</v>
      </c>
      <c r="K48" s="31"/>
      <c r="L48" s="31"/>
      <c r="M48" s="31"/>
      <c r="N48" s="31"/>
      <c r="O48" s="38" t="s">
        <v>380</v>
      </c>
      <c r="P48" s="47">
        <f>P45*P46/P47</f>
        <v>13164.8</v>
      </c>
      <c r="Q48" s="38" t="s">
        <v>381</v>
      </c>
      <c r="R48" s="31"/>
      <c r="S48" s="40" t="s">
        <v>275</v>
      </c>
      <c r="T48" s="37">
        <v>1</v>
      </c>
      <c r="U48" s="40" t="s">
        <v>276</v>
      </c>
      <c r="V48" s="31"/>
      <c r="W48" s="35" t="s">
        <v>382</v>
      </c>
      <c r="X48" s="47">
        <f>(5000*X44)/(X45*X46*X47)</f>
        <v>10.004001600640256</v>
      </c>
      <c r="Y48" s="35" t="s">
        <v>383</v>
      </c>
    </row>
    <row r="49" spans="2:27" ht="16.5" x14ac:dyDescent="0.3">
      <c r="B49" s="81" t="s">
        <v>384</v>
      </c>
      <c r="C49" s="82">
        <v>1</v>
      </c>
      <c r="D49" s="82">
        <v>1</v>
      </c>
      <c r="E49" s="82">
        <v>1</v>
      </c>
      <c r="F49" s="82">
        <v>1</v>
      </c>
      <c r="G49" s="81" t="s">
        <v>385</v>
      </c>
      <c r="H49" s="28">
        <v>8</v>
      </c>
      <c r="I49" s="83" t="s">
        <v>386</v>
      </c>
      <c r="K49" s="30" t="s">
        <v>387</v>
      </c>
      <c r="L49" s="30"/>
      <c r="M49" s="30"/>
      <c r="N49" s="31"/>
      <c r="O49" s="31"/>
      <c r="P49" s="31"/>
      <c r="Q49" s="31"/>
      <c r="R49" s="31"/>
      <c r="S49" s="40" t="s">
        <v>150</v>
      </c>
      <c r="T49" s="51">
        <v>500</v>
      </c>
      <c r="U49" s="40" t="s">
        <v>388</v>
      </c>
      <c r="V49" s="31"/>
      <c r="W49" s="31"/>
    </row>
    <row r="50" spans="2:27" ht="16.5" x14ac:dyDescent="0.3">
      <c r="B50" s="81" t="s">
        <v>389</v>
      </c>
      <c r="C50" s="84">
        <f t="shared" ref="C50:F50" si="26">C43/C49</f>
        <v>993.39453090413269</v>
      </c>
      <c r="D50" s="84">
        <f t="shared" si="26"/>
        <v>0</v>
      </c>
      <c r="E50" s="84">
        <f t="shared" si="26"/>
        <v>471.24326085906438</v>
      </c>
      <c r="F50" s="84">
        <f t="shared" si="26"/>
        <v>683.75158755529617</v>
      </c>
      <c r="G50" s="81" t="s">
        <v>203</v>
      </c>
      <c r="H50" s="28"/>
      <c r="I50" s="81" t="s">
        <v>390</v>
      </c>
      <c r="K50" s="81" t="s">
        <v>391</v>
      </c>
      <c r="L50" s="85">
        <v>300</v>
      </c>
      <c r="M50" s="81" t="s">
        <v>93</v>
      </c>
      <c r="N50" s="31"/>
      <c r="O50" s="32" t="s">
        <v>392</v>
      </c>
      <c r="P50" s="32"/>
      <c r="Q50" s="32"/>
      <c r="R50" s="31"/>
      <c r="S50" s="40" t="s">
        <v>288</v>
      </c>
      <c r="T50" s="52">
        <f>503.3*SQRT((T46/100000000)/(T48*T49))*1000</f>
        <v>3.1193436107817618</v>
      </c>
      <c r="U50" s="40" t="s">
        <v>166</v>
      </c>
      <c r="V50" s="31"/>
      <c r="W50" s="31"/>
    </row>
    <row r="51" spans="2:27" ht="16.5" x14ac:dyDescent="0.3">
      <c r="B51" s="81" t="s">
        <v>393</v>
      </c>
      <c r="C51" s="86">
        <v>3.2</v>
      </c>
      <c r="D51" s="86">
        <v>3.2</v>
      </c>
      <c r="E51" s="86">
        <v>3.2</v>
      </c>
      <c r="F51" s="86">
        <v>3.2</v>
      </c>
      <c r="G51" s="81" t="s">
        <v>394</v>
      </c>
      <c r="H51" s="28">
        <v>9</v>
      </c>
      <c r="I51" s="83" t="s">
        <v>395</v>
      </c>
      <c r="K51" s="81" t="s">
        <v>396</v>
      </c>
      <c r="L51" s="85">
        <v>1</v>
      </c>
      <c r="M51" s="81" t="s">
        <v>104</v>
      </c>
      <c r="N51" s="31"/>
      <c r="O51" s="59" t="s">
        <v>397</v>
      </c>
      <c r="P51" s="60">
        <v>15.4</v>
      </c>
      <c r="Q51" s="59" t="s">
        <v>93</v>
      </c>
      <c r="R51" s="31"/>
      <c r="S51" s="40" t="s">
        <v>398</v>
      </c>
      <c r="T51" s="54">
        <v>16000</v>
      </c>
      <c r="U51" s="40" t="s">
        <v>166</v>
      </c>
      <c r="V51" s="31"/>
      <c r="W51" s="32" t="s">
        <v>399</v>
      </c>
      <c r="X51" s="32"/>
      <c r="Y51" s="32"/>
    </row>
    <row r="52" spans="2:27" ht="16.5" x14ac:dyDescent="0.3">
      <c r="B52" s="81" t="s">
        <v>400</v>
      </c>
      <c r="C52" s="86">
        <v>25</v>
      </c>
      <c r="D52" s="86">
        <v>25</v>
      </c>
      <c r="E52" s="86">
        <v>25</v>
      </c>
      <c r="F52" s="86">
        <v>25</v>
      </c>
      <c r="G52" s="81" t="s">
        <v>250</v>
      </c>
      <c r="H52" s="28">
        <v>10</v>
      </c>
      <c r="I52" s="83" t="s">
        <v>401</v>
      </c>
      <c r="K52" s="81" t="s">
        <v>402</v>
      </c>
      <c r="L52" s="85">
        <v>100</v>
      </c>
      <c r="M52" s="81" t="s">
        <v>93</v>
      </c>
      <c r="N52" s="31"/>
      <c r="O52" s="59" t="s">
        <v>403</v>
      </c>
      <c r="P52" s="60">
        <v>2</v>
      </c>
      <c r="Q52" s="59" t="s">
        <v>104</v>
      </c>
      <c r="R52" s="31"/>
      <c r="S52" s="40" t="s">
        <v>301</v>
      </c>
      <c r="T52" s="54">
        <v>6</v>
      </c>
      <c r="U52" s="40" t="s">
        <v>179</v>
      </c>
      <c r="V52" s="31"/>
      <c r="W52" s="35" t="s">
        <v>404</v>
      </c>
      <c r="X52" s="36">
        <v>884.4</v>
      </c>
      <c r="Y52" s="35" t="s">
        <v>188</v>
      </c>
    </row>
    <row r="53" spans="2:27" ht="16.5" x14ac:dyDescent="0.3">
      <c r="B53" s="81" t="s">
        <v>405</v>
      </c>
      <c r="C53" s="87">
        <f t="shared" ref="C53:F53" si="27">C52*C51/1000000*C54*1000</f>
        <v>0.40357733444175681</v>
      </c>
      <c r="D53" s="87">
        <f t="shared" si="27"/>
        <v>0</v>
      </c>
      <c r="E53" s="87">
        <f t="shared" si="27"/>
        <v>0.45271173691240391</v>
      </c>
      <c r="F53" s="87">
        <f t="shared" si="27"/>
        <v>0.41818256726740349</v>
      </c>
      <c r="G53" s="81" t="s">
        <v>406</v>
      </c>
      <c r="H53" s="28"/>
      <c r="I53" s="81"/>
      <c r="K53" s="81" t="s">
        <v>169</v>
      </c>
      <c r="L53" s="88">
        <f>12.5*(L51/10)*(L52/10)/(L50/10)</f>
        <v>0.41666666666666669</v>
      </c>
      <c r="M53" s="81" t="s">
        <v>407</v>
      </c>
      <c r="N53" s="31"/>
      <c r="O53" s="59" t="s">
        <v>408</v>
      </c>
      <c r="P53" s="71">
        <f>P51+P52*2</f>
        <v>19.399999999999999</v>
      </c>
      <c r="Q53" s="59" t="s">
        <v>93</v>
      </c>
      <c r="R53" s="31"/>
      <c r="S53" s="40" t="s">
        <v>309</v>
      </c>
      <c r="T53" s="58">
        <f>MIN(T50,T52)</f>
        <v>3.1193436107817618</v>
      </c>
      <c r="U53" s="40" t="s">
        <v>166</v>
      </c>
      <c r="V53" s="31"/>
      <c r="W53" s="35" t="s">
        <v>409</v>
      </c>
      <c r="X53" s="36">
        <v>0.96</v>
      </c>
      <c r="Y53" s="35" t="s">
        <v>410</v>
      </c>
    </row>
    <row r="54" spans="2:27" ht="16.5" x14ac:dyDescent="0.3">
      <c r="B54" s="81" t="s">
        <v>411</v>
      </c>
      <c r="C54" s="84">
        <f t="shared" ref="C54:F54" si="28">C21</f>
        <v>5.0447166805219599</v>
      </c>
      <c r="D54" s="84">
        <f t="shared" si="28"/>
        <v>0</v>
      </c>
      <c r="E54" s="84">
        <f t="shared" si="28"/>
        <v>5.6588967114050481</v>
      </c>
      <c r="F54" s="84">
        <f t="shared" si="28"/>
        <v>5.227282090842543</v>
      </c>
      <c r="G54" s="81" t="s">
        <v>410</v>
      </c>
      <c r="H54" s="28"/>
      <c r="I54" s="81" t="s">
        <v>412</v>
      </c>
      <c r="O54" s="89" t="s">
        <v>413</v>
      </c>
      <c r="P54" s="90">
        <v>8.8539999999999992E-12</v>
      </c>
      <c r="Q54" s="26"/>
      <c r="S54" s="40" t="s">
        <v>414</v>
      </c>
      <c r="T54" s="54">
        <v>43</v>
      </c>
      <c r="U54" s="40" t="s">
        <v>179</v>
      </c>
      <c r="W54" s="35" t="s">
        <v>415</v>
      </c>
      <c r="X54" s="36">
        <v>1456</v>
      </c>
      <c r="Y54" s="35" t="s">
        <v>130</v>
      </c>
    </row>
    <row r="55" spans="2:27" ht="16.5" x14ac:dyDescent="0.3">
      <c r="B55" s="81" t="s">
        <v>416</v>
      </c>
      <c r="C55" s="91">
        <f t="shared" ref="C55:F55" si="29">C50*1.414</f>
        <v>1404.6598666984435</v>
      </c>
      <c r="D55" s="91">
        <f t="shared" si="29"/>
        <v>0</v>
      </c>
      <c r="E55" s="91">
        <f t="shared" si="29"/>
        <v>666.33797085471701</v>
      </c>
      <c r="F55" s="91">
        <f t="shared" si="29"/>
        <v>966.82474480318876</v>
      </c>
      <c r="G55" s="81" t="s">
        <v>144</v>
      </c>
      <c r="H55" s="28"/>
      <c r="I55" s="81" t="s">
        <v>417</v>
      </c>
      <c r="K55" s="30" t="s">
        <v>418</v>
      </c>
      <c r="L55" s="30"/>
      <c r="M55" s="30"/>
      <c r="O55" s="89" t="s">
        <v>419</v>
      </c>
      <c r="P55" s="68">
        <v>2.1</v>
      </c>
      <c r="Q55" s="26" t="s">
        <v>420</v>
      </c>
      <c r="S55" s="40" t="s">
        <v>421</v>
      </c>
      <c r="T55" s="54">
        <v>30</v>
      </c>
      <c r="U55" s="40" t="s">
        <v>158</v>
      </c>
      <c r="W55" s="35" t="s">
        <v>202</v>
      </c>
      <c r="X55" s="92">
        <f>(X54)*(2*3.14*X53*1000*(X52/1000000))</f>
        <v>7763.2037683200006</v>
      </c>
      <c r="Y55" s="35" t="s">
        <v>203</v>
      </c>
    </row>
    <row r="56" spans="2:27" ht="16.5" x14ac:dyDescent="0.3">
      <c r="B56" s="81" t="s">
        <v>422</v>
      </c>
      <c r="C56" s="86">
        <v>5</v>
      </c>
      <c r="D56" s="86">
        <v>5</v>
      </c>
      <c r="E56" s="86">
        <v>5</v>
      </c>
      <c r="F56" s="86">
        <v>5</v>
      </c>
      <c r="G56" s="81" t="s">
        <v>423</v>
      </c>
      <c r="H56" s="28">
        <v>11</v>
      </c>
      <c r="I56" s="83" t="s">
        <v>424</v>
      </c>
      <c r="K56" s="81" t="s">
        <v>425</v>
      </c>
      <c r="L56" s="85">
        <v>3000</v>
      </c>
      <c r="M56" s="81" t="s">
        <v>426</v>
      </c>
      <c r="O56" s="26" t="s">
        <v>427</v>
      </c>
      <c r="P56" s="90">
        <f>2*PI()*P54*P55/(LN(P53/P51))*1000000000</f>
        <v>0.50594615125588516</v>
      </c>
      <c r="Q56" s="26" t="s">
        <v>428</v>
      </c>
      <c r="S56" s="40" t="s">
        <v>429</v>
      </c>
      <c r="T56" s="52">
        <f>(T54*T55)-((T54-2*T53)*(T55-2*T53))</f>
        <v>416.50294892563727</v>
      </c>
      <c r="U56" s="40" t="s">
        <v>430</v>
      </c>
    </row>
    <row r="57" spans="2:27" ht="16.5" x14ac:dyDescent="0.3">
      <c r="B57" s="81" t="s">
        <v>431</v>
      </c>
      <c r="C57" s="87">
        <v>0</v>
      </c>
      <c r="D57" s="87">
        <v>0</v>
      </c>
      <c r="E57" s="87">
        <v>0</v>
      </c>
      <c r="F57" s="87">
        <v>0</v>
      </c>
      <c r="G57" s="81" t="s">
        <v>423</v>
      </c>
      <c r="H57" s="28"/>
      <c r="I57" s="81"/>
      <c r="K57" s="81" t="s">
        <v>396</v>
      </c>
      <c r="L57" s="85">
        <v>1</v>
      </c>
      <c r="M57" s="81" t="s">
        <v>93</v>
      </c>
      <c r="O57" s="26" t="s">
        <v>432</v>
      </c>
      <c r="P57" s="68">
        <v>10</v>
      </c>
      <c r="Q57" s="26" t="s">
        <v>433</v>
      </c>
      <c r="S57" s="40" t="s">
        <v>204</v>
      </c>
      <c r="T57" s="54">
        <v>7200</v>
      </c>
      <c r="U57" s="61" t="s">
        <v>434</v>
      </c>
      <c r="W57" s="93"/>
      <c r="X57" s="93"/>
      <c r="Y57" s="93"/>
      <c r="Z57" s="93"/>
      <c r="AA57" s="93"/>
    </row>
    <row r="58" spans="2:27" ht="16.5" x14ac:dyDescent="0.3">
      <c r="B58" s="81" t="s">
        <v>435</v>
      </c>
      <c r="C58" s="87">
        <v>0</v>
      </c>
      <c r="D58" s="87">
        <v>0</v>
      </c>
      <c r="E58" s="87">
        <v>0</v>
      </c>
      <c r="F58" s="87">
        <v>0</v>
      </c>
      <c r="G58" s="81" t="s">
        <v>436</v>
      </c>
      <c r="H58" s="28"/>
      <c r="I58" s="81"/>
      <c r="K58" s="81" t="s">
        <v>437</v>
      </c>
      <c r="L58" s="85">
        <v>2.1</v>
      </c>
      <c r="M58" s="81" t="s">
        <v>438</v>
      </c>
      <c r="N58" s="57"/>
      <c r="O58" s="26" t="s">
        <v>439</v>
      </c>
      <c r="P58" s="94">
        <f>P56*P57</f>
        <v>5.0594615125588511</v>
      </c>
      <c r="Q58" s="26" t="s">
        <v>440</v>
      </c>
      <c r="S58" s="40" t="s">
        <v>441</v>
      </c>
      <c r="T58" s="62">
        <f>T57/T56</f>
        <v>17.286792371031911</v>
      </c>
      <c r="U58" s="61" t="s">
        <v>434</v>
      </c>
      <c r="W58" s="93"/>
      <c r="X58" s="93"/>
      <c r="Y58" s="93"/>
      <c r="Z58" s="93"/>
      <c r="AA58" s="93"/>
    </row>
    <row r="59" spans="2:27" ht="16.5" x14ac:dyDescent="0.3">
      <c r="B59" s="81" t="s">
        <v>442</v>
      </c>
      <c r="C59" s="95">
        <f t="shared" ref="C59:F59" si="30">C56*C54+C57*C54</f>
        <v>25.223583402609798</v>
      </c>
      <c r="D59" s="95">
        <f t="shared" si="30"/>
        <v>0</v>
      </c>
      <c r="E59" s="95">
        <f t="shared" si="30"/>
        <v>28.294483557025242</v>
      </c>
      <c r="F59" s="95">
        <f t="shared" si="30"/>
        <v>26.136410454212715</v>
      </c>
      <c r="G59" s="81" t="s">
        <v>443</v>
      </c>
      <c r="H59" s="28"/>
      <c r="I59" s="81"/>
      <c r="K59" s="81" t="s">
        <v>444</v>
      </c>
      <c r="L59" s="88">
        <f>8.854/1000000000000*L58*(L56/1000000)/(L57/1000)*1000000000</f>
        <v>5.5780200000000002E-2</v>
      </c>
      <c r="M59" s="81" t="s">
        <v>440</v>
      </c>
      <c r="S59" s="40" t="s">
        <v>338</v>
      </c>
      <c r="T59" s="62">
        <f>T46/100000000*(T57^2)/(T56/1000000)*T51/1000</f>
        <v>38248.065328450364</v>
      </c>
      <c r="U59" s="61" t="s">
        <v>339</v>
      </c>
      <c r="W59" s="96" t="s">
        <v>445</v>
      </c>
      <c r="X59" s="97"/>
      <c r="Y59" s="97"/>
      <c r="Z59" s="93"/>
      <c r="AA59" s="93"/>
    </row>
    <row r="60" spans="2:27" ht="16.5" x14ac:dyDescent="0.3">
      <c r="B60" s="81" t="s">
        <v>446</v>
      </c>
      <c r="C60" s="87">
        <f t="shared" ref="C60:F60" si="31">C54*C58</f>
        <v>0</v>
      </c>
      <c r="D60" s="87">
        <f t="shared" si="31"/>
        <v>0</v>
      </c>
      <c r="E60" s="87">
        <f t="shared" si="31"/>
        <v>0</v>
      </c>
      <c r="F60" s="87">
        <f t="shared" si="31"/>
        <v>0</v>
      </c>
      <c r="G60" s="81" t="s">
        <v>443</v>
      </c>
      <c r="H60" s="28"/>
      <c r="I60" s="81"/>
      <c r="W60" s="33" t="s">
        <v>83</v>
      </c>
      <c r="X60" s="34">
        <v>12</v>
      </c>
      <c r="Y60" s="33" t="s">
        <v>84</v>
      </c>
      <c r="Z60" s="93"/>
      <c r="AA60" s="93"/>
    </row>
    <row r="61" spans="2:27" ht="16.5" x14ac:dyDescent="0.3">
      <c r="B61" s="81" t="s">
        <v>447</v>
      </c>
      <c r="C61" s="86">
        <v>100</v>
      </c>
      <c r="D61" s="86">
        <v>100</v>
      </c>
      <c r="E61" s="86">
        <v>100</v>
      </c>
      <c r="F61" s="86">
        <v>100</v>
      </c>
      <c r="G61" s="81" t="s">
        <v>181</v>
      </c>
      <c r="H61" s="28">
        <v>12</v>
      </c>
      <c r="I61" s="83" t="s">
        <v>448</v>
      </c>
      <c r="K61" s="98" t="s">
        <v>449</v>
      </c>
      <c r="L61" s="98"/>
      <c r="M61" s="98"/>
      <c r="N61" s="1"/>
      <c r="S61" s="32" t="s">
        <v>450</v>
      </c>
      <c r="T61" s="32"/>
      <c r="U61" s="32"/>
      <c r="W61" s="33" t="s">
        <v>92</v>
      </c>
      <c r="X61" s="34">
        <v>222.5</v>
      </c>
      <c r="Y61" s="33" t="s">
        <v>93</v>
      </c>
      <c r="Z61" s="93"/>
      <c r="AA61" s="93"/>
    </row>
    <row r="62" spans="2:27" ht="16.5" x14ac:dyDescent="0.3">
      <c r="B62" s="81" t="s">
        <v>451</v>
      </c>
      <c r="C62" s="99">
        <f t="shared" ref="C62:F62" si="32">C59*C61/100</f>
        <v>25.223583402609798</v>
      </c>
      <c r="D62" s="99">
        <f t="shared" si="32"/>
        <v>0</v>
      </c>
      <c r="E62" s="99">
        <f t="shared" si="32"/>
        <v>28.294483557025242</v>
      </c>
      <c r="F62" s="99">
        <f t="shared" si="32"/>
        <v>26.136410454212715</v>
      </c>
      <c r="G62" s="81" t="s">
        <v>406</v>
      </c>
      <c r="H62" s="28"/>
      <c r="I62" s="81"/>
      <c r="K62" s="100"/>
      <c r="L62" s="101" t="s">
        <v>452</v>
      </c>
      <c r="M62" s="101" t="s">
        <v>453</v>
      </c>
      <c r="N62" s="101" t="s">
        <v>454</v>
      </c>
      <c r="S62" s="35" t="s">
        <v>238</v>
      </c>
      <c r="T62" s="37" t="s">
        <v>87</v>
      </c>
      <c r="U62" s="37"/>
      <c r="W62" s="33" t="s">
        <v>455</v>
      </c>
      <c r="X62" s="34">
        <v>285</v>
      </c>
      <c r="Y62" s="33" t="s">
        <v>456</v>
      </c>
      <c r="Z62" s="93"/>
      <c r="AA62" s="93"/>
    </row>
    <row r="63" spans="2:27" ht="16.5" x14ac:dyDescent="0.3">
      <c r="B63" s="81" t="s">
        <v>457</v>
      </c>
      <c r="C63" s="91">
        <f t="shared" ref="C63:F63" si="33">C50*0.9</f>
        <v>894.05507781371944</v>
      </c>
      <c r="D63" s="91">
        <f t="shared" si="33"/>
        <v>0</v>
      </c>
      <c r="E63" s="91">
        <f t="shared" si="33"/>
        <v>424.11893477315795</v>
      </c>
      <c r="F63" s="91">
        <f t="shared" si="33"/>
        <v>615.37642879976659</v>
      </c>
      <c r="G63" s="81" t="s">
        <v>203</v>
      </c>
      <c r="H63" s="28"/>
      <c r="I63" s="81"/>
      <c r="K63" s="101" t="s">
        <v>458</v>
      </c>
      <c r="L63" s="101" t="s">
        <v>459</v>
      </c>
      <c r="M63" s="101" t="s">
        <v>460</v>
      </c>
      <c r="N63" s="101" t="s">
        <v>461</v>
      </c>
      <c r="S63" s="40" t="s">
        <v>358</v>
      </c>
      <c r="T63" s="41">
        <v>1.75</v>
      </c>
      <c r="U63" s="40" t="s">
        <v>246</v>
      </c>
      <c r="W63" s="33" t="s">
        <v>462</v>
      </c>
      <c r="X63" s="45">
        <f>((X61/25.4)^2*(X60^2))/(8*X61/25.4+11*X62/25.4)</f>
        <v>57.103836079493135</v>
      </c>
      <c r="Y63" s="33" t="s">
        <v>89</v>
      </c>
      <c r="Z63" s="93"/>
      <c r="AA63" s="93"/>
    </row>
    <row r="64" spans="2:27" ht="16.5" x14ac:dyDescent="0.3">
      <c r="B64" s="81" t="s">
        <v>463</v>
      </c>
      <c r="C64" s="86">
        <v>2</v>
      </c>
      <c r="D64" s="86">
        <v>2</v>
      </c>
      <c r="E64" s="86">
        <v>2</v>
      </c>
      <c r="F64" s="86">
        <v>2</v>
      </c>
      <c r="G64" s="81" t="s">
        <v>357</v>
      </c>
      <c r="H64" s="28">
        <v>13</v>
      </c>
      <c r="I64" s="83" t="s">
        <v>464</v>
      </c>
      <c r="K64" s="102">
        <v>0.5</v>
      </c>
      <c r="L64" s="102"/>
      <c r="M64" s="102">
        <v>2.5</v>
      </c>
      <c r="N64" s="102"/>
      <c r="S64" s="40" t="s">
        <v>364</v>
      </c>
      <c r="T64" s="43">
        <v>3.8999999999999998E-3</v>
      </c>
      <c r="U64" s="40" t="s">
        <v>253</v>
      </c>
      <c r="W64" s="93"/>
      <c r="X64" s="93"/>
      <c r="Y64" s="93"/>
      <c r="Z64" s="93"/>
      <c r="AA64" s="93"/>
    </row>
    <row r="65" spans="2:27" ht="16.5" x14ac:dyDescent="0.3">
      <c r="B65" s="81" t="s">
        <v>465</v>
      </c>
      <c r="C65" s="86">
        <v>1</v>
      </c>
      <c r="D65" s="86">
        <v>1</v>
      </c>
      <c r="E65" s="86">
        <v>1</v>
      </c>
      <c r="F65" s="86">
        <v>1</v>
      </c>
      <c r="G65" s="81" t="s">
        <v>357</v>
      </c>
      <c r="H65" s="28">
        <v>14</v>
      </c>
      <c r="I65" s="83" t="s">
        <v>466</v>
      </c>
      <c r="K65" s="102">
        <v>0.8</v>
      </c>
      <c r="L65" s="102">
        <v>1.9</v>
      </c>
      <c r="M65" s="102">
        <v>1.42</v>
      </c>
      <c r="N65" s="102"/>
      <c r="S65" s="40" t="s">
        <v>259</v>
      </c>
      <c r="T65" s="46">
        <v>45</v>
      </c>
      <c r="U65" s="40" t="s">
        <v>118</v>
      </c>
      <c r="W65" s="93"/>
      <c r="X65" s="93"/>
      <c r="Y65" s="93"/>
      <c r="Z65" s="93"/>
      <c r="AA65" s="93"/>
    </row>
    <row r="66" spans="2:27" ht="16.5" x14ac:dyDescent="0.3">
      <c r="B66" s="81" t="s">
        <v>467</v>
      </c>
      <c r="C66" s="87">
        <f t="shared" ref="C66:F66" si="34">C41</f>
        <v>38.756858593127966</v>
      </c>
      <c r="D66" s="87">
        <f t="shared" si="34"/>
        <v>0</v>
      </c>
      <c r="E66" s="87">
        <f t="shared" si="34"/>
        <v>81.700587699126146</v>
      </c>
      <c r="F66" s="87">
        <f t="shared" si="34"/>
        <v>56.308244195958871</v>
      </c>
      <c r="G66" s="81" t="s">
        <v>468</v>
      </c>
      <c r="H66" s="28"/>
      <c r="I66" s="83"/>
      <c r="K66" s="102">
        <v>1</v>
      </c>
      <c r="L66" s="102">
        <v>1.9</v>
      </c>
      <c r="M66" s="102">
        <v>1.4</v>
      </c>
      <c r="N66" s="102"/>
      <c r="S66" s="40" t="s">
        <v>264</v>
      </c>
      <c r="T66" s="43">
        <f>T63*(1+T64*(T65-20))</f>
        <v>1.9206249999999998</v>
      </c>
      <c r="U66" s="40" t="s">
        <v>246</v>
      </c>
    </row>
    <row r="67" spans="2:27" ht="16.5" x14ac:dyDescent="0.3">
      <c r="B67" s="81" t="s">
        <v>469</v>
      </c>
      <c r="C67" s="87">
        <f t="shared" ref="C67:F67" si="35">C17</f>
        <v>30</v>
      </c>
      <c r="D67" s="87">
        <f t="shared" si="35"/>
        <v>0</v>
      </c>
      <c r="E67" s="87">
        <f t="shared" si="35"/>
        <v>30</v>
      </c>
      <c r="F67" s="87">
        <f t="shared" si="35"/>
        <v>30</v>
      </c>
      <c r="G67" s="81" t="s">
        <v>192</v>
      </c>
      <c r="H67" s="28"/>
      <c r="I67" s="81"/>
      <c r="K67" s="102">
        <v>1.2</v>
      </c>
      <c r="L67" s="102"/>
      <c r="M67" s="102">
        <v>1.04</v>
      </c>
      <c r="N67" s="102"/>
      <c r="S67" s="40" t="s">
        <v>470</v>
      </c>
      <c r="T67" s="50">
        <f>1/(T66/100000000)</f>
        <v>52066384.64041654</v>
      </c>
      <c r="U67" s="40" t="s">
        <v>133</v>
      </c>
    </row>
    <row r="68" spans="2:27" ht="16.5" x14ac:dyDescent="0.3">
      <c r="B68" s="81" t="s">
        <v>471</v>
      </c>
      <c r="C68" s="87">
        <f t="shared" ref="C68:F68" si="36">ROUNDUP((C63*C64*((C66*180/100-C67)/180))/2,0)</f>
        <v>198</v>
      </c>
      <c r="D68" s="87">
        <f t="shared" si="36"/>
        <v>0</v>
      </c>
      <c r="E68" s="87">
        <f t="shared" si="36"/>
        <v>276</v>
      </c>
      <c r="F68" s="87">
        <f t="shared" si="36"/>
        <v>244</v>
      </c>
      <c r="G68" s="81" t="s">
        <v>443</v>
      </c>
      <c r="H68" s="28"/>
      <c r="I68" s="81"/>
      <c r="K68" s="102">
        <v>2</v>
      </c>
      <c r="L68" s="102">
        <v>1.1200000000000001</v>
      </c>
      <c r="M68" s="102">
        <v>0.75</v>
      </c>
      <c r="N68" s="102"/>
      <c r="S68" s="40" t="s">
        <v>472</v>
      </c>
      <c r="T68" s="37">
        <v>1</v>
      </c>
      <c r="U68" s="40" t="s">
        <v>473</v>
      </c>
    </row>
    <row r="69" spans="2:27" ht="16.5" x14ac:dyDescent="0.3">
      <c r="B69" s="81" t="s">
        <v>474</v>
      </c>
      <c r="C69" s="87">
        <f t="shared" ref="C69:F69" si="37">ROUNDUP((C63*C65*(1-(C66*180/100-C67)/180))/2,0)</f>
        <v>349</v>
      </c>
      <c r="D69" s="87">
        <f t="shared" si="37"/>
        <v>0</v>
      </c>
      <c r="E69" s="87">
        <f t="shared" si="37"/>
        <v>75</v>
      </c>
      <c r="F69" s="87">
        <f t="shared" si="37"/>
        <v>186</v>
      </c>
      <c r="G69" s="81" t="s">
        <v>443</v>
      </c>
      <c r="H69" s="28"/>
      <c r="I69" s="81"/>
      <c r="K69" s="102">
        <v>3</v>
      </c>
      <c r="L69" s="102">
        <v>0.71</v>
      </c>
      <c r="M69" s="102">
        <v>0.57999999999999996</v>
      </c>
      <c r="N69" s="102"/>
      <c r="S69" s="40" t="s">
        <v>398</v>
      </c>
      <c r="T69" s="54">
        <v>6126</v>
      </c>
      <c r="U69" s="40" t="s">
        <v>166</v>
      </c>
    </row>
    <row r="70" spans="2:27" ht="16.5" x14ac:dyDescent="0.3">
      <c r="B70" s="81" t="s">
        <v>475</v>
      </c>
      <c r="C70" s="99">
        <f t="shared" ref="C70:F70" si="38">ROUNDUP(((C63*C64*(((C66*180/100-C67)/180))+(C63*C65*(1-(C66*180/100-C67)/180))))/2,0)</f>
        <v>546</v>
      </c>
      <c r="D70" s="99">
        <f t="shared" si="38"/>
        <v>0</v>
      </c>
      <c r="E70" s="99">
        <f t="shared" si="38"/>
        <v>350</v>
      </c>
      <c r="F70" s="99">
        <f t="shared" si="38"/>
        <v>430</v>
      </c>
      <c r="G70" s="81" t="s">
        <v>443</v>
      </c>
      <c r="H70" s="28"/>
      <c r="I70" s="81"/>
      <c r="K70" s="102">
        <v>5</v>
      </c>
      <c r="L70" s="102">
        <v>0.43</v>
      </c>
      <c r="M70" s="102">
        <v>0.36</v>
      </c>
      <c r="N70" s="102"/>
      <c r="S70" s="40" t="s">
        <v>476</v>
      </c>
      <c r="T70" s="54">
        <v>2</v>
      </c>
      <c r="U70" s="40" t="s">
        <v>166</v>
      </c>
    </row>
    <row r="71" spans="2:27" ht="16.5" x14ac:dyDescent="0.3">
      <c r="B71" s="81" t="s">
        <v>477</v>
      </c>
      <c r="C71" s="87">
        <f t="shared" ref="C71:F71" si="39">C62+C68</f>
        <v>223.22358340260979</v>
      </c>
      <c r="D71" s="87">
        <f t="shared" si="39"/>
        <v>0</v>
      </c>
      <c r="E71" s="87">
        <f t="shared" si="39"/>
        <v>304.29448355702522</v>
      </c>
      <c r="F71" s="87">
        <f t="shared" si="39"/>
        <v>270.13641045421269</v>
      </c>
      <c r="G71" s="81" t="s">
        <v>443</v>
      </c>
      <c r="H71" s="28"/>
      <c r="I71" s="81"/>
      <c r="K71" s="102">
        <v>6</v>
      </c>
      <c r="L71" s="102"/>
      <c r="M71" s="102">
        <v>0.34</v>
      </c>
      <c r="N71" s="102">
        <v>0.62</v>
      </c>
      <c r="S71" s="40" t="s">
        <v>189</v>
      </c>
      <c r="T71" s="54">
        <v>60</v>
      </c>
      <c r="U71" s="40" t="s">
        <v>166</v>
      </c>
    </row>
    <row r="72" spans="2:27" ht="16.5" x14ac:dyDescent="0.3">
      <c r="B72" s="81" t="s">
        <v>478</v>
      </c>
      <c r="C72" s="87">
        <f t="shared" ref="C72:F72" si="40">C69+C60</f>
        <v>349</v>
      </c>
      <c r="D72" s="87">
        <f t="shared" si="40"/>
        <v>0</v>
      </c>
      <c r="E72" s="87">
        <f t="shared" si="40"/>
        <v>75</v>
      </c>
      <c r="F72" s="87">
        <f t="shared" si="40"/>
        <v>186</v>
      </c>
      <c r="G72" s="81" t="s">
        <v>443</v>
      </c>
      <c r="H72" s="28"/>
      <c r="I72" s="81"/>
      <c r="K72" s="102">
        <v>8</v>
      </c>
      <c r="L72" s="102">
        <v>0.3</v>
      </c>
      <c r="M72" s="102">
        <v>0.25</v>
      </c>
      <c r="N72" s="102"/>
      <c r="S72" s="40" t="s">
        <v>479</v>
      </c>
      <c r="T72" s="52">
        <f>T70*T71</f>
        <v>120</v>
      </c>
      <c r="U72" s="40" t="s">
        <v>430</v>
      </c>
    </row>
    <row r="73" spans="2:27" ht="16.5" x14ac:dyDescent="0.3">
      <c r="B73" s="81" t="s">
        <v>480</v>
      </c>
      <c r="C73" s="99">
        <f t="shared" ref="C73:F73" si="41">ROUNDUP((C53+C62+C70),0)</f>
        <v>572</v>
      </c>
      <c r="D73" s="99">
        <f t="shared" si="41"/>
        <v>0</v>
      </c>
      <c r="E73" s="99">
        <f t="shared" si="41"/>
        <v>379</v>
      </c>
      <c r="F73" s="99">
        <f t="shared" si="41"/>
        <v>457</v>
      </c>
      <c r="G73" s="81" t="s">
        <v>443</v>
      </c>
      <c r="H73" s="28"/>
      <c r="I73" s="81"/>
      <c r="K73" s="102">
        <v>10</v>
      </c>
      <c r="L73" s="102"/>
      <c r="M73" s="102"/>
      <c r="N73" s="102">
        <v>0.45</v>
      </c>
      <c r="S73" s="40" t="s">
        <v>204</v>
      </c>
      <c r="T73" s="54">
        <v>850</v>
      </c>
      <c r="U73" s="61" t="s">
        <v>205</v>
      </c>
    </row>
    <row r="74" spans="2:27" ht="16.5" x14ac:dyDescent="0.3">
      <c r="B74" s="81" t="s">
        <v>481</v>
      </c>
      <c r="C74" s="103">
        <v>2</v>
      </c>
      <c r="D74" s="103">
        <v>2</v>
      </c>
      <c r="E74" s="103">
        <v>2</v>
      </c>
      <c r="F74" s="103">
        <v>2</v>
      </c>
      <c r="G74" s="81"/>
      <c r="H74" s="28">
        <v>15</v>
      </c>
      <c r="I74" s="83" t="s">
        <v>482</v>
      </c>
      <c r="K74" s="102">
        <v>15</v>
      </c>
      <c r="L74" s="102"/>
      <c r="M74" s="102"/>
      <c r="N74" s="102">
        <v>0.4</v>
      </c>
      <c r="S74" s="40" t="s">
        <v>441</v>
      </c>
      <c r="T74" s="62">
        <f>T73/T72</f>
        <v>7.083333333333333</v>
      </c>
      <c r="U74" s="61" t="s">
        <v>205</v>
      </c>
    </row>
    <row r="75" spans="2:27" ht="16.5" x14ac:dyDescent="0.3">
      <c r="B75" s="81" t="s">
        <v>483</v>
      </c>
      <c r="C75" s="104">
        <f t="shared" ref="C75:F75" si="42">C73*C74</f>
        <v>1144</v>
      </c>
      <c r="D75" s="104">
        <f t="shared" si="42"/>
        <v>0</v>
      </c>
      <c r="E75" s="104">
        <f t="shared" si="42"/>
        <v>758</v>
      </c>
      <c r="F75" s="104">
        <f t="shared" si="42"/>
        <v>914</v>
      </c>
      <c r="G75" s="81" t="s">
        <v>484</v>
      </c>
      <c r="H75" s="28"/>
      <c r="I75" s="81"/>
      <c r="K75" s="102">
        <v>20</v>
      </c>
      <c r="L75" s="102"/>
      <c r="M75" s="102"/>
      <c r="N75" s="102">
        <v>0.35</v>
      </c>
      <c r="S75" s="40" t="s">
        <v>213</v>
      </c>
      <c r="T75" s="62">
        <f>T66/100000000*(T73^2)/(T72/1000000)*T69/1000</f>
        <v>708.39612265624987</v>
      </c>
      <c r="U75" s="61" t="s">
        <v>339</v>
      </c>
    </row>
    <row r="76" spans="2:27" ht="16.5" x14ac:dyDescent="0.3">
      <c r="B76" s="81" t="s">
        <v>485</v>
      </c>
      <c r="C76" s="105">
        <v>1950</v>
      </c>
      <c r="D76" s="105">
        <v>1950</v>
      </c>
      <c r="E76" s="105">
        <v>1950</v>
      </c>
      <c r="F76" s="105">
        <v>1950</v>
      </c>
      <c r="G76" s="81" t="s">
        <v>443</v>
      </c>
      <c r="H76" s="28">
        <v>16</v>
      </c>
      <c r="I76" s="83" t="s">
        <v>395</v>
      </c>
      <c r="K76" s="102">
        <v>30</v>
      </c>
      <c r="L76" s="102"/>
      <c r="M76" s="102"/>
      <c r="N76" s="102">
        <v>0.28939999999999999</v>
      </c>
    </row>
    <row r="77" spans="2:27" ht="16.5" x14ac:dyDescent="0.3">
      <c r="B77" s="81" t="s">
        <v>486</v>
      </c>
      <c r="C77" s="104">
        <f t="shared" ref="C77:F77" si="43">ROUNDUP(C75/C76*100,0)</f>
        <v>59</v>
      </c>
      <c r="D77" s="104">
        <f t="shared" si="43"/>
        <v>0</v>
      </c>
      <c r="E77" s="104">
        <f t="shared" si="43"/>
        <v>39</v>
      </c>
      <c r="F77" s="104">
        <f t="shared" si="43"/>
        <v>47</v>
      </c>
      <c r="G77" s="81" t="s">
        <v>124</v>
      </c>
      <c r="H77" s="28"/>
      <c r="I77" s="83" t="s">
        <v>487</v>
      </c>
      <c r="K77" s="102">
        <v>50</v>
      </c>
      <c r="L77" s="102"/>
      <c r="M77" s="102"/>
      <c r="N77" s="102">
        <v>0.224</v>
      </c>
    </row>
    <row r="78" spans="2:27" ht="16.5" x14ac:dyDescent="0.3">
      <c r="B78" s="81" t="s">
        <v>488</v>
      </c>
      <c r="C78" s="106">
        <v>6.4000000000000001E-2</v>
      </c>
      <c r="D78" s="106">
        <v>6.4000000000000001E-2</v>
      </c>
      <c r="E78" s="106">
        <v>6.4000000000000001E-2</v>
      </c>
      <c r="F78" s="106">
        <v>6.4000000000000001E-2</v>
      </c>
      <c r="G78" s="81" t="s">
        <v>489</v>
      </c>
      <c r="H78" s="28">
        <v>17</v>
      </c>
      <c r="I78" s="107" t="s">
        <v>395</v>
      </c>
      <c r="K78" s="102">
        <v>100</v>
      </c>
      <c r="L78" s="102"/>
      <c r="M78" s="102"/>
      <c r="N78" s="102">
        <v>0.161</v>
      </c>
    </row>
    <row r="79" spans="2:27" ht="16.5" x14ac:dyDescent="0.3">
      <c r="B79" s="81" t="s">
        <v>490</v>
      </c>
      <c r="C79" s="106">
        <v>0.1</v>
      </c>
      <c r="D79" s="106">
        <v>0.1</v>
      </c>
      <c r="E79" s="106">
        <v>0.1</v>
      </c>
      <c r="F79" s="106">
        <v>0.1</v>
      </c>
      <c r="G79" s="81" t="s">
        <v>491</v>
      </c>
      <c r="H79" s="28">
        <v>18</v>
      </c>
      <c r="I79" s="107" t="s">
        <v>395</v>
      </c>
      <c r="K79" s="102">
        <v>200</v>
      </c>
      <c r="L79" s="102"/>
      <c r="M79" s="102"/>
      <c r="N79" s="102">
        <v>7.7600000000000002E-2</v>
      </c>
    </row>
    <row r="80" spans="2:27" ht="16.5" x14ac:dyDescent="0.3">
      <c r="B80" s="81" t="s">
        <v>492</v>
      </c>
      <c r="C80" s="108">
        <f t="shared" ref="C80:F81" si="44">125-C78*C71</f>
        <v>110.71369066223298</v>
      </c>
      <c r="D80" s="108">
        <f t="shared" si="44"/>
        <v>125</v>
      </c>
      <c r="E80" s="108">
        <f t="shared" si="44"/>
        <v>105.52515305235039</v>
      </c>
      <c r="F80" s="108">
        <f t="shared" si="44"/>
        <v>107.71126973093038</v>
      </c>
      <c r="G80" s="109" t="s">
        <v>493</v>
      </c>
      <c r="H80" s="28"/>
      <c r="I80" s="83" t="s">
        <v>494</v>
      </c>
      <c r="K80" s="102">
        <v>300</v>
      </c>
      <c r="L80" s="102"/>
      <c r="M80" s="102"/>
      <c r="N80" s="102">
        <v>5.2400000000000002E-2</v>
      </c>
    </row>
    <row r="81" spans="2:17" ht="16.5" x14ac:dyDescent="0.3">
      <c r="B81" s="81" t="s">
        <v>495</v>
      </c>
      <c r="C81" s="84">
        <f t="shared" si="44"/>
        <v>90.1</v>
      </c>
      <c r="D81" s="84">
        <f t="shared" si="44"/>
        <v>125</v>
      </c>
      <c r="E81" s="84">
        <f t="shared" si="44"/>
        <v>117.5</v>
      </c>
      <c r="F81" s="84">
        <f t="shared" si="44"/>
        <v>106.4</v>
      </c>
      <c r="G81" s="109" t="s">
        <v>496</v>
      </c>
      <c r="H81" s="28"/>
      <c r="I81" s="81"/>
    </row>
    <row r="82" spans="2:17" ht="16.5" x14ac:dyDescent="0.3">
      <c r="B82" s="81" t="s">
        <v>497</v>
      </c>
      <c r="C82" s="84">
        <f t="shared" ref="C82:F83" si="45">C78*C71</f>
        <v>14.286309337767026</v>
      </c>
      <c r="D82" s="84">
        <f t="shared" si="45"/>
        <v>0</v>
      </c>
      <c r="E82" s="84">
        <f t="shared" si="45"/>
        <v>19.474846947649613</v>
      </c>
      <c r="F82" s="84">
        <f t="shared" si="45"/>
        <v>17.288730269069614</v>
      </c>
      <c r="G82" s="109" t="s">
        <v>496</v>
      </c>
      <c r="H82" s="28"/>
      <c r="I82" s="81"/>
      <c r="K82" s="98" t="s">
        <v>498</v>
      </c>
      <c r="L82" s="98"/>
      <c r="M82" s="98"/>
      <c r="O82" s="98" t="s">
        <v>499</v>
      </c>
      <c r="P82" s="98"/>
      <c r="Q82" s="98"/>
    </row>
    <row r="83" spans="2:17" ht="16.5" x14ac:dyDescent="0.3">
      <c r="B83" s="81" t="s">
        <v>500</v>
      </c>
      <c r="C83" s="84">
        <f t="shared" si="45"/>
        <v>34.9</v>
      </c>
      <c r="D83" s="84">
        <f t="shared" si="45"/>
        <v>0</v>
      </c>
      <c r="E83" s="84">
        <f t="shared" si="45"/>
        <v>7.5</v>
      </c>
      <c r="F83" s="84">
        <f t="shared" si="45"/>
        <v>18.600000000000001</v>
      </c>
      <c r="G83" s="109" t="s">
        <v>493</v>
      </c>
      <c r="H83" s="28"/>
      <c r="I83" s="81"/>
      <c r="K83" s="110" t="s">
        <v>501</v>
      </c>
      <c r="L83" s="110" t="s">
        <v>502</v>
      </c>
      <c r="M83" s="110"/>
      <c r="O83" s="110" t="s">
        <v>503</v>
      </c>
      <c r="P83" s="110" t="s">
        <v>504</v>
      </c>
      <c r="Q83" s="110" t="s">
        <v>505</v>
      </c>
    </row>
    <row r="84" spans="2:17" ht="16.5" x14ac:dyDescent="0.3">
      <c r="B84" s="81" t="s">
        <v>506</v>
      </c>
      <c r="C84" s="106">
        <v>0.03</v>
      </c>
      <c r="D84" s="106">
        <v>0.03</v>
      </c>
      <c r="E84" s="106">
        <v>0.03</v>
      </c>
      <c r="F84" s="106">
        <v>0.03</v>
      </c>
      <c r="G84" s="81" t="s">
        <v>491</v>
      </c>
      <c r="H84" s="28">
        <v>19</v>
      </c>
      <c r="I84" s="81" t="s">
        <v>395</v>
      </c>
      <c r="K84" s="26" t="s">
        <v>507</v>
      </c>
      <c r="L84" s="26">
        <v>183</v>
      </c>
      <c r="M84" s="26" t="s">
        <v>508</v>
      </c>
      <c r="O84" s="111" t="s">
        <v>509</v>
      </c>
      <c r="P84" s="111" t="s">
        <v>510</v>
      </c>
      <c r="Q84" s="112" t="s">
        <v>511</v>
      </c>
    </row>
    <row r="85" spans="2:17" ht="16.5" x14ac:dyDescent="0.3">
      <c r="B85" s="81" t="s">
        <v>512</v>
      </c>
      <c r="C85" s="106">
        <v>0.06</v>
      </c>
      <c r="D85" s="106">
        <v>0.06</v>
      </c>
      <c r="E85" s="106">
        <v>0.06</v>
      </c>
      <c r="F85" s="106">
        <v>0.06</v>
      </c>
      <c r="G85" s="81" t="s">
        <v>491</v>
      </c>
      <c r="H85" s="28">
        <v>20</v>
      </c>
      <c r="I85" s="81" t="s">
        <v>513</v>
      </c>
      <c r="K85" s="26" t="s">
        <v>514</v>
      </c>
      <c r="L85" s="26">
        <v>75</v>
      </c>
      <c r="M85" s="26" t="s">
        <v>515</v>
      </c>
      <c r="O85" s="111" t="s">
        <v>516</v>
      </c>
      <c r="P85" s="111" t="s">
        <v>517</v>
      </c>
      <c r="Q85" s="112" t="s">
        <v>518</v>
      </c>
    </row>
    <row r="86" spans="2:17" ht="16.5" x14ac:dyDescent="0.3">
      <c r="B86" s="81" t="s">
        <v>519</v>
      </c>
      <c r="C86" s="113">
        <f t="shared" ref="C86:F87" si="46">C80-C84*C71</f>
        <v>104.01698316015468</v>
      </c>
      <c r="D86" s="113">
        <f t="shared" si="46"/>
        <v>125</v>
      </c>
      <c r="E86" s="113">
        <f t="shared" si="46"/>
        <v>96.39631854563963</v>
      </c>
      <c r="F86" s="113">
        <f t="shared" si="46"/>
        <v>99.607177417304001</v>
      </c>
      <c r="G86" s="109" t="s">
        <v>496</v>
      </c>
      <c r="H86" s="28"/>
      <c r="I86" s="81" t="s">
        <v>494</v>
      </c>
      <c r="K86" s="26" t="s">
        <v>520</v>
      </c>
      <c r="L86" s="26">
        <v>9</v>
      </c>
      <c r="M86" s="26" t="s">
        <v>515</v>
      </c>
      <c r="O86" s="111" t="s">
        <v>521</v>
      </c>
      <c r="P86" s="111" t="s">
        <v>522</v>
      </c>
      <c r="Q86" s="112" t="s">
        <v>523</v>
      </c>
    </row>
    <row r="87" spans="2:17" ht="16.5" x14ac:dyDescent="0.3">
      <c r="B87" s="81" t="s">
        <v>524</v>
      </c>
      <c r="C87" s="84">
        <f t="shared" si="46"/>
        <v>69.16</v>
      </c>
      <c r="D87" s="84">
        <f t="shared" si="46"/>
        <v>125</v>
      </c>
      <c r="E87" s="84">
        <f t="shared" si="46"/>
        <v>113</v>
      </c>
      <c r="F87" s="84">
        <f t="shared" si="46"/>
        <v>95.240000000000009</v>
      </c>
      <c r="G87" s="109" t="s">
        <v>496</v>
      </c>
      <c r="H87" s="28"/>
      <c r="I87" s="81"/>
      <c r="K87" s="26" t="s">
        <v>525</v>
      </c>
      <c r="L87" s="26">
        <v>6</v>
      </c>
      <c r="M87" s="26" t="s">
        <v>515</v>
      </c>
      <c r="O87" s="111" t="s">
        <v>526</v>
      </c>
      <c r="P87" s="111" t="s">
        <v>527</v>
      </c>
      <c r="Q87" s="112" t="s">
        <v>528</v>
      </c>
    </row>
    <row r="88" spans="2:17" ht="16.5" x14ac:dyDescent="0.3">
      <c r="B88" s="81" t="s">
        <v>529</v>
      </c>
      <c r="C88" s="84">
        <f t="shared" ref="C88:F89" si="47">C84*C71</f>
        <v>6.6967075020782936</v>
      </c>
      <c r="D88" s="84">
        <f t="shared" si="47"/>
        <v>0</v>
      </c>
      <c r="E88" s="84">
        <f t="shared" si="47"/>
        <v>9.1288345067107564</v>
      </c>
      <c r="F88" s="84">
        <f t="shared" si="47"/>
        <v>8.1040923136263814</v>
      </c>
      <c r="G88" s="109" t="s">
        <v>493</v>
      </c>
      <c r="H88" s="28"/>
      <c r="I88" s="81"/>
      <c r="K88" s="26" t="s">
        <v>530</v>
      </c>
      <c r="L88" s="26">
        <v>12</v>
      </c>
      <c r="M88" s="26" t="s">
        <v>515</v>
      </c>
      <c r="O88" s="111" t="s">
        <v>531</v>
      </c>
      <c r="P88" s="111" t="s">
        <v>532</v>
      </c>
      <c r="Q88" s="112" t="s">
        <v>533</v>
      </c>
    </row>
    <row r="89" spans="2:17" ht="16.5" x14ac:dyDescent="0.3">
      <c r="B89" s="81" t="s">
        <v>534</v>
      </c>
      <c r="C89" s="84">
        <f t="shared" si="47"/>
        <v>20.939999999999998</v>
      </c>
      <c r="D89" s="84">
        <f t="shared" si="47"/>
        <v>0</v>
      </c>
      <c r="E89" s="84">
        <f t="shared" si="47"/>
        <v>4.5</v>
      </c>
      <c r="F89" s="84">
        <f t="shared" si="47"/>
        <v>11.16</v>
      </c>
      <c r="G89" s="109" t="s">
        <v>493</v>
      </c>
      <c r="H89" s="28"/>
      <c r="I89" s="81"/>
      <c r="K89" s="26" t="s">
        <v>535</v>
      </c>
      <c r="L89" s="26">
        <v>78.540000000000006</v>
      </c>
      <c r="M89" s="26" t="s">
        <v>515</v>
      </c>
      <c r="O89" s="111" t="s">
        <v>536</v>
      </c>
      <c r="P89" s="111" t="s">
        <v>537</v>
      </c>
      <c r="Q89" s="112" t="s">
        <v>538</v>
      </c>
    </row>
    <row r="90" spans="2:17" ht="16.5" x14ac:dyDescent="0.3">
      <c r="B90" s="81" t="s">
        <v>539</v>
      </c>
      <c r="C90" s="84">
        <v>60</v>
      </c>
      <c r="D90" s="84">
        <v>60</v>
      </c>
      <c r="E90" s="84">
        <v>60</v>
      </c>
      <c r="F90" s="84">
        <v>60</v>
      </c>
      <c r="G90" s="109" t="s">
        <v>493</v>
      </c>
      <c r="H90" s="28"/>
      <c r="I90" s="81" t="s">
        <v>540</v>
      </c>
    </row>
    <row r="91" spans="2:17" ht="16.5" x14ac:dyDescent="0.3">
      <c r="B91" s="81" t="s">
        <v>541</v>
      </c>
      <c r="C91" s="114">
        <v>8</v>
      </c>
      <c r="D91" s="114">
        <v>8</v>
      </c>
      <c r="E91" s="114">
        <v>8</v>
      </c>
      <c r="F91" s="114">
        <v>8</v>
      </c>
      <c r="G91" s="109" t="s">
        <v>542</v>
      </c>
      <c r="H91" s="28"/>
      <c r="I91" s="81" t="s">
        <v>543</v>
      </c>
    </row>
    <row r="92" spans="2:17" ht="16.5" x14ac:dyDescent="0.3">
      <c r="B92" s="81" t="s">
        <v>544</v>
      </c>
      <c r="C92" s="115">
        <f t="shared" ref="C92:F92" si="48">C90-(C75/1000*860/C91/60)</f>
        <v>57.950333333333333</v>
      </c>
      <c r="D92" s="115">
        <f t="shared" si="48"/>
        <v>60</v>
      </c>
      <c r="E92" s="115">
        <f t="shared" si="48"/>
        <v>58.641916666666667</v>
      </c>
      <c r="F92" s="115">
        <f t="shared" si="48"/>
        <v>58.362416666666668</v>
      </c>
      <c r="G92" s="109" t="s">
        <v>493</v>
      </c>
      <c r="H92" s="28"/>
      <c r="I92" s="81"/>
    </row>
  </sheetData>
  <mergeCells count="27">
    <mergeCell ref="K82:M82"/>
    <mergeCell ref="O82:Q82"/>
    <mergeCell ref="O44:Q44"/>
    <mergeCell ref="K49:M49"/>
    <mergeCell ref="O50:Q50"/>
    <mergeCell ref="W51:Y51"/>
    <mergeCell ref="K55:M55"/>
    <mergeCell ref="K61:M61"/>
    <mergeCell ref="S61:U61"/>
    <mergeCell ref="P32:Q32"/>
    <mergeCell ref="W32:Y32"/>
    <mergeCell ref="W38:Y38"/>
    <mergeCell ref="K40:M40"/>
    <mergeCell ref="S41:U41"/>
    <mergeCell ref="W43:Y43"/>
    <mergeCell ref="O15:Q15"/>
    <mergeCell ref="K16:M16"/>
    <mergeCell ref="W19:Y19"/>
    <mergeCell ref="O21:Q21"/>
    <mergeCell ref="S22:U22"/>
    <mergeCell ref="K29:M29"/>
    <mergeCell ref="K3:M3"/>
    <mergeCell ref="O3:Q3"/>
    <mergeCell ref="S3:U3"/>
    <mergeCell ref="W3:Y3"/>
    <mergeCell ref="O10:Q10"/>
    <mergeCell ref="W10:Y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>
      <selection activeCell="D21" sqref="D21"/>
    </sheetView>
  </sheetViews>
  <sheetFormatPr defaultRowHeight="16.5" x14ac:dyDescent="0.3"/>
  <cols>
    <col min="1" max="1" width="9" style="1"/>
    <col min="2" max="2" width="25" style="1" bestFit="1" customWidth="1"/>
    <col min="3" max="3" width="56.75" style="1" customWidth="1"/>
    <col min="4" max="4" width="48.375" style="1" customWidth="1"/>
    <col min="5" max="16384" width="9" style="1"/>
  </cols>
  <sheetData>
    <row r="2" spans="2:4" ht="17.25" thickBot="1" x14ac:dyDescent="0.35"/>
    <row r="3" spans="2:4" ht="17.25" thickBot="1" x14ac:dyDescent="0.35">
      <c r="B3" s="2" t="s">
        <v>0</v>
      </c>
      <c r="C3" s="3" t="s">
        <v>1</v>
      </c>
      <c r="D3" s="3" t="s">
        <v>2</v>
      </c>
    </row>
    <row r="4" spans="2:4" ht="17.25" thickBot="1" x14ac:dyDescent="0.35">
      <c r="B4" s="4" t="s">
        <v>3</v>
      </c>
      <c r="C4" s="2" t="s">
        <v>4</v>
      </c>
      <c r="D4" s="2"/>
    </row>
    <row r="5" spans="2:4" x14ac:dyDescent="0.3">
      <c r="B5" s="5" t="s">
        <v>5</v>
      </c>
      <c r="C5" s="6" t="s">
        <v>6</v>
      </c>
      <c r="D5" s="6"/>
    </row>
    <row r="6" spans="2:4" x14ac:dyDescent="0.3">
      <c r="B6" s="5" t="s">
        <v>7</v>
      </c>
      <c r="C6" s="6" t="s">
        <v>8</v>
      </c>
      <c r="D6" s="6"/>
    </row>
    <row r="7" spans="2:4" x14ac:dyDescent="0.3">
      <c r="B7" s="5" t="s">
        <v>9</v>
      </c>
      <c r="C7" s="7" t="s">
        <v>10</v>
      </c>
      <c r="D7" s="7"/>
    </row>
    <row r="8" spans="2:4" x14ac:dyDescent="0.3">
      <c r="B8" s="5" t="s">
        <v>11</v>
      </c>
      <c r="C8" s="8" t="s">
        <v>12</v>
      </c>
      <c r="D8" s="8"/>
    </row>
    <row r="9" spans="2:4" x14ac:dyDescent="0.3">
      <c r="B9" s="5" t="s">
        <v>13</v>
      </c>
      <c r="C9" s="7" t="s">
        <v>14</v>
      </c>
      <c r="D9" s="7"/>
    </row>
    <row r="10" spans="2:4" x14ac:dyDescent="0.3">
      <c r="B10" s="5" t="s">
        <v>15</v>
      </c>
      <c r="C10" s="9" t="s">
        <v>16</v>
      </c>
      <c r="D10" s="9"/>
    </row>
    <row r="11" spans="2:4" x14ac:dyDescent="0.3">
      <c r="B11" s="5" t="s">
        <v>17</v>
      </c>
      <c r="C11" s="9" t="s">
        <v>18</v>
      </c>
      <c r="D11" s="9"/>
    </row>
    <row r="12" spans="2:4" x14ac:dyDescent="0.3">
      <c r="B12" s="5" t="s">
        <v>19</v>
      </c>
      <c r="C12" s="7" t="s">
        <v>20</v>
      </c>
      <c r="D12" s="7"/>
    </row>
    <row r="13" spans="2:4" x14ac:dyDescent="0.3">
      <c r="B13" s="5" t="s">
        <v>21</v>
      </c>
      <c r="C13" s="7" t="s">
        <v>22</v>
      </c>
      <c r="D13" s="10"/>
    </row>
    <row r="14" spans="2:4" x14ac:dyDescent="0.3">
      <c r="B14" s="5" t="s">
        <v>23</v>
      </c>
      <c r="C14" s="9" t="s">
        <v>24</v>
      </c>
      <c r="D14" s="11"/>
    </row>
    <row r="15" spans="2:4" x14ac:dyDescent="0.3">
      <c r="B15" s="5" t="s">
        <v>25</v>
      </c>
      <c r="C15" s="12" t="s">
        <v>26</v>
      </c>
      <c r="D15" s="9"/>
    </row>
    <row r="16" spans="2:4" x14ac:dyDescent="0.3">
      <c r="B16" s="5" t="s">
        <v>27</v>
      </c>
      <c r="C16" s="7" t="s">
        <v>28</v>
      </c>
      <c r="D16" s="9"/>
    </row>
    <row r="17" spans="2:4" ht="94.5" x14ac:dyDescent="0.3">
      <c r="B17" s="5" t="s">
        <v>29</v>
      </c>
      <c r="C17" s="13" t="s">
        <v>30</v>
      </c>
      <c r="D17" s="11" t="s">
        <v>545</v>
      </c>
    </row>
    <row r="18" spans="2:4" x14ac:dyDescent="0.3">
      <c r="B18" s="5" t="s">
        <v>31</v>
      </c>
      <c r="C18" s="9" t="s">
        <v>32</v>
      </c>
      <c r="D18" s="11" t="s">
        <v>33</v>
      </c>
    </row>
    <row r="19" spans="2:4" ht="40.5" x14ac:dyDescent="0.3">
      <c r="B19" s="5" t="s">
        <v>34</v>
      </c>
      <c r="C19" s="9" t="s">
        <v>35</v>
      </c>
      <c r="D19" s="11" t="s">
        <v>36</v>
      </c>
    </row>
    <row r="20" spans="2:4" x14ac:dyDescent="0.3">
      <c r="B20" s="5" t="s">
        <v>37</v>
      </c>
      <c r="C20" s="13" t="s">
        <v>38</v>
      </c>
      <c r="D20" s="11" t="s">
        <v>38</v>
      </c>
    </row>
    <row r="21" spans="2:4" x14ac:dyDescent="0.3">
      <c r="B21" s="14" t="s">
        <v>39</v>
      </c>
      <c r="C21" s="9"/>
      <c r="D21" s="11" t="s">
        <v>40</v>
      </c>
    </row>
    <row r="22" spans="2:4" x14ac:dyDescent="0.3">
      <c r="B22" s="5" t="s">
        <v>41</v>
      </c>
      <c r="C22" s="7"/>
      <c r="D22" s="7"/>
    </row>
    <row r="23" spans="2:4" x14ac:dyDescent="0.3">
      <c r="B23" s="5" t="s">
        <v>42</v>
      </c>
      <c r="C23" s="15" t="s">
        <v>43</v>
      </c>
      <c r="D23" s="16" t="s">
        <v>44</v>
      </c>
    </row>
    <row r="24" spans="2:4" x14ac:dyDescent="0.3">
      <c r="B24" s="5" t="s">
        <v>45</v>
      </c>
      <c r="C24" s="7" t="s">
        <v>46</v>
      </c>
      <c r="D24" s="5"/>
    </row>
    <row r="25" spans="2:4" x14ac:dyDescent="0.3">
      <c r="B25" s="5" t="s">
        <v>47</v>
      </c>
      <c r="C25" s="7" t="s">
        <v>48</v>
      </c>
      <c r="D25" s="5"/>
    </row>
    <row r="26" spans="2:4" x14ac:dyDescent="0.3">
      <c r="B26" s="5" t="s">
        <v>49</v>
      </c>
      <c r="C26" s="7" t="s">
        <v>50</v>
      </c>
      <c r="D26" s="17" t="s">
        <v>51</v>
      </c>
    </row>
    <row r="27" spans="2:4" x14ac:dyDescent="0.3">
      <c r="B27" s="18" t="s">
        <v>52</v>
      </c>
      <c r="C27" s="7" t="s">
        <v>53</v>
      </c>
      <c r="D27" s="5" t="s">
        <v>54</v>
      </c>
    </row>
    <row r="28" spans="2:4" x14ac:dyDescent="0.3">
      <c r="B28" s="18" t="s">
        <v>55</v>
      </c>
      <c r="C28" s="19" t="s">
        <v>56</v>
      </c>
      <c r="D28" s="18" t="s">
        <v>57</v>
      </c>
    </row>
    <row r="29" spans="2:4" x14ac:dyDescent="0.3">
      <c r="B29" s="5" t="s">
        <v>58</v>
      </c>
      <c r="C29" s="7" t="s">
        <v>59</v>
      </c>
      <c r="D29" s="7"/>
    </row>
    <row r="30" spans="2:4" x14ac:dyDescent="0.3">
      <c r="B30" s="18" t="s">
        <v>60</v>
      </c>
      <c r="C30" s="19" t="s">
        <v>61</v>
      </c>
      <c r="D30" s="18"/>
    </row>
    <row r="31" spans="2:4" x14ac:dyDescent="0.3">
      <c r="B31" s="18" t="s">
        <v>62</v>
      </c>
      <c r="C31" s="19" t="s">
        <v>63</v>
      </c>
      <c r="D31" s="18"/>
    </row>
    <row r="32" spans="2:4" x14ac:dyDescent="0.3">
      <c r="B32" s="18" t="s">
        <v>64</v>
      </c>
      <c r="C32" s="19" t="s">
        <v>63</v>
      </c>
      <c r="D32" s="18"/>
    </row>
    <row r="33" spans="2:4" ht="17.25" thickBot="1" x14ac:dyDescent="0.35">
      <c r="B33" s="20" t="s">
        <v>65</v>
      </c>
      <c r="C33" s="21" t="s">
        <v>66</v>
      </c>
      <c r="D33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kwon ahn</dc:creator>
  <cp:lastModifiedBy>young kwon ahn</cp:lastModifiedBy>
  <dcterms:created xsi:type="dcterms:W3CDTF">2021-03-12T06:32:17Z</dcterms:created>
  <dcterms:modified xsi:type="dcterms:W3CDTF">2021-03-12T06:46:49Z</dcterms:modified>
</cp:coreProperties>
</file>