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GT36_축_외경 하드닝" sheetId="49" r:id="rId1"/>
    <sheet name="설계결과표" sheetId="50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J36" i="49" l="1"/>
  <c r="I36" i="49"/>
  <c r="F40" i="49"/>
  <c r="E36" i="49"/>
  <c r="D36" i="49"/>
  <c r="K33" i="49" l="1"/>
  <c r="J33" i="49"/>
  <c r="I33" i="49"/>
  <c r="H33" i="49"/>
  <c r="K19" i="49"/>
  <c r="J19" i="49"/>
  <c r="I19" i="49"/>
  <c r="H19" i="49"/>
  <c r="K17" i="49"/>
  <c r="K23" i="49" s="1"/>
  <c r="K26" i="49" s="1"/>
  <c r="J17" i="49"/>
  <c r="J23" i="49" s="1"/>
  <c r="J26" i="49" s="1"/>
  <c r="I17" i="49"/>
  <c r="I23" i="49" s="1"/>
  <c r="I26" i="49" s="1"/>
  <c r="H17" i="49"/>
  <c r="H23" i="49" s="1"/>
  <c r="H26" i="49" s="1"/>
  <c r="K10" i="49"/>
  <c r="K38" i="49" s="1"/>
  <c r="K40" i="49" s="1"/>
  <c r="J10" i="49"/>
  <c r="J38" i="49" s="1"/>
  <c r="J40" i="49" s="1"/>
  <c r="I10" i="49"/>
  <c r="I38" i="49" s="1"/>
  <c r="I40" i="49" s="1"/>
  <c r="H10" i="49"/>
  <c r="H38" i="49" s="1"/>
  <c r="H40" i="49" s="1"/>
  <c r="K6" i="49"/>
  <c r="K8" i="49" s="1"/>
  <c r="J6" i="49"/>
  <c r="J8" i="49" s="1"/>
  <c r="I6" i="49"/>
  <c r="I8" i="49" s="1"/>
  <c r="H6" i="49"/>
  <c r="H8" i="49" s="1"/>
  <c r="J29" i="49" l="1"/>
  <c r="K29" i="49"/>
  <c r="H29" i="49"/>
  <c r="I29" i="49"/>
  <c r="H11" i="49"/>
  <c r="H22" i="49"/>
  <c r="I11" i="49"/>
  <c r="I22" i="49"/>
  <c r="J11" i="49"/>
  <c r="J22" i="49"/>
  <c r="K11" i="49"/>
  <c r="K22" i="49"/>
  <c r="Y73" i="49"/>
  <c r="Y75" i="49" s="1"/>
  <c r="F68" i="49"/>
  <c r="E68" i="49"/>
  <c r="D68" i="49"/>
  <c r="C68" i="49"/>
  <c r="Y67" i="49"/>
  <c r="Y76" i="49" s="1"/>
  <c r="Q60" i="49"/>
  <c r="U57" i="49"/>
  <c r="U59" i="49" s="1"/>
  <c r="U54" i="49"/>
  <c r="Q54" i="49"/>
  <c r="U49" i="49"/>
  <c r="Y47" i="49"/>
  <c r="Y48" i="49" s="1"/>
  <c r="Q47" i="49"/>
  <c r="Q48" i="49" s="1"/>
  <c r="Q46" i="49"/>
  <c r="AC42" i="49"/>
  <c r="AC37" i="49"/>
  <c r="Q37" i="49"/>
  <c r="AC36" i="49"/>
  <c r="Q36" i="49"/>
  <c r="Q38" i="49" s="1"/>
  <c r="Q39" i="49" s="1"/>
  <c r="U35" i="49"/>
  <c r="F33" i="49"/>
  <c r="E33" i="49"/>
  <c r="D33" i="49"/>
  <c r="C33" i="49"/>
  <c r="AC31" i="49"/>
  <c r="U31" i="49"/>
  <c r="Y28" i="49"/>
  <c r="AC27" i="49"/>
  <c r="U27" i="49"/>
  <c r="U39" i="49" s="1"/>
  <c r="U40" i="49" s="1"/>
  <c r="U41" i="49" s="1"/>
  <c r="U42" i="49" s="1"/>
  <c r="U43" i="49" s="1"/>
  <c r="Q27" i="49"/>
  <c r="Q26" i="49"/>
  <c r="Q25" i="49"/>
  <c r="U11" i="49" s="1"/>
  <c r="AC23" i="49"/>
  <c r="U20" i="49"/>
  <c r="F19" i="49"/>
  <c r="E19" i="49"/>
  <c r="D19" i="49"/>
  <c r="C19" i="49"/>
  <c r="F17" i="49"/>
  <c r="E17" i="49"/>
  <c r="E23" i="49" s="1"/>
  <c r="E26" i="49" s="1"/>
  <c r="D17" i="49"/>
  <c r="C17" i="49"/>
  <c r="AC16" i="49"/>
  <c r="AC17" i="49" s="1"/>
  <c r="AC18" i="49" s="1"/>
  <c r="F10" i="49"/>
  <c r="F11" i="49" s="1"/>
  <c r="E10" i="49"/>
  <c r="E38" i="49" s="1"/>
  <c r="E40" i="49" s="1"/>
  <c r="D10" i="49"/>
  <c r="D11" i="49" s="1"/>
  <c r="C10" i="49"/>
  <c r="C38" i="49" s="1"/>
  <c r="C40" i="49" s="1"/>
  <c r="AC8" i="49"/>
  <c r="Y8" i="49"/>
  <c r="U8" i="49"/>
  <c r="Q7" i="49"/>
  <c r="Q9" i="49" s="1"/>
  <c r="Q14" i="49" s="1"/>
  <c r="U12" i="49" s="1"/>
  <c r="F6" i="49"/>
  <c r="F8" i="49" s="1"/>
  <c r="E6" i="49"/>
  <c r="E8" i="49" s="1"/>
  <c r="D6" i="49"/>
  <c r="D8" i="49" s="1"/>
  <c r="C6" i="49"/>
  <c r="C8" i="49" s="1"/>
  <c r="K25" i="49" l="1"/>
  <c r="K24" i="49"/>
  <c r="K27" i="49" s="1"/>
  <c r="K32" i="49" s="1"/>
  <c r="K42" i="49" s="1"/>
  <c r="I25" i="49"/>
  <c r="I24" i="49"/>
  <c r="I44" i="49"/>
  <c r="I45" i="49" s="1"/>
  <c r="I46" i="49" s="1"/>
  <c r="I47" i="49" s="1"/>
  <c r="I31" i="49"/>
  <c r="I30" i="49"/>
  <c r="K44" i="49"/>
  <c r="K45" i="49" s="1"/>
  <c r="K46" i="49" s="1"/>
  <c r="K47" i="49" s="1"/>
  <c r="K31" i="49"/>
  <c r="K30" i="49"/>
  <c r="J25" i="49"/>
  <c r="J24" i="49"/>
  <c r="H25" i="49"/>
  <c r="H24" i="49"/>
  <c r="H44" i="49"/>
  <c r="H45" i="49" s="1"/>
  <c r="H46" i="49" s="1"/>
  <c r="H47" i="49" s="1"/>
  <c r="H31" i="49"/>
  <c r="H30" i="49"/>
  <c r="J44" i="49"/>
  <c r="J45" i="49" s="1"/>
  <c r="J46" i="49" s="1"/>
  <c r="J47" i="49" s="1"/>
  <c r="J31" i="49"/>
  <c r="J30" i="49"/>
  <c r="F22" i="49"/>
  <c r="F55" i="49" s="1"/>
  <c r="F60" i="49" s="1"/>
  <c r="F63" i="49" s="1"/>
  <c r="U36" i="49"/>
  <c r="F38" i="49"/>
  <c r="Y68" i="49"/>
  <c r="C22" i="49"/>
  <c r="C25" i="49" s="1"/>
  <c r="C23" i="49"/>
  <c r="C26" i="49" s="1"/>
  <c r="C29" i="49" s="1"/>
  <c r="F23" i="49"/>
  <c r="F26" i="49" s="1"/>
  <c r="F29" i="49" s="1"/>
  <c r="U13" i="49"/>
  <c r="D23" i="49"/>
  <c r="D26" i="49" s="1"/>
  <c r="D22" i="49"/>
  <c r="Y29" i="49"/>
  <c r="C11" i="49"/>
  <c r="Y9" i="49"/>
  <c r="Y12" i="49"/>
  <c r="Y16" i="49" s="1"/>
  <c r="Y18" i="49" s="1"/>
  <c r="E29" i="49"/>
  <c r="Q28" i="49"/>
  <c r="Y32" i="49"/>
  <c r="Y35" i="49" s="1"/>
  <c r="Y37" i="49" s="1"/>
  <c r="Y39" i="49" s="1"/>
  <c r="Y51" i="49"/>
  <c r="Y54" i="49" s="1"/>
  <c r="Y57" i="49" s="1"/>
  <c r="Y59" i="49" s="1"/>
  <c r="E11" i="49"/>
  <c r="D38" i="49"/>
  <c r="D40" i="49" s="1"/>
  <c r="E22" i="49"/>
  <c r="J27" i="49" l="1"/>
  <c r="J32" i="49" s="1"/>
  <c r="J42" i="49" s="1"/>
  <c r="C24" i="49"/>
  <c r="F24" i="49"/>
  <c r="F54" i="49"/>
  <c r="F25" i="49"/>
  <c r="F61" i="49"/>
  <c r="C55" i="49"/>
  <c r="C61" i="49" s="1"/>
  <c r="H27" i="49"/>
  <c r="H32" i="49" s="1"/>
  <c r="H42" i="49" s="1"/>
  <c r="I27" i="49"/>
  <c r="I32" i="49" s="1"/>
  <c r="I42" i="49" s="1"/>
  <c r="J35" i="49"/>
  <c r="J34" i="49"/>
  <c r="H35" i="49"/>
  <c r="H34" i="49"/>
  <c r="K35" i="49"/>
  <c r="K34" i="49"/>
  <c r="I35" i="49"/>
  <c r="I34" i="49"/>
  <c r="C31" i="49"/>
  <c r="C35" i="49" s="1"/>
  <c r="Y60" i="49"/>
  <c r="C30" i="49"/>
  <c r="C44" i="49"/>
  <c r="C51" i="49" s="1"/>
  <c r="C27" i="49"/>
  <c r="C32" i="49" s="1"/>
  <c r="C42" i="49" s="1"/>
  <c r="D25" i="49"/>
  <c r="D24" i="49"/>
  <c r="D55" i="49"/>
  <c r="E55" i="49"/>
  <c r="E24" i="49"/>
  <c r="E25" i="49"/>
  <c r="E44" i="49"/>
  <c r="E31" i="49"/>
  <c r="E30" i="49"/>
  <c r="D29" i="49"/>
  <c r="Y20" i="49"/>
  <c r="Y21" i="49"/>
  <c r="Y40" i="49"/>
  <c r="F31" i="49"/>
  <c r="F30" i="49"/>
  <c r="F44" i="49"/>
  <c r="C45" i="49" l="1"/>
  <c r="C46" i="49" s="1"/>
  <c r="C47" i="49" s="1"/>
  <c r="C54" i="49"/>
  <c r="C60" i="49"/>
  <c r="C63" i="49" s="1"/>
  <c r="F27" i="49"/>
  <c r="F32" i="49" s="1"/>
  <c r="F42" i="49" s="1"/>
  <c r="C34" i="49"/>
  <c r="D27" i="49"/>
  <c r="D32" i="49" s="1"/>
  <c r="D42" i="49" s="1"/>
  <c r="D31" i="49"/>
  <c r="D30" i="49"/>
  <c r="D44" i="49"/>
  <c r="D54" i="49"/>
  <c r="D60" i="49"/>
  <c r="D63" i="49" s="1"/>
  <c r="D61" i="49"/>
  <c r="C64" i="49"/>
  <c r="C56" i="49"/>
  <c r="E51" i="49"/>
  <c r="E45" i="49"/>
  <c r="E46" i="49" s="1"/>
  <c r="E47" i="49" s="1"/>
  <c r="E60" i="49"/>
  <c r="E63" i="49" s="1"/>
  <c r="E61" i="49"/>
  <c r="E54" i="49"/>
  <c r="F35" i="49"/>
  <c r="F34" i="49"/>
  <c r="F45" i="49"/>
  <c r="F46" i="49" s="1"/>
  <c r="F47" i="49" s="1"/>
  <c r="F51" i="49"/>
  <c r="E35" i="49"/>
  <c r="E34" i="49"/>
  <c r="E27" i="49"/>
  <c r="E32" i="49" s="1"/>
  <c r="E42" i="49" s="1"/>
  <c r="E56" i="49" l="1"/>
  <c r="E64" i="49"/>
  <c r="F64" i="49"/>
  <c r="F56" i="49"/>
  <c r="D35" i="49"/>
  <c r="D34" i="49"/>
  <c r="C70" i="49"/>
  <c r="C73" i="49" s="1"/>
  <c r="C71" i="49"/>
  <c r="C74" i="49" s="1"/>
  <c r="C76" i="49" s="1"/>
  <c r="C69" i="49"/>
  <c r="C72" i="49" s="1"/>
  <c r="D51" i="49"/>
  <c r="D45" i="49"/>
  <c r="D46" i="49" s="1"/>
  <c r="D47" i="49" s="1"/>
  <c r="C93" i="49" l="1"/>
  <c r="C78" i="49"/>
  <c r="C90" i="49"/>
  <c r="C84" i="49"/>
  <c r="C82" i="49"/>
  <c r="C88" i="49" s="1"/>
  <c r="E71" i="49"/>
  <c r="E74" i="49" s="1"/>
  <c r="E76" i="49" s="1"/>
  <c r="E70" i="49"/>
  <c r="E73" i="49" s="1"/>
  <c r="E69" i="49"/>
  <c r="E72" i="49" s="1"/>
  <c r="D56" i="49"/>
  <c r="D64" i="49"/>
  <c r="C81" i="49"/>
  <c r="C87" i="49" s="1"/>
  <c r="C89" i="49"/>
  <c r="C83" i="49"/>
  <c r="F69" i="49"/>
  <c r="F72" i="49" s="1"/>
  <c r="F70" i="49"/>
  <c r="F73" i="49" s="1"/>
  <c r="F71" i="49"/>
  <c r="F74" i="49" s="1"/>
  <c r="F76" i="49" s="1"/>
  <c r="F93" i="49" l="1"/>
  <c r="F78" i="49"/>
  <c r="E89" i="49"/>
  <c r="E83" i="49"/>
  <c r="E81" i="49"/>
  <c r="E87" i="49" s="1"/>
  <c r="F90" i="49"/>
  <c r="F84" i="49"/>
  <c r="F82" i="49"/>
  <c r="F88" i="49" s="1"/>
  <c r="E90" i="49"/>
  <c r="E84" i="49"/>
  <c r="E82" i="49"/>
  <c r="E88" i="49" s="1"/>
  <c r="F89" i="49"/>
  <c r="F83" i="49"/>
  <c r="F81" i="49"/>
  <c r="F87" i="49" s="1"/>
  <c r="D71" i="49"/>
  <c r="D74" i="49" s="1"/>
  <c r="D76" i="49" s="1"/>
  <c r="D70" i="49"/>
  <c r="D73" i="49" s="1"/>
  <c r="D69" i="49"/>
  <c r="D72" i="49" s="1"/>
  <c r="E93" i="49"/>
  <c r="E78" i="49"/>
  <c r="D90" i="49" l="1"/>
  <c r="D84" i="49"/>
  <c r="D82" i="49"/>
  <c r="D88" i="49" s="1"/>
  <c r="D93" i="49"/>
  <c r="D78" i="49"/>
  <c r="D89" i="49"/>
  <c r="D83" i="49"/>
  <c r="D81" i="49"/>
  <c r="D87" i="49" s="1"/>
  <c r="F25" i="48" l="1"/>
  <c r="F26" i="48" s="1"/>
  <c r="G11" i="48"/>
  <c r="G12" i="48" s="1"/>
  <c r="F11" i="48"/>
  <c r="F12" i="48" s="1"/>
  <c r="F9" i="48"/>
  <c r="J41" i="45" l="1"/>
  <c r="D41" i="45"/>
  <c r="E41" i="45" s="1"/>
  <c r="C41" i="45"/>
  <c r="O41" i="45" s="1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F12" i="45" l="1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</calcChain>
</file>

<file path=xl/sharedStrings.xml><?xml version="1.0" encoding="utf-8"?>
<sst xmlns="http://schemas.openxmlformats.org/spreadsheetml/2006/main" count="1230" uniqueCount="677">
  <si>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</si>
  <si>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</si>
  <si>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</si>
  <si>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</si>
  <si>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</si>
  <si>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</si>
  <si>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</si>
  <si>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</si>
  <si>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</si>
  <si>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</si>
  <si>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</si>
  <si>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</si>
  <si>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</si>
  <si>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</si>
  <si>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</si>
  <si>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</si>
  <si>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</si>
  <si>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</si>
  <si>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</si>
  <si>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</si>
  <si>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</si>
  <si>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</si>
  <si>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</si>
  <si>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</si>
  <si>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</si>
  <si>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</si>
  <si>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</si>
  <si>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</si>
  <si>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</si>
  <si>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</si>
  <si>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</si>
  <si>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</si>
  <si>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</si>
  <si>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</si>
  <si>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</si>
  <si>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</si>
  <si>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</si>
  <si>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</si>
  <si>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</si>
  <si>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</si>
  <si>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</si>
  <si>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</si>
  <si>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</si>
  <si>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</si>
  <si>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</si>
  <si>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</si>
  <si>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</si>
  <si>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</si>
  <si>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</si>
  <si>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</si>
  <si>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</si>
  <si>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</si>
  <si>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</si>
  <si>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</si>
  <si>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</si>
  <si>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</si>
  <si>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</si>
  <si>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</si>
  <si>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</si>
  <si>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</si>
  <si>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</si>
  <si>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</si>
  <si>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</si>
  <si>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</si>
  <si>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</si>
  <si>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</si>
  <si>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</si>
  <si>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</si>
  <si>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</si>
  <si>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</si>
  <si>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</si>
  <si>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</si>
  <si>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</si>
  <si>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</si>
  <si>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</si>
  <si>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</si>
  <si>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</si>
  <si>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</si>
  <si>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</si>
  <si>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</si>
  <si>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</si>
  <si>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</si>
  <si>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</si>
  <si>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</si>
  <si>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</si>
  <si>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</si>
  <si>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</si>
  <si>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</si>
  <si>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</si>
  <si>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</si>
  <si>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</si>
  <si>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</si>
  <si>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</si>
  <si>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</si>
  <si>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</si>
  <si>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</si>
  <si>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</si>
  <si>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</si>
  <si>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</si>
  <si>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</si>
  <si>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</si>
  <si>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</si>
  <si>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</si>
  <si>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</si>
  <si>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</si>
  <si>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</si>
  <si>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</si>
  <si>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</si>
  <si>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</si>
  <si>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</si>
  <si>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</si>
  <si>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</si>
  <si>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</si>
  <si>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</si>
  <si>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</si>
  <si>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</si>
  <si>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</si>
  <si>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</si>
  <si>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</si>
  <si>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</si>
  <si>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</si>
  <si>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</si>
  <si>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</si>
  <si>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</si>
  <si>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</si>
  <si>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</si>
  <si>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</si>
  <si>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</si>
  <si>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</si>
  <si>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</si>
  <si>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</si>
  <si>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</si>
  <si>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</si>
  <si>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</si>
  <si>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</si>
  <si>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</si>
  <si>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</si>
  <si>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</si>
  <si>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</si>
  <si>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</si>
  <si>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</si>
  <si>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</si>
  <si>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</si>
  <si>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</si>
  <si>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</si>
  <si>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</si>
  <si>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</si>
  <si>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</si>
  <si>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</si>
  <si>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</si>
  <si>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</si>
  <si>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</si>
  <si>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</si>
  <si>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</si>
  <si>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</si>
  <si>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</si>
  <si>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</si>
  <si>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</si>
  <si>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</si>
  <si>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</si>
  <si>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</si>
  <si>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</si>
  <si>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</si>
  <si>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</si>
  <si>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</si>
  <si>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</si>
  <si>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</si>
  <si>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</si>
  <si>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</si>
  <si>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</si>
  <si>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</si>
  <si>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</si>
  <si>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</si>
  <si>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</si>
  <si>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</si>
  <si>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</si>
  <si>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</si>
  <si>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</si>
  <si>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</si>
  <si>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</si>
  <si>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</si>
  <si>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</si>
  <si>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</si>
  <si>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</si>
  <si>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</si>
  <si>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</si>
  <si>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</si>
  <si>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</si>
  <si>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</si>
  <si>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</si>
  <si>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</si>
  <si>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</si>
  <si>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</si>
  <si>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</si>
  <si>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</si>
  <si>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</si>
  <si>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</si>
  <si>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</si>
  <si>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</si>
  <si>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</si>
  <si>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</si>
  <si>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</si>
  <si>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</si>
  <si>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</si>
  <si>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</si>
  <si>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</si>
  <si>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</si>
  <si>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</si>
  <si>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</si>
  <si>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</si>
  <si>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</si>
  <si>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</si>
  <si>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</si>
  <si>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</si>
  <si>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</si>
  <si>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</si>
  <si>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</si>
  <si>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</si>
  <si>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</si>
  <si>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</si>
  <si>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</si>
  <si>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</si>
  <si>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</si>
  <si>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</si>
  <si>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</si>
  <si>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</si>
  <si>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</si>
  <si>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</si>
  <si>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</si>
  <si>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</si>
  <si>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</si>
  <si>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</si>
  <si>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</si>
  <si>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</si>
  <si>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</si>
  <si>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</si>
  <si>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</si>
  <si>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</si>
  <si>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</si>
  <si>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</si>
  <si>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</si>
  <si>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</si>
  <si>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</si>
  <si>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</si>
  <si>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</si>
  <si>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</si>
  <si>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</si>
  <si>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</si>
  <si>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</si>
  <si>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</si>
  <si>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</si>
  <si>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</si>
  <si>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</si>
  <si>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</si>
  <si>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</si>
  <si>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</si>
  <si>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</si>
  <si>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</si>
  <si>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</si>
  <si>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</si>
  <si>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</si>
  <si>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</si>
  <si>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</si>
  <si>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</si>
  <si>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</si>
  <si>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</si>
  <si>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</si>
  <si>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</si>
  <si>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</si>
  <si>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</si>
  <si>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</si>
  <si>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</si>
  <si>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</si>
  <si>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</si>
  <si>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</si>
  <si>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</si>
  <si>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</si>
  <si>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</si>
  <si>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</si>
  <si>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</si>
  <si>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</si>
  <si>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</si>
  <si>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</si>
  <si>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</si>
  <si>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</si>
  <si>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</si>
  <si>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</si>
  <si>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</si>
  <si>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</si>
  <si>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</si>
  <si>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</si>
  <si>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</si>
  <si>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</si>
  <si>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</si>
  <si>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</si>
  <si>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</si>
  <si>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</si>
  <si>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</si>
  <si>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</si>
  <si>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</si>
  <si>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</si>
  <si>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</si>
  <si>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</si>
  <si>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</si>
  <si>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</si>
  <si>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</si>
  <si>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</si>
  <si>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</si>
  <si>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</si>
  <si>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</si>
  <si>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</si>
  <si>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</si>
  <si>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</si>
  <si>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</si>
  <si>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</si>
  <si>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</si>
  <si>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</si>
  <si>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</si>
  <si>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</si>
  <si>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</si>
  <si>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</si>
  <si>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</si>
  <si>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</si>
  <si>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</si>
  <si>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</si>
  <si>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</si>
  <si>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</si>
  <si>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</si>
  <si>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</si>
  <si>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</si>
  <si>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</si>
  <si>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</si>
  <si>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</si>
  <si>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</si>
  <si>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</si>
  <si>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</si>
  <si>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</si>
  <si>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</si>
  <si>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</si>
  <si>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</si>
  <si>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</si>
  <si>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</si>
  <si>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</si>
  <si>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</si>
  <si>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</si>
  <si>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</si>
  <si>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</si>
  <si>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</si>
  <si>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</si>
  <si>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</si>
  <si>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</si>
  <si>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</si>
  <si>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</si>
  <si>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</si>
  <si>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</si>
  <si>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</si>
  <si>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</si>
  <si>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</si>
  <si>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</si>
  <si>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</si>
  <si>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</si>
  <si>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</si>
  <si>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</si>
  <si>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</si>
  <si>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</si>
  <si>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</si>
  <si>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</si>
  <si>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</si>
  <si>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</si>
  <si>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</si>
  <si>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</si>
  <si>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</si>
  <si>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</si>
  <si>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</si>
  <si>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</si>
  <si>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</si>
  <si>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</si>
  <si>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</si>
  <si>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</si>
  <si>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</si>
  <si>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</si>
  <si>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</si>
  <si>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</si>
  <si>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</si>
  <si>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</si>
  <si>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</si>
  <si>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</si>
  <si>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</si>
  <si>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</si>
  <si>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</si>
  <si>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</si>
  <si>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</si>
  <si>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</si>
  <si>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</si>
  <si>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</si>
  <si>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</si>
  <si>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</si>
  <si>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</si>
  <si>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</si>
  <si>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</si>
  <si>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</si>
  <si>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</si>
  <si>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</si>
  <si>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</si>
  <si>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</si>
  <si>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</si>
  <si>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</si>
  <si>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</si>
  <si>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</si>
  <si>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</si>
  <si>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</si>
  <si>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</si>
  <si>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</si>
  <si>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</si>
  <si>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</si>
  <si>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</si>
  <si>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</si>
  <si>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</si>
  <si>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</si>
  <si>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</si>
  <si>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</si>
  <si>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</si>
  <si>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</si>
  <si>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</si>
  <si>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</si>
  <si>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</si>
  <si>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</si>
  <si>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</si>
  <si>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</si>
  <si>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</si>
  <si>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</si>
  <si>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</si>
  <si>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</si>
  <si>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</si>
  <si>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</si>
  <si>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</si>
  <si>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</si>
  <si>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</si>
  <si>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</si>
  <si>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</si>
  <si>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</si>
  <si>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</si>
  <si>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</si>
  <si>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</si>
  <si>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</si>
  <si>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</si>
  <si>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</si>
  <si>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</si>
  <si>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</si>
  <si>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</si>
  <si>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</si>
  <si>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</si>
  <si>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</si>
  <si>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</si>
  <si>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</si>
  <si>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</si>
  <si>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</si>
  <si>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</si>
  <si>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</si>
  <si>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</si>
  <si>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</si>
  <si>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</si>
  <si>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</si>
  <si>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</si>
  <si>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</si>
  <si>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</si>
  <si>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</si>
  <si>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</si>
  <si>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</si>
  <si>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</si>
  <si>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</si>
  <si>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</si>
  <si>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</si>
  <si>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</si>
  <si>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</si>
  <si>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</si>
  <si>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</si>
  <si>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</si>
  <si>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</si>
  <si>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</si>
  <si>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</si>
  <si>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</si>
  <si>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</si>
  <si>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</si>
  <si>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</si>
  <si>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</si>
  <si>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</si>
  <si>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</si>
  <si>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</si>
  <si>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</si>
  <si>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</si>
  <si>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</si>
  <si>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</si>
  <si>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</si>
  <si>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</si>
  <si>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</si>
  <si>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</si>
  <si>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</si>
  <si>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</si>
  <si>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</si>
  <si>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</si>
  <si>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</si>
  <si>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</si>
  <si>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</si>
  <si>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</si>
  <si>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</si>
  <si>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</si>
  <si>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</si>
  <si>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</si>
  <si>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</si>
  <si>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</si>
  <si>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</si>
  <si>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</si>
  <si>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</si>
  <si>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</si>
  <si>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</si>
  <si>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</si>
  <si>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</si>
  <si>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</si>
  <si>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</si>
  <si>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</si>
  <si>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</si>
  <si>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</si>
  <si>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</si>
  <si>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</si>
  <si>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</si>
  <si>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</si>
  <si>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</si>
  <si>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</si>
  <si>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</si>
  <si>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</si>
  <si>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</si>
  <si>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</si>
  <si>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</si>
  <si>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</si>
  <si>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</si>
  <si>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</si>
  <si>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</si>
  <si>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</si>
  <si>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</si>
  <si>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</si>
  <si>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</si>
  <si>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</si>
  <si>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</si>
  <si>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</si>
  <si>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</si>
  <si>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</si>
  <si>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</si>
  <si>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</si>
  <si>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</si>
  <si>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</si>
  <si>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</si>
  <si>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</si>
  <si>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</si>
  <si>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</si>
  <si>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</si>
  <si>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</si>
  <si>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</si>
  <si>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</si>
  <si>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</si>
  <si>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</si>
  <si>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</si>
  <si>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</si>
  <si>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</si>
  <si>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</si>
  <si>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</si>
  <si>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</si>
  <si>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</si>
  <si>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</si>
  <si>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</si>
  <si>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</si>
  <si>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</si>
  <si>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</si>
  <si>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</si>
  <si>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</si>
  <si>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</si>
  <si>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</si>
  <si>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</si>
  <si>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</si>
  <si>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</si>
  <si>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</si>
  <si>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</si>
  <si>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</si>
  <si>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</si>
  <si>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</si>
  <si>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</si>
  <si>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</si>
  <si>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</si>
  <si>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</si>
  <si>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</si>
  <si>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</si>
  <si>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</si>
  <si>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</si>
  <si>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</si>
  <si>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</si>
  <si>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</si>
  <si>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</si>
  <si>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</si>
  <si>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</si>
  <si>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</si>
  <si>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</si>
  <si>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</si>
  <si>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</si>
  <si>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</si>
  <si>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</si>
  <si>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</si>
  <si>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</si>
  <si>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</si>
  <si>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</si>
  <si>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</si>
  <si>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</si>
  <si>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</si>
  <si>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</si>
  <si>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</si>
  <si>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</si>
  <si>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</si>
  <si>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</si>
  <si>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</si>
  <si>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</si>
  <si>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</si>
  <si>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</si>
  <si>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</si>
  <si>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</si>
  <si>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</si>
  <si>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</si>
  <si>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</si>
  <si>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</si>
  <si>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</si>
  <si>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</si>
  <si>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</si>
  <si>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</si>
  <si>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</si>
  <si>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</si>
  <si>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</si>
  <si>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</si>
  <si>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</si>
  <si>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</si>
  <si>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MAIN MC</t>
    <phoneticPr fontId="2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</si>
  <si>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</si>
  <si>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</si>
  <si>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</si>
  <si>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</si>
  <si>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567A</t>
    <phoneticPr fontId="7" type="noConversion"/>
  </si>
  <si>
    <t>605A</t>
    <phoneticPr fontId="7" type="noConversion"/>
  </si>
  <si>
    <t>MAIN C/T</t>
    <phoneticPr fontId="2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</si>
  <si>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</si>
  <si>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</si>
  <si>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</si>
  <si>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</si>
  <si>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MC-800a, 800AF</t>
    <phoneticPr fontId="2" type="noConversion"/>
  </si>
  <si>
    <t>GT36_축 외경 하드닝</t>
    <phoneticPr fontId="7" type="noConversion"/>
  </si>
  <si>
    <t>2021.04.30</t>
    <phoneticPr fontId="2" type="noConversion"/>
  </si>
  <si>
    <t>X</t>
    <phoneticPr fontId="3" type="noConversion"/>
  </si>
  <si>
    <t>직렬공진회로(Full Bridge)</t>
    <phoneticPr fontId="3" type="noConversion"/>
  </si>
  <si>
    <t>2021.03.31</t>
    <phoneticPr fontId="3" type="noConversion"/>
  </si>
  <si>
    <t>FM+LBPWM</t>
    <phoneticPr fontId="3" type="noConversion"/>
  </si>
  <si>
    <t>일진글로벌_축_외경 하드닝</t>
    <phoneticPr fontId="3" type="noConversion"/>
  </si>
  <si>
    <t>EBS803c, 800A</t>
    <phoneticPr fontId="7" type="noConversion"/>
  </si>
  <si>
    <t>MCCB</t>
    <phoneticPr fontId="7" type="noConversion"/>
  </si>
  <si>
    <t>MCCB(핸들)</t>
    <phoneticPr fontId="2" type="noConversion"/>
  </si>
  <si>
    <t>[N-80] 외부조작핸들(직결형)</t>
    <phoneticPr fontId="2" type="noConversion"/>
  </si>
  <si>
    <t>8~11kHz</t>
    <phoneticPr fontId="7" type="noConversion"/>
  </si>
  <si>
    <t>37uF, 500V, 1000A(대동콘덴서)</t>
    <phoneticPr fontId="7" type="noConversion"/>
  </si>
  <si>
    <t>I118+I140 조합</t>
    <phoneticPr fontId="2" type="noConversion"/>
  </si>
  <si>
    <t>GT33_큰소재</t>
    <phoneticPr fontId="2" type="noConversion"/>
  </si>
  <si>
    <t>G36_작은소재</t>
    <phoneticPr fontId="2" type="noConversion"/>
  </si>
  <si>
    <t>CT탭비</t>
    <phoneticPr fontId="2" type="noConversion"/>
  </si>
  <si>
    <t>6직렬 2병렬, TOTAL: 12.33uF 3000V 2000A</t>
    <phoneticPr fontId="7" type="noConversion"/>
  </si>
  <si>
    <t>권선 몰드형, 1차: 0, 1, 2, 3, 9, 13,  2차: 1/1/1/1/1... 기본 탭비 13:1
상세사양 개발팀 문의</t>
    <phoneticPr fontId="2" type="noConversion"/>
  </si>
  <si>
    <t>최대 1200A (예상 1100A)</t>
    <phoneticPr fontId="2" type="noConversion"/>
  </si>
  <si>
    <t>IH_GATE_DRIVER_V21_DUAL_R6_2400A</t>
    <phoneticPr fontId="2" type="noConversion"/>
  </si>
  <si>
    <t>LCD 최대 설정값: 1300A</t>
    <phoneticPr fontId="2" type="noConversion"/>
  </si>
  <si>
    <t>4~6(2.5~7까지 설계)</t>
    <phoneticPr fontId="7" type="noConversion"/>
  </si>
  <si>
    <t>2021.03.17</t>
    <phoneticPr fontId="2" type="noConversion"/>
  </si>
  <si>
    <t>사용안함</t>
    <phoneticPr fontId="7" type="noConversion"/>
  </si>
  <si>
    <r>
      <t>[FZ2400R12HE4_B9] 1200V, 2400A,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</si>
  <si>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최대 15600A (예상 14300A)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</si>
</sst>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  <numFmt numFmtId="190" formatCode="0.0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61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5" fontId="10" fillId="5" borderId="1" xfId="1" applyNumberFormat="1" applyFont="1" applyFill="1" applyBorder="1" applyAlignment="1">
      <alignment vertical="center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23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lef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183" fontId="13" fillId="3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87" fontId="12" fillId="4" borderId="3" xfId="2" applyNumberFormat="1" applyFont="1" applyFill="1" applyBorder="1">
      <alignment vertical="center"/>
    </xf>
    <xf numFmtId="187" fontId="12" fillId="4" borderId="35" xfId="2" applyNumberFormat="1" applyFont="1" applyFill="1" applyBorder="1">
      <alignment vertical="center"/>
    </xf>
    <xf numFmtId="187" fontId="12" fillId="4" borderId="36" xfId="2" applyNumberFormat="1" applyFont="1" applyFill="1" applyBorder="1">
      <alignment vertical="center"/>
    </xf>
    <xf numFmtId="187" fontId="12" fillId="4" borderId="4" xfId="2" applyNumberFormat="1" applyFont="1" applyFill="1" applyBorder="1">
      <alignment vertical="center"/>
    </xf>
    <xf numFmtId="190" fontId="12" fillId="0" borderId="40" xfId="2" applyNumberFormat="1" applyFont="1" applyBorder="1">
      <alignment vertical="center"/>
    </xf>
    <xf numFmtId="190" fontId="12" fillId="0" borderId="36" xfId="2" applyNumberFormat="1" applyFont="1" applyBorder="1">
      <alignment vertical="center"/>
    </xf>
    <xf numFmtId="181" fontId="24" fillId="5" borderId="6" xfId="0" applyNumberFormat="1" applyFont="1" applyFill="1" applyBorder="1" applyAlignment="1">
      <alignment vertical="center" wrapText="1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20</xdr:row>
      <xdr:rowOff>58555</xdr:rowOff>
    </xdr:from>
    <xdr:to>
      <xdr:col>27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28627755" y="405905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20</xdr:row>
      <xdr:rowOff>55621</xdr:rowOff>
    </xdr:from>
    <xdr:to>
      <xdr:col>27</xdr:col>
      <xdr:colOff>1786806</xdr:colOff>
      <xdr:row>20</xdr:row>
      <xdr:rowOff>147459</xdr:rowOff>
    </xdr:to>
    <xdr:sp macro="" textlink="">
      <xdr:nvSpPr>
        <xdr:cNvPr id="3" name="타원 2"/>
        <xdr:cNvSpPr/>
      </xdr:nvSpPr>
      <xdr:spPr>
        <a:xfrm>
          <a:off x="28765406" y="405612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24</xdr:row>
      <xdr:rowOff>56203</xdr:rowOff>
    </xdr:from>
    <xdr:to>
      <xdr:col>27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28627755" y="489490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24</xdr:row>
      <xdr:rowOff>54429</xdr:rowOff>
    </xdr:from>
    <xdr:to>
      <xdr:col>27</xdr:col>
      <xdr:colOff>1779854</xdr:colOff>
      <xdr:row>24</xdr:row>
      <xdr:rowOff>140533</xdr:rowOff>
    </xdr:to>
    <xdr:sp macro="" textlink="">
      <xdr:nvSpPr>
        <xdr:cNvPr id="5" name="타원 4"/>
        <xdr:cNvSpPr/>
      </xdr:nvSpPr>
      <xdr:spPr>
        <a:xfrm>
          <a:off x="28760348" y="489312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24</xdr:row>
      <xdr:rowOff>53245</xdr:rowOff>
    </xdr:from>
    <xdr:to>
      <xdr:col>27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28889459" y="489194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24</xdr:row>
      <xdr:rowOff>54428</xdr:rowOff>
    </xdr:from>
    <xdr:to>
      <xdr:col>27</xdr:col>
      <xdr:colOff>2047875</xdr:colOff>
      <xdr:row>24</xdr:row>
      <xdr:rowOff>146277</xdr:rowOff>
    </xdr:to>
    <xdr:sp macro="" textlink="">
      <xdr:nvSpPr>
        <xdr:cNvPr id="7" name="타원 6"/>
        <xdr:cNvSpPr/>
      </xdr:nvSpPr>
      <xdr:spPr>
        <a:xfrm>
          <a:off x="29020157" y="489312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28</xdr:row>
      <xdr:rowOff>23664</xdr:rowOff>
    </xdr:from>
    <xdr:to>
      <xdr:col>27</xdr:col>
      <xdr:colOff>1632857</xdr:colOff>
      <xdr:row>28</xdr:row>
      <xdr:rowOff>94657</xdr:rowOff>
    </xdr:to>
    <xdr:sp macro="" textlink="">
      <xdr:nvSpPr>
        <xdr:cNvPr id="8" name="타원 7"/>
        <xdr:cNvSpPr/>
      </xdr:nvSpPr>
      <xdr:spPr>
        <a:xfrm>
          <a:off x="28623209" y="570056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28</xdr:row>
      <xdr:rowOff>23230</xdr:rowOff>
    </xdr:from>
    <xdr:to>
      <xdr:col>27</xdr:col>
      <xdr:colOff>1738638</xdr:colOff>
      <xdr:row>28</xdr:row>
      <xdr:rowOff>91335</xdr:rowOff>
    </xdr:to>
    <xdr:sp macro="" textlink="">
      <xdr:nvSpPr>
        <xdr:cNvPr id="9" name="타원 8"/>
        <xdr:cNvSpPr/>
      </xdr:nvSpPr>
      <xdr:spPr>
        <a:xfrm>
          <a:off x="28738080" y="570013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28</xdr:row>
      <xdr:rowOff>120160</xdr:rowOff>
    </xdr:from>
    <xdr:to>
      <xdr:col>27</xdr:col>
      <xdr:colOff>1737784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28734605" y="579706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28</xdr:row>
      <xdr:rowOff>124239</xdr:rowOff>
    </xdr:from>
    <xdr:to>
      <xdr:col>27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28626575" y="580113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3"/>
  <sheetViews>
    <sheetView zoomScale="80" zoomScaleNormal="80" workbookViewId="0">
      <selection activeCell="K35" sqref="K35"/>
    </sheetView>
  </sheetViews>
  <sheetFormatPr defaultColWidth="8.88671875" defaultRowHeight="13.5" x14ac:dyDescent="0.15"/>
  <cols>
    <col min="1" max="1" width="8.88671875" style="1"/>
    <col min="2" max="2" width="40.77734375" style="1" customWidth="1"/>
    <col min="3" max="6" width="9.33203125" style="1" customWidth="1"/>
    <col min="7" max="7" width="4.44140625" style="1" customWidth="1"/>
    <col min="8" max="11" width="9.33203125" style="1" customWidth="1"/>
    <col min="12" max="12" width="6.33203125" style="1" customWidth="1"/>
    <col min="13" max="13" width="8.21875" style="1" bestFit="1" customWidth="1"/>
    <col min="14" max="14" width="67.33203125" style="1" customWidth="1"/>
    <col min="15" max="15" width="4" style="1" customWidth="1"/>
    <col min="16" max="16" width="19.109375" style="1" customWidth="1"/>
    <col min="17" max="18" width="12.77734375" style="1" bestFit="1" customWidth="1"/>
    <col min="19" max="19" width="12.109375" style="1" bestFit="1" customWidth="1"/>
    <col min="20" max="20" width="20.88671875" style="1" bestFit="1" customWidth="1"/>
    <col min="21" max="21" width="10.109375" style="1" bestFit="1" customWidth="1"/>
    <col min="22" max="22" width="8.88671875" style="1"/>
    <col min="23" max="23" width="4.441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5546875" style="1" customWidth="1"/>
    <col min="28" max="28" width="30.6640625" style="1" customWidth="1"/>
    <col min="29" max="29" width="9" style="1" bestFit="1" customWidth="1"/>
    <col min="30" max="30" width="8.77734375" style="1" bestFit="1" customWidth="1"/>
    <col min="31" max="16384" width="8.88671875" style="1"/>
  </cols>
  <sheetData>
    <row r="1" spans="2:31" ht="18" thickBot="1" x14ac:dyDescent="0.2">
      <c r="B1" s="58" t="s">
        <v>290</v>
      </c>
      <c r="C1" s="211" t="s">
        <v>664</v>
      </c>
      <c r="D1" s="212"/>
      <c r="E1" s="212"/>
      <c r="F1" s="212"/>
      <c r="H1" s="211" t="s">
        <v>665</v>
      </c>
      <c r="I1" s="212"/>
      <c r="J1" s="212"/>
      <c r="K1" s="212"/>
    </row>
    <row r="2" spans="2:31" ht="16.5" x14ac:dyDescent="0.15">
      <c r="B2" s="46" t="s">
        <v>216</v>
      </c>
      <c r="C2" s="47"/>
      <c r="D2" s="172" t="s">
        <v>634</v>
      </c>
      <c r="E2" s="173" t="s">
        <v>635</v>
      </c>
      <c r="F2" s="47"/>
      <c r="G2" s="47"/>
      <c r="H2" s="47"/>
      <c r="I2" s="172" t="s">
        <v>634</v>
      </c>
      <c r="J2" s="173" t="s">
        <v>635</v>
      </c>
      <c r="K2" s="47"/>
      <c r="L2" s="47"/>
      <c r="M2" s="47" t="s">
        <v>273</v>
      </c>
      <c r="N2" s="47" t="s">
        <v>221</v>
      </c>
    </row>
    <row r="3" spans="2:31" ht="16.5" x14ac:dyDescent="0.15">
      <c r="B3" s="48" t="s">
        <v>18</v>
      </c>
      <c r="C3" s="144">
        <v>350</v>
      </c>
      <c r="D3" s="174">
        <v>350</v>
      </c>
      <c r="E3" s="175">
        <v>350</v>
      </c>
      <c r="F3" s="158">
        <v>350</v>
      </c>
      <c r="G3" s="158"/>
      <c r="H3" s="144">
        <v>350</v>
      </c>
      <c r="I3" s="174">
        <v>350</v>
      </c>
      <c r="J3" s="175">
        <v>350</v>
      </c>
      <c r="K3" s="158">
        <v>350</v>
      </c>
      <c r="L3" s="48" t="s">
        <v>1</v>
      </c>
      <c r="M3" s="49">
        <v>1</v>
      </c>
      <c r="N3" s="50" t="s">
        <v>219</v>
      </c>
      <c r="P3" s="207" t="s">
        <v>258</v>
      </c>
      <c r="Q3" s="207"/>
      <c r="R3" s="207"/>
      <c r="S3" s="13"/>
      <c r="T3" s="208" t="s">
        <v>217</v>
      </c>
      <c r="U3" s="208"/>
      <c r="V3" s="208"/>
      <c r="W3" s="13"/>
      <c r="X3" s="208" t="s">
        <v>488</v>
      </c>
      <c r="Y3" s="208"/>
      <c r="Z3" s="208"/>
      <c r="AA3" s="13"/>
      <c r="AB3" s="207" t="s">
        <v>238</v>
      </c>
      <c r="AC3" s="207"/>
      <c r="AD3" s="207"/>
      <c r="AE3" s="14"/>
    </row>
    <row r="4" spans="2:31" ht="16.5" x14ac:dyDescent="0.15">
      <c r="B4" s="48" t="s">
        <v>499</v>
      </c>
      <c r="C4" s="144">
        <v>440</v>
      </c>
      <c r="D4" s="174">
        <v>440</v>
      </c>
      <c r="E4" s="175">
        <v>440</v>
      </c>
      <c r="F4" s="158">
        <v>440</v>
      </c>
      <c r="G4" s="158"/>
      <c r="H4" s="144">
        <v>440</v>
      </c>
      <c r="I4" s="174">
        <v>440</v>
      </c>
      <c r="J4" s="175">
        <v>440</v>
      </c>
      <c r="K4" s="158">
        <v>440</v>
      </c>
      <c r="L4" s="48" t="s">
        <v>0</v>
      </c>
      <c r="M4" s="49">
        <v>2</v>
      </c>
      <c r="N4" s="50" t="s">
        <v>220</v>
      </c>
      <c r="P4" s="5" t="s">
        <v>10</v>
      </c>
      <c r="Q4" s="7">
        <v>1</v>
      </c>
      <c r="R4" s="5" t="s">
        <v>11</v>
      </c>
      <c r="S4" s="13" t="s">
        <v>628</v>
      </c>
      <c r="T4" s="5" t="s">
        <v>20</v>
      </c>
      <c r="U4" s="7">
        <v>580</v>
      </c>
      <c r="V4" s="5" t="s">
        <v>0</v>
      </c>
      <c r="W4" s="13"/>
      <c r="X4" s="5" t="s">
        <v>188</v>
      </c>
      <c r="Y4" s="3" t="s">
        <v>189</v>
      </c>
      <c r="Z4" s="3"/>
      <c r="AA4" s="13"/>
      <c r="AB4" s="6" t="s">
        <v>106</v>
      </c>
      <c r="AC4" s="7">
        <v>16.329999999999998</v>
      </c>
      <c r="AD4" s="6" t="s">
        <v>15</v>
      </c>
      <c r="AE4" s="143" t="s">
        <v>630</v>
      </c>
    </row>
    <row r="5" spans="2:31" ht="16.5" x14ac:dyDescent="0.1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59"/>
      <c r="H5" s="145">
        <v>0.9</v>
      </c>
      <c r="I5" s="176">
        <v>0.9</v>
      </c>
      <c r="J5" s="177">
        <v>0.9</v>
      </c>
      <c r="K5" s="159">
        <v>0.9</v>
      </c>
      <c r="L5" s="162"/>
      <c r="M5" s="49"/>
      <c r="N5" s="48" t="s">
        <v>478</v>
      </c>
      <c r="P5" s="5" t="s">
        <v>12</v>
      </c>
      <c r="Q5" s="7">
        <v>190</v>
      </c>
      <c r="R5" s="5" t="s">
        <v>13</v>
      </c>
      <c r="S5" s="13"/>
      <c r="T5" s="5" t="s">
        <v>466</v>
      </c>
      <c r="U5" s="7">
        <v>0.62</v>
      </c>
      <c r="V5" s="5" t="s">
        <v>19</v>
      </c>
      <c r="W5" s="13"/>
      <c r="X5" s="12" t="s">
        <v>190</v>
      </c>
      <c r="Y5" s="15">
        <v>1.75</v>
      </c>
      <c r="Z5" s="12" t="s">
        <v>191</v>
      </c>
      <c r="AA5" s="13"/>
      <c r="AB5" s="6" t="s">
        <v>107</v>
      </c>
      <c r="AC5" s="7">
        <v>1400</v>
      </c>
      <c r="AD5" s="6" t="s">
        <v>2</v>
      </c>
      <c r="AE5" s="14"/>
    </row>
    <row r="6" spans="2:31" ht="16.5" x14ac:dyDescent="0.15">
      <c r="B6" s="48" t="s">
        <v>64</v>
      </c>
      <c r="C6" s="146">
        <f t="shared" ref="C6:F6" si="0">ROUND(C3*1000/(C4*0.9)/1.732/C5,1)</f>
        <v>567</v>
      </c>
      <c r="D6" s="178">
        <f t="shared" si="0"/>
        <v>567</v>
      </c>
      <c r="E6" s="179">
        <f t="shared" si="0"/>
        <v>567</v>
      </c>
      <c r="F6" s="160">
        <f t="shared" si="0"/>
        <v>567</v>
      </c>
      <c r="G6" s="160"/>
      <c r="H6" s="146">
        <f t="shared" ref="H6:K6" si="1">ROUND(H3*1000/(H4*0.9)/1.732/H5,1)</f>
        <v>567</v>
      </c>
      <c r="I6" s="178">
        <f t="shared" si="1"/>
        <v>567</v>
      </c>
      <c r="J6" s="179">
        <f t="shared" si="1"/>
        <v>567</v>
      </c>
      <c r="K6" s="160">
        <f t="shared" si="1"/>
        <v>567</v>
      </c>
      <c r="L6" s="162" t="s">
        <v>2</v>
      </c>
      <c r="M6" s="49"/>
      <c r="N6" s="48" t="s">
        <v>270</v>
      </c>
      <c r="P6" s="5" t="s">
        <v>14</v>
      </c>
      <c r="Q6" s="7">
        <v>140</v>
      </c>
      <c r="R6" s="5" t="s">
        <v>13</v>
      </c>
      <c r="S6" s="13"/>
      <c r="T6" s="5" t="s">
        <v>21</v>
      </c>
      <c r="U6" s="7">
        <v>78.540000000000006</v>
      </c>
      <c r="V6" s="5" t="s">
        <v>22</v>
      </c>
      <c r="W6" s="13"/>
      <c r="X6" s="12" t="s">
        <v>192</v>
      </c>
      <c r="Y6" s="16">
        <v>3.8999999999999998E-3</v>
      </c>
      <c r="Z6" s="12" t="s">
        <v>193</v>
      </c>
      <c r="AA6" s="13"/>
      <c r="AB6" s="6" t="s">
        <v>108</v>
      </c>
      <c r="AC6" s="7">
        <v>2800</v>
      </c>
      <c r="AD6" s="6" t="s">
        <v>27</v>
      </c>
      <c r="AE6" s="14"/>
    </row>
    <row r="7" spans="2:31" ht="16.5" x14ac:dyDescent="0.1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1"/>
      <c r="H7" s="147">
        <v>2</v>
      </c>
      <c r="I7" s="180">
        <v>2</v>
      </c>
      <c r="J7" s="181">
        <v>2</v>
      </c>
      <c r="K7" s="161">
        <v>2</v>
      </c>
      <c r="L7" s="162" t="s">
        <v>74</v>
      </c>
      <c r="M7" s="49"/>
      <c r="N7" s="48"/>
      <c r="P7" s="5" t="s">
        <v>97</v>
      </c>
      <c r="Q7" s="8">
        <f>(Q5*Q4)*(Q5*Q4)/(101.6*(4.5*Q5+10*Q6))</f>
        <v>0.15756761003544181</v>
      </c>
      <c r="R7" s="5" t="s">
        <v>15</v>
      </c>
      <c r="S7" s="13"/>
      <c r="T7" s="5" t="s">
        <v>23</v>
      </c>
      <c r="U7" s="7">
        <v>7500</v>
      </c>
      <c r="V7" s="5" t="s">
        <v>24</v>
      </c>
      <c r="W7" s="13"/>
      <c r="X7" s="12" t="s">
        <v>194</v>
      </c>
      <c r="Y7" s="17">
        <v>45</v>
      </c>
      <c r="Z7" s="12" t="s">
        <v>48</v>
      </c>
      <c r="AA7" s="13"/>
      <c r="AB7" s="6" t="s">
        <v>262</v>
      </c>
      <c r="AC7" s="7">
        <v>580</v>
      </c>
      <c r="AD7" s="6" t="s">
        <v>0</v>
      </c>
      <c r="AE7" s="14"/>
    </row>
    <row r="8" spans="2:31" ht="16.5" x14ac:dyDescent="0.15">
      <c r="B8" s="48" t="s">
        <v>65</v>
      </c>
      <c r="C8" s="147">
        <f t="shared" ref="C8:F8" si="2">ROUND(C6/C7,0)</f>
        <v>284</v>
      </c>
      <c r="D8" s="180">
        <f t="shared" si="2"/>
        <v>284</v>
      </c>
      <c r="E8" s="181">
        <f t="shared" si="2"/>
        <v>284</v>
      </c>
      <c r="F8" s="161">
        <f t="shared" si="2"/>
        <v>284</v>
      </c>
      <c r="G8" s="161"/>
      <c r="H8" s="147">
        <f t="shared" ref="H8:K8" si="3">ROUND(H6/H7,0)</f>
        <v>284</v>
      </c>
      <c r="I8" s="180">
        <f t="shared" si="3"/>
        <v>284</v>
      </c>
      <c r="J8" s="181">
        <f t="shared" si="3"/>
        <v>284</v>
      </c>
      <c r="K8" s="161">
        <f t="shared" si="3"/>
        <v>284</v>
      </c>
      <c r="L8" s="162" t="s">
        <v>3</v>
      </c>
      <c r="M8" s="49"/>
      <c r="N8" s="48"/>
      <c r="P8" s="5" t="s">
        <v>98</v>
      </c>
      <c r="Q8" s="7">
        <v>100</v>
      </c>
      <c r="R8" s="5" t="s">
        <v>7</v>
      </c>
      <c r="S8" s="13"/>
      <c r="T8" s="5" t="s">
        <v>25</v>
      </c>
      <c r="U8" s="25">
        <f>(5000*U4)/(U5*U6*U7)</f>
        <v>7.940615151241337</v>
      </c>
      <c r="V8" s="5" t="s">
        <v>218</v>
      </c>
      <c r="W8" s="13"/>
      <c r="X8" s="12" t="s">
        <v>195</v>
      </c>
      <c r="Y8" s="16">
        <f>Y5*(1+Y6*(Y7-20))</f>
        <v>1.9206249999999998</v>
      </c>
      <c r="Z8" s="12" t="s">
        <v>191</v>
      </c>
      <c r="AA8" s="13"/>
      <c r="AB8" s="6" t="s">
        <v>261</v>
      </c>
      <c r="AC8" s="25">
        <f>SQRT(AC7^2+AC4*AC5^2/AC6)</f>
        <v>589.77198984014149</v>
      </c>
      <c r="AD8" s="6" t="s">
        <v>0</v>
      </c>
      <c r="AE8" s="14"/>
    </row>
    <row r="9" spans="2:31" ht="16.5" x14ac:dyDescent="0.15">
      <c r="B9" s="48"/>
      <c r="C9" s="148"/>
      <c r="D9" s="182"/>
      <c r="E9" s="183"/>
      <c r="F9" s="162"/>
      <c r="G9" s="162"/>
      <c r="H9" s="148"/>
      <c r="I9" s="182"/>
      <c r="J9" s="183"/>
      <c r="K9" s="162"/>
      <c r="L9" s="162"/>
      <c r="M9" s="49"/>
      <c r="N9" s="48"/>
      <c r="P9" s="5" t="s">
        <v>95</v>
      </c>
      <c r="Q9" s="8">
        <f>Q7*Q8/100</f>
        <v>0.15756761003544181</v>
      </c>
      <c r="R9" s="5" t="s">
        <v>15</v>
      </c>
      <c r="S9" s="13"/>
      <c r="T9" s="13"/>
      <c r="U9" s="13"/>
      <c r="V9" s="13"/>
      <c r="W9" s="13"/>
      <c r="X9" s="12" t="s">
        <v>196</v>
      </c>
      <c r="Y9" s="18">
        <f>1/(Y8/100000000)</f>
        <v>52066384.64041654</v>
      </c>
      <c r="Z9" s="12" t="s">
        <v>197</v>
      </c>
      <c r="AA9" s="13"/>
      <c r="AB9" s="13"/>
      <c r="AC9" s="13"/>
      <c r="AD9" s="13"/>
      <c r="AE9" s="14"/>
    </row>
    <row r="10" spans="2:31" ht="16.5" x14ac:dyDescent="0.15">
      <c r="B10" s="48" t="s">
        <v>16</v>
      </c>
      <c r="C10" s="146">
        <f t="shared" ref="C10:F10" si="4">ROUND(C4*2^0.5*0.93,1)</f>
        <v>578.70000000000005</v>
      </c>
      <c r="D10" s="178">
        <f t="shared" si="4"/>
        <v>578.70000000000005</v>
      </c>
      <c r="E10" s="179">
        <f t="shared" si="4"/>
        <v>578.70000000000005</v>
      </c>
      <c r="F10" s="160">
        <f t="shared" si="4"/>
        <v>578.70000000000005</v>
      </c>
      <c r="G10" s="160"/>
      <c r="H10" s="146">
        <f t="shared" ref="H10:K10" si="5">ROUND(H4*2^0.5*0.93,1)</f>
        <v>578.70000000000005</v>
      </c>
      <c r="I10" s="178">
        <f t="shared" si="5"/>
        <v>578.70000000000005</v>
      </c>
      <c r="J10" s="179">
        <f t="shared" si="5"/>
        <v>578.70000000000005</v>
      </c>
      <c r="K10" s="160">
        <f t="shared" si="5"/>
        <v>578.70000000000005</v>
      </c>
      <c r="L10" s="162" t="s">
        <v>0</v>
      </c>
      <c r="M10" s="49"/>
      <c r="N10" s="48" t="s">
        <v>269</v>
      </c>
      <c r="P10" s="6" t="s">
        <v>94</v>
      </c>
      <c r="Q10" s="7">
        <v>1.65</v>
      </c>
      <c r="R10" s="5" t="s">
        <v>15</v>
      </c>
      <c r="S10" s="13"/>
      <c r="T10" s="208" t="s">
        <v>501</v>
      </c>
      <c r="U10" s="208"/>
      <c r="V10" s="208"/>
      <c r="W10" s="13"/>
      <c r="X10" s="12" t="s">
        <v>198</v>
      </c>
      <c r="Y10" s="3">
        <v>1</v>
      </c>
      <c r="Z10" s="12" t="s">
        <v>199</v>
      </c>
      <c r="AA10" s="13"/>
      <c r="AB10" s="207" t="s">
        <v>249</v>
      </c>
      <c r="AC10" s="207"/>
      <c r="AD10" s="207"/>
      <c r="AE10" s="14"/>
    </row>
    <row r="11" spans="2:31" ht="16.5" x14ac:dyDescent="0.15">
      <c r="B11" s="48" t="s">
        <v>17</v>
      </c>
      <c r="C11" s="146">
        <f t="shared" ref="C11:F11" si="6">ROUND(C3*1000/C10,1)</f>
        <v>604.79999999999995</v>
      </c>
      <c r="D11" s="178">
        <f t="shared" si="6"/>
        <v>604.79999999999995</v>
      </c>
      <c r="E11" s="179">
        <f t="shared" si="6"/>
        <v>604.79999999999995</v>
      </c>
      <c r="F11" s="160">
        <f t="shared" si="6"/>
        <v>604.79999999999995</v>
      </c>
      <c r="G11" s="160"/>
      <c r="H11" s="146">
        <f t="shared" ref="H11:K11" si="7">ROUND(H3*1000/H10,1)</f>
        <v>604.79999999999995</v>
      </c>
      <c r="I11" s="178">
        <f t="shared" si="7"/>
        <v>604.79999999999995</v>
      </c>
      <c r="J11" s="179">
        <f t="shared" si="7"/>
        <v>604.79999999999995</v>
      </c>
      <c r="K11" s="160">
        <f t="shared" si="7"/>
        <v>604.79999999999995</v>
      </c>
      <c r="L11" s="162" t="s">
        <v>2</v>
      </c>
      <c r="M11" s="49"/>
      <c r="N11" s="48" t="s">
        <v>271</v>
      </c>
      <c r="P11" s="6" t="s">
        <v>259</v>
      </c>
      <c r="Q11" s="7">
        <v>13</v>
      </c>
      <c r="R11" s="5" t="s">
        <v>42</v>
      </c>
      <c r="S11" s="13"/>
      <c r="T11" s="5" t="s">
        <v>26</v>
      </c>
      <c r="U11" s="7">
        <f>Q25</f>
        <v>12.333333333333334</v>
      </c>
      <c r="V11" s="5" t="s">
        <v>27</v>
      </c>
      <c r="W11" s="13"/>
      <c r="X11" s="12" t="s">
        <v>37</v>
      </c>
      <c r="Y11" s="19">
        <v>1000</v>
      </c>
      <c r="Z11" s="12" t="s">
        <v>200</v>
      </c>
      <c r="AA11" s="13"/>
      <c r="AB11" s="5" t="s">
        <v>108</v>
      </c>
      <c r="AC11" s="7">
        <v>2800</v>
      </c>
      <c r="AD11" s="5" t="s">
        <v>27</v>
      </c>
      <c r="AE11" s="143" t="s">
        <v>630</v>
      </c>
    </row>
    <row r="12" spans="2:31" ht="16.5" x14ac:dyDescent="0.15">
      <c r="B12" s="48"/>
      <c r="C12" s="148"/>
      <c r="D12" s="182"/>
      <c r="E12" s="183"/>
      <c r="F12" s="162"/>
      <c r="G12" s="162"/>
      <c r="H12" s="148"/>
      <c r="I12" s="182"/>
      <c r="J12" s="183"/>
      <c r="K12" s="162"/>
      <c r="L12" s="162"/>
      <c r="M12" s="49"/>
      <c r="N12" s="48"/>
      <c r="P12" s="6" t="s">
        <v>96</v>
      </c>
      <c r="Q12" s="7">
        <v>1</v>
      </c>
      <c r="R12" s="5" t="s">
        <v>66</v>
      </c>
      <c r="S12" s="13"/>
      <c r="T12" s="5" t="s">
        <v>28</v>
      </c>
      <c r="U12" s="112">
        <f>Q14</f>
        <v>28.278926095989664</v>
      </c>
      <c r="V12" s="5" t="s">
        <v>15</v>
      </c>
      <c r="W12" s="13"/>
      <c r="X12" s="12" t="s">
        <v>230</v>
      </c>
      <c r="Y12" s="31">
        <f>503.3*SQRT((Y8/100000000)/(Y10*Y11))*1000</f>
        <v>2.205709020034714</v>
      </c>
      <c r="Z12" s="12" t="s">
        <v>201</v>
      </c>
      <c r="AA12" s="13"/>
      <c r="AB12" s="5" t="s">
        <v>110</v>
      </c>
      <c r="AC12" s="7">
        <v>580</v>
      </c>
      <c r="AD12" s="5" t="s">
        <v>0</v>
      </c>
      <c r="AE12" s="14"/>
    </row>
    <row r="13" spans="2:31" ht="16.5" x14ac:dyDescent="0.15">
      <c r="B13" s="46" t="s">
        <v>215</v>
      </c>
      <c r="C13" s="148"/>
      <c r="D13" s="182"/>
      <c r="E13" s="183"/>
      <c r="F13" s="162"/>
      <c r="G13" s="162"/>
      <c r="H13" s="148"/>
      <c r="I13" s="182"/>
      <c r="J13" s="183"/>
      <c r="K13" s="162"/>
      <c r="L13" s="162"/>
      <c r="M13" s="49"/>
      <c r="N13" s="48"/>
      <c r="P13" s="6" t="s">
        <v>99</v>
      </c>
      <c r="Q13" s="20">
        <v>1</v>
      </c>
      <c r="R13" s="5" t="s">
        <v>67</v>
      </c>
      <c r="S13" s="13"/>
      <c r="T13" s="5" t="s">
        <v>29</v>
      </c>
      <c r="U13" s="25">
        <f>1/(2*3.14*SQRT((U11/1000000)*(U12/1000000)))</f>
        <v>8526.4581569597976</v>
      </c>
      <c r="V13" s="5" t="s">
        <v>30</v>
      </c>
      <c r="W13" s="13"/>
      <c r="X13" s="12" t="s">
        <v>231</v>
      </c>
      <c r="Y13" s="26">
        <v>6126</v>
      </c>
      <c r="Z13" s="12" t="s">
        <v>201</v>
      </c>
      <c r="AA13" s="13"/>
      <c r="AB13" s="5" t="s">
        <v>107</v>
      </c>
      <c r="AC13" s="7">
        <v>1400</v>
      </c>
      <c r="AD13" s="5" t="s">
        <v>2</v>
      </c>
      <c r="AE13" s="14"/>
    </row>
    <row r="14" spans="2:31" ht="16.5" x14ac:dyDescent="0.15">
      <c r="B14" s="48" t="s">
        <v>75</v>
      </c>
      <c r="C14" s="144">
        <v>28.35</v>
      </c>
      <c r="D14" s="174">
        <v>28.35</v>
      </c>
      <c r="E14" s="175">
        <v>28.35</v>
      </c>
      <c r="F14" s="158">
        <v>28.35</v>
      </c>
      <c r="G14" s="158"/>
      <c r="H14" s="144">
        <v>18.89</v>
      </c>
      <c r="I14" s="174">
        <v>18.89</v>
      </c>
      <c r="J14" s="175">
        <v>18.89</v>
      </c>
      <c r="K14" s="158">
        <v>18.89</v>
      </c>
      <c r="L14" s="162" t="s">
        <v>15</v>
      </c>
      <c r="M14" s="49">
        <v>3</v>
      </c>
      <c r="N14" s="50" t="s">
        <v>267</v>
      </c>
      <c r="P14" s="6" t="s">
        <v>260</v>
      </c>
      <c r="Q14" s="30">
        <f>Q9/Q12*Q13*Q11^2+Q10</f>
        <v>28.278926095989664</v>
      </c>
      <c r="R14" s="5" t="s">
        <v>15</v>
      </c>
      <c r="S14" s="13"/>
      <c r="T14" s="13"/>
      <c r="U14" s="13"/>
      <c r="V14" s="13"/>
      <c r="W14" s="13"/>
      <c r="X14" s="12" t="s">
        <v>257</v>
      </c>
      <c r="Y14" s="26">
        <v>2</v>
      </c>
      <c r="Z14" s="12" t="s">
        <v>201</v>
      </c>
      <c r="AA14" s="13"/>
      <c r="AB14" s="5" t="s">
        <v>112</v>
      </c>
      <c r="AC14" s="7">
        <v>8000</v>
      </c>
      <c r="AD14" s="5" t="s">
        <v>24</v>
      </c>
      <c r="AE14" s="14"/>
    </row>
    <row r="15" spans="2:31" ht="16.5" x14ac:dyDescent="0.15">
      <c r="B15" s="48" t="s">
        <v>666</v>
      </c>
      <c r="C15" s="254">
        <v>13</v>
      </c>
      <c r="D15" s="255">
        <v>13</v>
      </c>
      <c r="E15" s="256">
        <v>13</v>
      </c>
      <c r="F15" s="257">
        <v>13</v>
      </c>
      <c r="G15" s="257"/>
      <c r="H15" s="254">
        <v>13</v>
      </c>
      <c r="I15" s="255">
        <v>13</v>
      </c>
      <c r="J15" s="256">
        <v>13</v>
      </c>
      <c r="K15" s="257">
        <v>13</v>
      </c>
      <c r="L15" s="162"/>
      <c r="M15" s="49"/>
      <c r="N15" s="50"/>
      <c r="P15" s="251"/>
      <c r="Q15" s="252"/>
      <c r="R15" s="253"/>
      <c r="S15" s="13"/>
      <c r="T15" s="13"/>
      <c r="U15" s="13"/>
      <c r="V15" s="13"/>
      <c r="W15" s="13"/>
      <c r="X15" s="12"/>
      <c r="Y15" s="26"/>
      <c r="Z15" s="12"/>
      <c r="AA15" s="13"/>
      <c r="AB15" s="5"/>
      <c r="AC15" s="7"/>
      <c r="AD15" s="5"/>
      <c r="AE15" s="14"/>
    </row>
    <row r="16" spans="2:31" ht="16.5" x14ac:dyDescent="0.15">
      <c r="B16" s="48" t="s">
        <v>76</v>
      </c>
      <c r="C16" s="144">
        <v>12.33</v>
      </c>
      <c r="D16" s="174">
        <v>12.33</v>
      </c>
      <c r="E16" s="175">
        <v>12.33</v>
      </c>
      <c r="F16" s="158">
        <v>12.33</v>
      </c>
      <c r="G16" s="158"/>
      <c r="H16" s="144">
        <v>12.33</v>
      </c>
      <c r="I16" s="174">
        <v>12.33</v>
      </c>
      <c r="J16" s="175">
        <v>12.33</v>
      </c>
      <c r="K16" s="158">
        <v>12.33</v>
      </c>
      <c r="L16" s="162" t="s">
        <v>27</v>
      </c>
      <c r="M16" s="49">
        <v>4</v>
      </c>
      <c r="N16" s="50" t="s">
        <v>272</v>
      </c>
      <c r="O16" s="2"/>
      <c r="P16" s="13"/>
      <c r="Q16" s="13"/>
      <c r="R16" s="13"/>
      <c r="S16" s="13"/>
      <c r="T16" s="208" t="s">
        <v>224</v>
      </c>
      <c r="U16" s="208"/>
      <c r="V16" s="208"/>
      <c r="W16" s="13"/>
      <c r="X16" s="12" t="s">
        <v>255</v>
      </c>
      <c r="Y16" s="27">
        <f>MIN(Y12,Y14)</f>
        <v>2</v>
      </c>
      <c r="Z16" s="12" t="s">
        <v>201</v>
      </c>
      <c r="AA16" s="13"/>
      <c r="AB16" s="5" t="s">
        <v>113</v>
      </c>
      <c r="AC16" s="8">
        <f>(1.414*AC13*0.421)/(2*3.14159*AC14*AC12*2*AC11*0.000001)*2*100</f>
        <v>1.020948951722338</v>
      </c>
      <c r="AD16" s="5" t="s">
        <v>7</v>
      </c>
      <c r="AE16" s="14"/>
    </row>
    <row r="17" spans="2:31" ht="16.5" x14ac:dyDescent="0.15">
      <c r="B17" s="48" t="s">
        <v>77</v>
      </c>
      <c r="C17" s="149">
        <f>1000/(2*PI()*(C14*C16)^0.5)</f>
        <v>8.5125967657310717</v>
      </c>
      <c r="D17" s="184">
        <f>1000/(2*PI()*(D14*D16)^0.5)</f>
        <v>8.5125967657310717</v>
      </c>
      <c r="E17" s="185">
        <f>1000/(2*PI()*(E14*E16)^0.5)</f>
        <v>8.5125967657310717</v>
      </c>
      <c r="F17" s="163">
        <f>1000/(2*PI()*(F14*F16)^0.5)</f>
        <v>8.5125967657310717</v>
      </c>
      <c r="G17" s="163"/>
      <c r="H17" s="149">
        <f>1000/(2*PI()*(H14*H16)^0.5)</f>
        <v>10.428518463398232</v>
      </c>
      <c r="I17" s="184">
        <f>1000/(2*PI()*(I14*I16)^0.5)</f>
        <v>10.428518463398232</v>
      </c>
      <c r="J17" s="185">
        <f>1000/(2*PI()*(J14*J16)^0.5)</f>
        <v>10.428518463398232</v>
      </c>
      <c r="K17" s="163">
        <f>1000/(2*PI()*(K14*K16)^0.5)</f>
        <v>10.428518463398232</v>
      </c>
      <c r="L17" s="162" t="s">
        <v>4</v>
      </c>
      <c r="M17" s="49"/>
      <c r="N17" s="48" t="s">
        <v>223</v>
      </c>
      <c r="P17" s="207" t="s">
        <v>202</v>
      </c>
      <c r="Q17" s="207"/>
      <c r="R17" s="207"/>
      <c r="S17" s="13"/>
      <c r="T17" s="5" t="s">
        <v>31</v>
      </c>
      <c r="U17" s="7">
        <v>40</v>
      </c>
      <c r="V17" s="5" t="s">
        <v>32</v>
      </c>
      <c r="W17" s="13"/>
      <c r="X17" s="12" t="s">
        <v>253</v>
      </c>
      <c r="Y17" s="26">
        <v>60</v>
      </c>
      <c r="Z17" s="12" t="s">
        <v>201</v>
      </c>
      <c r="AA17" s="13"/>
      <c r="AB17" s="5" t="s">
        <v>109</v>
      </c>
      <c r="AC17" s="25">
        <f>AC12*AC16/100</f>
        <v>5.9215039199895605</v>
      </c>
      <c r="AD17" s="5" t="s">
        <v>0</v>
      </c>
      <c r="AE17" s="14"/>
    </row>
    <row r="18" spans="2:31" ht="16.5" x14ac:dyDescent="0.15">
      <c r="B18" s="48" t="s">
        <v>78</v>
      </c>
      <c r="C18" s="144">
        <v>30</v>
      </c>
      <c r="D18" s="174">
        <v>30</v>
      </c>
      <c r="E18" s="175">
        <v>30</v>
      </c>
      <c r="F18" s="158">
        <v>30</v>
      </c>
      <c r="G18" s="158"/>
      <c r="H18" s="144">
        <v>30</v>
      </c>
      <c r="I18" s="174">
        <v>30</v>
      </c>
      <c r="J18" s="175">
        <v>30</v>
      </c>
      <c r="K18" s="158">
        <v>30</v>
      </c>
      <c r="L18" s="162" t="s">
        <v>79</v>
      </c>
      <c r="M18" s="49">
        <v>6</v>
      </c>
      <c r="N18" s="50" t="s">
        <v>250</v>
      </c>
      <c r="P18" s="21" t="s">
        <v>207</v>
      </c>
      <c r="Q18" s="22">
        <v>37</v>
      </c>
      <c r="R18" s="21" t="s">
        <v>27</v>
      </c>
      <c r="S18" s="13" t="s">
        <v>629</v>
      </c>
      <c r="T18" s="5" t="s">
        <v>33</v>
      </c>
      <c r="U18" s="7">
        <v>17.34</v>
      </c>
      <c r="V18" s="5" t="s">
        <v>4</v>
      </c>
      <c r="W18" s="13"/>
      <c r="X18" s="12" t="s">
        <v>252</v>
      </c>
      <c r="Y18" s="27">
        <f>Y16*Y17</f>
        <v>120</v>
      </c>
      <c r="Z18" s="12" t="s">
        <v>227</v>
      </c>
      <c r="AA18" s="13"/>
      <c r="AB18" s="5" t="s">
        <v>111</v>
      </c>
      <c r="AC18" s="25">
        <f>2*3.14159*AC14*AC11*0.000001*AC17</f>
        <v>833.41160000000013</v>
      </c>
      <c r="AD18" s="5" t="s">
        <v>2</v>
      </c>
      <c r="AE18" s="14"/>
    </row>
    <row r="19" spans="2:31" ht="16.5" x14ac:dyDescent="0.15">
      <c r="B19" s="48" t="s">
        <v>80</v>
      </c>
      <c r="C19" s="147">
        <f t="shared" ref="C19:F19" si="8">ROUNDUP(TAN(PI()*C18/180),3)</f>
        <v>0.57799999999999996</v>
      </c>
      <c r="D19" s="180">
        <f t="shared" si="8"/>
        <v>0.57799999999999996</v>
      </c>
      <c r="E19" s="181">
        <f t="shared" si="8"/>
        <v>0.57799999999999996</v>
      </c>
      <c r="F19" s="161">
        <f t="shared" si="8"/>
        <v>0.57799999999999996</v>
      </c>
      <c r="G19" s="161"/>
      <c r="H19" s="147">
        <f t="shared" ref="H19:K19" si="9">ROUNDUP(TAN(PI()*H18/180),3)</f>
        <v>0.57799999999999996</v>
      </c>
      <c r="I19" s="180">
        <f t="shared" si="9"/>
        <v>0.57799999999999996</v>
      </c>
      <c r="J19" s="181">
        <f t="shared" si="9"/>
        <v>0.57799999999999996</v>
      </c>
      <c r="K19" s="161">
        <f t="shared" si="9"/>
        <v>0.57799999999999996</v>
      </c>
      <c r="L19" s="162"/>
      <c r="M19" s="49"/>
      <c r="N19" s="48"/>
      <c r="P19" s="21" t="s">
        <v>203</v>
      </c>
      <c r="Q19" s="22">
        <v>1</v>
      </c>
      <c r="R19" s="21" t="s">
        <v>210</v>
      </c>
      <c r="S19" s="13"/>
      <c r="T19" s="5" t="s">
        <v>34</v>
      </c>
      <c r="U19" s="7">
        <v>1396</v>
      </c>
      <c r="V19" s="5" t="s">
        <v>2</v>
      </c>
      <c r="W19" s="13"/>
      <c r="X19" s="12" t="s">
        <v>232</v>
      </c>
      <c r="Y19" s="26">
        <v>850</v>
      </c>
      <c r="Z19" s="4" t="s">
        <v>228</v>
      </c>
      <c r="AA19" s="13"/>
      <c r="AB19" s="13"/>
      <c r="AC19" s="13"/>
      <c r="AD19" s="13"/>
      <c r="AE19" s="14"/>
    </row>
    <row r="20" spans="2:31" ht="16.5" x14ac:dyDescent="0.15">
      <c r="B20" s="48"/>
      <c r="C20" s="148"/>
      <c r="D20" s="182"/>
      <c r="E20" s="183"/>
      <c r="F20" s="162"/>
      <c r="G20" s="162"/>
      <c r="H20" s="148"/>
      <c r="I20" s="182"/>
      <c r="J20" s="183"/>
      <c r="K20" s="162"/>
      <c r="L20" s="162"/>
      <c r="M20" s="49"/>
      <c r="N20" s="48"/>
      <c r="P20" s="21" t="s">
        <v>205</v>
      </c>
      <c r="Q20" s="22">
        <v>500</v>
      </c>
      <c r="R20" s="21" t="s">
        <v>0</v>
      </c>
      <c r="S20" s="13"/>
      <c r="T20" s="5" t="s">
        <v>35</v>
      </c>
      <c r="U20" s="25">
        <f>(U19)/(2*3.14*U18*1000*(U17/1000000))</f>
        <v>320.49162864846198</v>
      </c>
      <c r="V20" s="5" t="s">
        <v>0</v>
      </c>
      <c r="W20" s="13"/>
      <c r="X20" s="12" t="s">
        <v>491</v>
      </c>
      <c r="Y20" s="28">
        <f>Y19/Y18</f>
        <v>7.083333333333333</v>
      </c>
      <c r="Z20" s="4" t="s">
        <v>228</v>
      </c>
      <c r="AA20" s="13"/>
      <c r="AB20" s="207" t="s">
        <v>486</v>
      </c>
      <c r="AC20" s="207"/>
      <c r="AD20" s="207"/>
      <c r="AE20" s="14"/>
    </row>
    <row r="21" spans="2:31" ht="16.5" x14ac:dyDescent="0.15">
      <c r="B21" s="48" t="s">
        <v>41</v>
      </c>
      <c r="C21" s="150">
        <v>3</v>
      </c>
      <c r="D21" s="186">
        <v>5.42</v>
      </c>
      <c r="E21" s="187">
        <v>5.6</v>
      </c>
      <c r="F21" s="164">
        <v>7</v>
      </c>
      <c r="G21" s="164"/>
      <c r="H21" s="150">
        <v>2.5</v>
      </c>
      <c r="I21" s="186">
        <v>3.57</v>
      </c>
      <c r="J21" s="187">
        <v>4.0199999999999996</v>
      </c>
      <c r="K21" s="164">
        <v>6</v>
      </c>
      <c r="L21" s="162"/>
      <c r="M21" s="49">
        <v>5</v>
      </c>
      <c r="N21" s="50" t="s">
        <v>268</v>
      </c>
      <c r="P21" s="21" t="s">
        <v>206</v>
      </c>
      <c r="Q21" s="22">
        <v>1000</v>
      </c>
      <c r="R21" s="21" t="s">
        <v>2</v>
      </c>
      <c r="S21" s="13"/>
      <c r="T21" s="13"/>
      <c r="U21" s="13"/>
      <c r="V21" s="13"/>
      <c r="W21" s="13"/>
      <c r="X21" s="12" t="s">
        <v>233</v>
      </c>
      <c r="Y21" s="28">
        <f>Y8/100000000*(Y19^2)/(Y18/1000000)*Y13/1000</f>
        <v>708.39612265624987</v>
      </c>
      <c r="Z21" s="4" t="s">
        <v>229</v>
      </c>
      <c r="AA21" s="13"/>
      <c r="AB21" s="81" t="s">
        <v>480</v>
      </c>
      <c r="AC21" s="48">
        <v>0.9133</v>
      </c>
      <c r="AD21" s="48" t="s">
        <v>479</v>
      </c>
      <c r="AE21" s="14"/>
    </row>
    <row r="22" spans="2:31" ht="16.5" x14ac:dyDescent="0.15">
      <c r="B22" s="48" t="s">
        <v>81</v>
      </c>
      <c r="C22" s="151">
        <f t="shared" ref="C22:F22" si="10">C17*((C19/C21)+(((C19/C21)^2+4)^0.5))/2</f>
        <v>9.3720512935733478</v>
      </c>
      <c r="D22" s="188">
        <f t="shared" si="10"/>
        <v>8.9785898520584926</v>
      </c>
      <c r="E22" s="189">
        <f t="shared" si="10"/>
        <v>8.9632358130361229</v>
      </c>
      <c r="F22" s="165">
        <f t="shared" si="10"/>
        <v>8.871297218773222</v>
      </c>
      <c r="G22" s="165"/>
      <c r="H22" s="151">
        <f t="shared" ref="H22:K22" si="11">H17*((H19/H21)+(((H19/H21)^2+4)^0.5))/2</f>
        <v>11.70350397376097</v>
      </c>
      <c r="I22" s="188">
        <f t="shared" si="11"/>
        <v>11.30684660550879</v>
      </c>
      <c r="J22" s="189">
        <f t="shared" si="11"/>
        <v>11.205144232661128</v>
      </c>
      <c r="K22" s="165">
        <f t="shared" si="11"/>
        <v>10.942915653962178</v>
      </c>
      <c r="L22" s="162" t="s">
        <v>4</v>
      </c>
      <c r="M22" s="49"/>
      <c r="N22" s="51" t="s">
        <v>248</v>
      </c>
      <c r="P22" s="21" t="s">
        <v>204</v>
      </c>
      <c r="Q22" s="22">
        <v>1</v>
      </c>
      <c r="R22" s="21" t="s">
        <v>210</v>
      </c>
      <c r="S22" s="13"/>
      <c r="T22" s="208" t="s">
        <v>225</v>
      </c>
      <c r="U22" s="208"/>
      <c r="V22" s="208"/>
      <c r="W22" s="13"/>
      <c r="X22" s="13"/>
      <c r="Y22" s="13"/>
      <c r="Z22" s="13"/>
      <c r="AA22" s="13"/>
      <c r="AB22" s="21" t="s">
        <v>481</v>
      </c>
      <c r="AC22" s="57">
        <v>3</v>
      </c>
      <c r="AD22" s="48" t="s">
        <v>305</v>
      </c>
      <c r="AE22" s="14"/>
    </row>
    <row r="23" spans="2:31" ht="16.5" x14ac:dyDescent="0.15">
      <c r="B23" s="48" t="s">
        <v>285</v>
      </c>
      <c r="C23" s="152">
        <f>2*PI()*C17*C14</f>
        <v>1516.3344199063413</v>
      </c>
      <c r="D23" s="190">
        <f>2*PI()*D17*D14</f>
        <v>1516.3344199063413</v>
      </c>
      <c r="E23" s="191">
        <f>2*PI()*E17*E14</f>
        <v>1516.3344199063413</v>
      </c>
      <c r="F23" s="166">
        <f>2*PI()*F17*F14</f>
        <v>1516.3344199063413</v>
      </c>
      <c r="G23" s="166"/>
      <c r="H23" s="152">
        <f>2*PI()*H17*H14</f>
        <v>1237.7542911742851</v>
      </c>
      <c r="I23" s="190">
        <f>2*PI()*I17*I14</f>
        <v>1237.7542911742851</v>
      </c>
      <c r="J23" s="191">
        <f>2*PI()*J17*J14</f>
        <v>1237.7542911742851</v>
      </c>
      <c r="K23" s="166">
        <f>2*PI()*K17*K14</f>
        <v>1237.7542911742851</v>
      </c>
      <c r="L23" s="162" t="s">
        <v>83</v>
      </c>
      <c r="M23" s="49"/>
      <c r="N23" s="48"/>
      <c r="P23" s="21" t="s">
        <v>211</v>
      </c>
      <c r="Q23" s="22">
        <v>6</v>
      </c>
      <c r="R23" s="21" t="s">
        <v>67</v>
      </c>
      <c r="S23" s="13"/>
      <c r="T23" s="6" t="s">
        <v>152</v>
      </c>
      <c r="U23" s="7">
        <v>600</v>
      </c>
      <c r="V23" s="5" t="s">
        <v>153</v>
      </c>
      <c r="W23" s="13"/>
      <c r="X23" s="208" t="s">
        <v>489</v>
      </c>
      <c r="Y23" s="208"/>
      <c r="Z23" s="208"/>
      <c r="AA23" s="13"/>
      <c r="AB23" s="21" t="s">
        <v>482</v>
      </c>
      <c r="AC23" s="80">
        <f>AC21*AC22</f>
        <v>2.7399</v>
      </c>
      <c r="AD23" s="48" t="s">
        <v>479</v>
      </c>
      <c r="AE23" s="14"/>
    </row>
    <row r="24" spans="2:31" ht="16.5" x14ac:dyDescent="0.15">
      <c r="B24" s="48" t="s">
        <v>82</v>
      </c>
      <c r="C24" s="152">
        <f>2*PI()*C22*C14</f>
        <v>1669.4275968506477</v>
      </c>
      <c r="D24" s="190">
        <f>2*PI()*D22*D14</f>
        <v>1599.3409777972543</v>
      </c>
      <c r="E24" s="191">
        <f>2*PI()*E22*E14</f>
        <v>1596.6059888749635</v>
      </c>
      <c r="F24" s="166">
        <f>2*PI()*F22*F14</f>
        <v>1580.2291230565497</v>
      </c>
      <c r="G24" s="166"/>
      <c r="H24" s="152">
        <f>2*PI()*H22*H14</f>
        <v>1389.081518735454</v>
      </c>
      <c r="I24" s="190">
        <f>2*PI()*I22*I14</f>
        <v>1342.0025054122086</v>
      </c>
      <c r="J24" s="191">
        <f>2*PI()*J22*J14</f>
        <v>1329.931514805382</v>
      </c>
      <c r="K24" s="166">
        <f>2*PI()*K22*K14</f>
        <v>1298.8077698849174</v>
      </c>
      <c r="L24" s="162" t="s">
        <v>83</v>
      </c>
      <c r="M24" s="49"/>
      <c r="N24" s="48"/>
      <c r="P24" s="21" t="s">
        <v>212</v>
      </c>
      <c r="Q24" s="22">
        <v>2</v>
      </c>
      <c r="R24" s="21" t="s">
        <v>66</v>
      </c>
      <c r="S24" s="13"/>
      <c r="T24" s="6" t="s">
        <v>263</v>
      </c>
      <c r="U24" s="7">
        <v>22</v>
      </c>
      <c r="V24" s="5" t="s">
        <v>154</v>
      </c>
      <c r="W24" s="13"/>
      <c r="X24" s="5" t="s">
        <v>188</v>
      </c>
      <c r="Y24" s="3" t="s">
        <v>189</v>
      </c>
      <c r="Z24" s="3"/>
      <c r="AA24" s="13"/>
      <c r="AB24" s="21"/>
      <c r="AC24" s="48"/>
      <c r="AD24" s="48"/>
      <c r="AE24" s="14"/>
    </row>
    <row r="25" spans="2:31" ht="16.5" x14ac:dyDescent="0.15">
      <c r="B25" s="48" t="s">
        <v>84</v>
      </c>
      <c r="C25" s="152">
        <f t="shared" ref="C25:F25" si="12">1000000/(2*PI()*C22*C16)</f>
        <v>1377.2804986153592</v>
      </c>
      <c r="D25" s="190">
        <f t="shared" si="12"/>
        <v>1437.6359418736629</v>
      </c>
      <c r="E25" s="191">
        <f t="shared" si="12"/>
        <v>1440.0986148203442</v>
      </c>
      <c r="F25" s="166">
        <f t="shared" si="12"/>
        <v>1455.0232238128542</v>
      </c>
      <c r="G25" s="166"/>
      <c r="H25" s="152">
        <f t="shared" ref="H25:K25" si="13">1000000/(2*PI()*H22*H16)</f>
        <v>1102.9127266159589</v>
      </c>
      <c r="I25" s="190">
        <f t="shared" si="13"/>
        <v>1141.6041916030385</v>
      </c>
      <c r="J25" s="191">
        <f t="shared" si="13"/>
        <v>1151.9658480644023</v>
      </c>
      <c r="K25" s="166">
        <f t="shared" si="13"/>
        <v>1179.5707731684613</v>
      </c>
      <c r="L25" s="162" t="s">
        <v>83</v>
      </c>
      <c r="M25" s="49"/>
      <c r="N25" s="48"/>
      <c r="P25" s="21" t="s">
        <v>239</v>
      </c>
      <c r="Q25" s="29">
        <f>Q18*(Q22/Q19)*Q24/Q23</f>
        <v>12.333333333333334</v>
      </c>
      <c r="R25" s="21" t="s">
        <v>27</v>
      </c>
      <c r="S25" s="13"/>
      <c r="T25" s="6" t="s">
        <v>157</v>
      </c>
      <c r="U25" s="7">
        <v>66</v>
      </c>
      <c r="V25" s="5" t="s">
        <v>158</v>
      </c>
      <c r="W25" s="13"/>
      <c r="X25" s="12" t="s">
        <v>190</v>
      </c>
      <c r="Y25" s="15">
        <v>1.75</v>
      </c>
      <c r="Z25" s="12" t="s">
        <v>191</v>
      </c>
      <c r="AA25" s="13"/>
      <c r="AB25" s="81" t="s">
        <v>483</v>
      </c>
      <c r="AC25" s="48">
        <v>0.48</v>
      </c>
      <c r="AD25" s="48" t="s">
        <v>479</v>
      </c>
      <c r="AE25" s="14"/>
    </row>
    <row r="26" spans="2:31" ht="16.5" x14ac:dyDescent="0.15">
      <c r="B26" s="48" t="s">
        <v>68</v>
      </c>
      <c r="C26" s="153">
        <f t="shared" ref="C26:F26" si="14">C23/C21</f>
        <v>505.44480663544709</v>
      </c>
      <c r="D26" s="192">
        <f t="shared" si="14"/>
        <v>279.76649813770132</v>
      </c>
      <c r="E26" s="193">
        <f t="shared" si="14"/>
        <v>270.77400355470382</v>
      </c>
      <c r="F26" s="167">
        <f t="shared" si="14"/>
        <v>216.61920284376305</v>
      </c>
      <c r="G26" s="167"/>
      <c r="H26" s="153">
        <f t="shared" ref="H26:K26" si="15">H23/H21</f>
        <v>495.10171646971401</v>
      </c>
      <c r="I26" s="192">
        <f t="shared" si="15"/>
        <v>346.70988548299306</v>
      </c>
      <c r="J26" s="193">
        <f t="shared" si="15"/>
        <v>307.89907740653859</v>
      </c>
      <c r="K26" s="167">
        <f t="shared" si="15"/>
        <v>206.29238186238084</v>
      </c>
      <c r="L26" s="162" t="s">
        <v>83</v>
      </c>
      <c r="M26" s="49"/>
      <c r="N26" s="48"/>
      <c r="P26" s="21" t="s">
        <v>208</v>
      </c>
      <c r="Q26" s="23">
        <f>Q20*Q23</f>
        <v>3000</v>
      </c>
      <c r="R26" s="21" t="s">
        <v>0</v>
      </c>
      <c r="S26" s="13"/>
      <c r="T26" s="6" t="s">
        <v>161</v>
      </c>
      <c r="U26" s="7">
        <v>1</v>
      </c>
      <c r="V26" s="5"/>
      <c r="W26" s="13"/>
      <c r="X26" s="12" t="s">
        <v>192</v>
      </c>
      <c r="Y26" s="16">
        <v>3.8999999999999998E-3</v>
      </c>
      <c r="Z26" s="12" t="s">
        <v>193</v>
      </c>
      <c r="AA26" s="13"/>
      <c r="AB26" s="21" t="s">
        <v>484</v>
      </c>
      <c r="AC26" s="57">
        <v>5</v>
      </c>
      <c r="AD26" s="48" t="s">
        <v>305</v>
      </c>
      <c r="AE26" s="14"/>
    </row>
    <row r="27" spans="2:31" ht="16.5" x14ac:dyDescent="0.15">
      <c r="B27" s="48" t="s">
        <v>85</v>
      </c>
      <c r="C27" s="152">
        <f t="shared" ref="C27:F27" si="16">(C26^2+(C24-C25)^2)^0.5</f>
        <v>583.8016611504662</v>
      </c>
      <c r="D27" s="190">
        <f t="shared" si="16"/>
        <v>323.13745082129122</v>
      </c>
      <c r="E27" s="191">
        <f t="shared" si="16"/>
        <v>312.75088990203574</v>
      </c>
      <c r="F27" s="166">
        <f t="shared" si="16"/>
        <v>250.20071192162862</v>
      </c>
      <c r="G27" s="166"/>
      <c r="H27" s="152">
        <f t="shared" ref="H27:K27" si="17">(H26^2+(H24-H25)^2)^0.5</f>
        <v>571.85512783780109</v>
      </c>
      <c r="I27" s="190">
        <f t="shared" si="17"/>
        <v>400.45877299565899</v>
      </c>
      <c r="J27" s="191">
        <f t="shared" si="17"/>
        <v>355.63129840659286</v>
      </c>
      <c r="K27" s="166">
        <f t="shared" si="17"/>
        <v>238.27296993241706</v>
      </c>
      <c r="L27" s="162" t="s">
        <v>83</v>
      </c>
      <c r="M27" s="49"/>
      <c r="N27" s="48"/>
      <c r="P27" s="21" t="s">
        <v>209</v>
      </c>
      <c r="Q27" s="23">
        <f>Q21*(Q22/Q19)*Q24</f>
        <v>2000</v>
      </c>
      <c r="R27" s="21" t="s">
        <v>2</v>
      </c>
      <c r="S27" s="13"/>
      <c r="T27" s="6" t="s">
        <v>164</v>
      </c>
      <c r="U27" s="8">
        <f>U24*U25*U26*2</f>
        <v>2904</v>
      </c>
      <c r="V27" s="5" t="s">
        <v>154</v>
      </c>
      <c r="W27" s="13"/>
      <c r="X27" s="12" t="s">
        <v>194</v>
      </c>
      <c r="Y27" s="17">
        <v>45</v>
      </c>
      <c r="Z27" s="12" t="s">
        <v>48</v>
      </c>
      <c r="AA27" s="13"/>
      <c r="AB27" s="21" t="s">
        <v>485</v>
      </c>
      <c r="AC27" s="80">
        <f>AC25*AC26</f>
        <v>2.4</v>
      </c>
      <c r="AD27" s="48" t="s">
        <v>479</v>
      </c>
      <c r="AE27" s="14"/>
    </row>
    <row r="28" spans="2:31" ht="16.5" x14ac:dyDescent="0.15">
      <c r="B28" s="48"/>
      <c r="C28" s="154"/>
      <c r="D28" s="194"/>
      <c r="E28" s="195"/>
      <c r="F28" s="168"/>
      <c r="G28" s="168"/>
      <c r="H28" s="154"/>
      <c r="I28" s="194"/>
      <c r="J28" s="195"/>
      <c r="K28" s="168"/>
      <c r="L28" s="162"/>
      <c r="M28" s="49"/>
      <c r="N28" s="48"/>
      <c r="P28" s="21" t="s">
        <v>47</v>
      </c>
      <c r="Q28" s="23">
        <f>Q26*Q27/1000</f>
        <v>6000</v>
      </c>
      <c r="R28" s="21" t="s">
        <v>47</v>
      </c>
      <c r="S28" s="13"/>
      <c r="T28" s="6" t="s">
        <v>167</v>
      </c>
      <c r="U28" s="7">
        <v>6</v>
      </c>
      <c r="V28" s="5" t="s">
        <v>168</v>
      </c>
      <c r="W28" s="13"/>
      <c r="X28" s="12" t="s">
        <v>195</v>
      </c>
      <c r="Y28" s="16">
        <f>Y25*(1+Y26*(Y27-20))</f>
        <v>1.9206249999999998</v>
      </c>
      <c r="Z28" s="12" t="s">
        <v>191</v>
      </c>
      <c r="AA28" s="13"/>
      <c r="AB28" s="21"/>
      <c r="AC28" s="48"/>
      <c r="AD28" s="48"/>
      <c r="AE28" s="14"/>
    </row>
    <row r="29" spans="2:31" ht="16.5" x14ac:dyDescent="0.15">
      <c r="B29" s="48" t="s">
        <v>105</v>
      </c>
      <c r="C29" s="155">
        <f>(C3*1000000/C26)^0.5</f>
        <v>832.14144536284368</v>
      </c>
      <c r="D29" s="196">
        <f>(D3*1000000/D26)^0.5</f>
        <v>1118.500464489674</v>
      </c>
      <c r="E29" s="197">
        <f>(E3*1000000/E26)^0.5</f>
        <v>1136.9216561263358</v>
      </c>
      <c r="F29" s="169">
        <f>(F3*1000000/F26)^0.5</f>
        <v>1271.1170540950636</v>
      </c>
      <c r="G29" s="169"/>
      <c r="H29" s="155">
        <f>(H3*1000000/H26)^0.5</f>
        <v>840.7885837143117</v>
      </c>
      <c r="I29" s="196">
        <f>(I3*1000000/I26)^0.5</f>
        <v>1004.7335626404475</v>
      </c>
      <c r="J29" s="197">
        <f>(J3*1000000/J26)^0.5</f>
        <v>1066.1782738111592</v>
      </c>
      <c r="K29" s="169">
        <f>(K3*1000000/K26)^0.5</f>
        <v>1302.5440729627398</v>
      </c>
      <c r="L29" s="162" t="s">
        <v>2</v>
      </c>
      <c r="M29" s="49"/>
      <c r="N29" s="51" t="s">
        <v>247</v>
      </c>
      <c r="P29" s="13"/>
      <c r="Q29" s="13"/>
      <c r="R29" s="13"/>
      <c r="S29" s="13"/>
      <c r="T29" s="6" t="s">
        <v>169</v>
      </c>
      <c r="U29" s="7">
        <v>3300</v>
      </c>
      <c r="V29" s="5" t="s">
        <v>170</v>
      </c>
      <c r="W29" s="13"/>
      <c r="X29" s="12" t="s">
        <v>196</v>
      </c>
      <c r="Y29" s="18">
        <f>1/(Y28/100000000)</f>
        <v>52066384.64041654</v>
      </c>
      <c r="Z29" s="12" t="s">
        <v>197</v>
      </c>
      <c r="AA29" s="13"/>
      <c r="AB29" s="81" t="s">
        <v>483</v>
      </c>
      <c r="AC29" s="48">
        <v>0.4133</v>
      </c>
      <c r="AD29" s="48" t="s">
        <v>479</v>
      </c>
      <c r="AE29" s="14"/>
    </row>
    <row r="30" spans="2:31" ht="16.5" x14ac:dyDescent="0.15">
      <c r="B30" s="48" t="s">
        <v>103</v>
      </c>
      <c r="C30" s="152">
        <f t="shared" ref="C30:F30" si="18">C29*C26/1000</f>
        <v>420.60157194476398</v>
      </c>
      <c r="D30" s="190">
        <f t="shared" si="18"/>
        <v>312.91895811566843</v>
      </c>
      <c r="E30" s="191">
        <f t="shared" si="18"/>
        <v>307.8488285573722</v>
      </c>
      <c r="F30" s="166">
        <f t="shared" si="18"/>
        <v>275.34836297918514</v>
      </c>
      <c r="G30" s="166"/>
      <c r="H30" s="152">
        <f t="shared" ref="H30:K30" si="19">H29*H26/1000</f>
        <v>416.27587098509554</v>
      </c>
      <c r="I30" s="190">
        <f t="shared" si="19"/>
        <v>348.35105844398919</v>
      </c>
      <c r="J30" s="191">
        <f t="shared" si="19"/>
        <v>328.27530685735178</v>
      </c>
      <c r="K30" s="166">
        <f t="shared" si="19"/>
        <v>268.70491929221038</v>
      </c>
      <c r="L30" s="162" t="s">
        <v>0</v>
      </c>
      <c r="M30" s="49"/>
      <c r="N30" s="48"/>
      <c r="P30" s="207" t="s">
        <v>213</v>
      </c>
      <c r="Q30" s="207"/>
      <c r="R30" s="207"/>
      <c r="S30" s="13"/>
      <c r="T30" s="6" t="s">
        <v>171</v>
      </c>
      <c r="U30" s="7">
        <v>1</v>
      </c>
      <c r="V30" s="5" t="s">
        <v>172</v>
      </c>
      <c r="W30" s="13"/>
      <c r="X30" s="12" t="s">
        <v>198</v>
      </c>
      <c r="Y30" s="3">
        <v>1</v>
      </c>
      <c r="Z30" s="12" t="s">
        <v>199</v>
      </c>
      <c r="AA30" s="13"/>
      <c r="AB30" s="21" t="s">
        <v>484</v>
      </c>
      <c r="AC30" s="57">
        <v>5</v>
      </c>
      <c r="AD30" s="48" t="s">
        <v>305</v>
      </c>
      <c r="AE30" s="14"/>
    </row>
    <row r="31" spans="2:31" ht="16.5" x14ac:dyDescent="0.15">
      <c r="B31" s="48" t="s">
        <v>286</v>
      </c>
      <c r="C31" s="155">
        <f t="shared" ref="C31:F31" si="20">C29/(2*3.14159*C22*1000*C16/1000000)</f>
        <v>1146.0931528513152</v>
      </c>
      <c r="D31" s="196">
        <f t="shared" si="20"/>
        <v>1607.9978269704015</v>
      </c>
      <c r="E31" s="197">
        <f t="shared" si="20"/>
        <v>1637.2806850986199</v>
      </c>
      <c r="F31" s="169">
        <f t="shared" si="20"/>
        <v>1849.5063961041189</v>
      </c>
      <c r="G31" s="169"/>
      <c r="H31" s="155">
        <f t="shared" ref="H31:K31" si="21">H29/(2*3.14159*H22*1000*H16/1000000)</f>
        <v>927.31721264326302</v>
      </c>
      <c r="I31" s="196">
        <f t="shared" si="21"/>
        <v>1147.0090153916574</v>
      </c>
      <c r="J31" s="197">
        <f t="shared" si="21"/>
        <v>1228.2019967965584</v>
      </c>
      <c r="K31" s="169">
        <f t="shared" si="21"/>
        <v>1536.4442170095663</v>
      </c>
      <c r="L31" s="162" t="s">
        <v>0</v>
      </c>
      <c r="M31" s="49"/>
      <c r="N31" s="51" t="s">
        <v>71</v>
      </c>
      <c r="P31" s="6" t="s">
        <v>37</v>
      </c>
      <c r="Q31" s="7">
        <v>19970</v>
      </c>
      <c r="R31" s="6" t="s">
        <v>24</v>
      </c>
      <c r="S31" s="13"/>
      <c r="T31" s="6" t="s">
        <v>173</v>
      </c>
      <c r="U31" s="8">
        <f>U29*U30</f>
        <v>3300</v>
      </c>
      <c r="V31" s="5" t="s">
        <v>170</v>
      </c>
      <c r="W31" s="13"/>
      <c r="X31" s="12" t="s">
        <v>37</v>
      </c>
      <c r="Y31" s="19">
        <v>1000</v>
      </c>
      <c r="Z31" s="12" t="s">
        <v>200</v>
      </c>
      <c r="AA31" s="13"/>
      <c r="AB31" s="21" t="s">
        <v>485</v>
      </c>
      <c r="AC31" s="80">
        <f>AC29*AC30</f>
        <v>2.0665</v>
      </c>
      <c r="AD31" s="48" t="s">
        <v>479</v>
      </c>
      <c r="AE31" s="14"/>
    </row>
    <row r="32" spans="2:31" ht="16.5" x14ac:dyDescent="0.15">
      <c r="B32" s="48" t="s">
        <v>104</v>
      </c>
      <c r="C32" s="152">
        <f t="shared" ref="C32:F32" si="22">C29*C27/1000</f>
        <v>485.80555811497806</v>
      </c>
      <c r="D32" s="190">
        <f t="shared" si="22"/>
        <v>361.42938883762343</v>
      </c>
      <c r="E32" s="191">
        <f t="shared" si="22"/>
        <v>355.57325970240782</v>
      </c>
      <c r="F32" s="166">
        <f t="shared" si="22"/>
        <v>318.03439187030824</v>
      </c>
      <c r="G32" s="166"/>
      <c r="H32" s="152">
        <f t="shared" ref="H32:K32" si="23">H29*H27/1000</f>
        <v>480.80926302451144</v>
      </c>
      <c r="I32" s="190">
        <f t="shared" si="23"/>
        <v>402.35436968255073</v>
      </c>
      <c r="J32" s="191">
        <f t="shared" si="23"/>
        <v>379.16636384836244</v>
      </c>
      <c r="K32" s="166">
        <f t="shared" si="23"/>
        <v>310.36104473269893</v>
      </c>
      <c r="L32" s="162" t="s">
        <v>0</v>
      </c>
      <c r="M32" s="49"/>
      <c r="N32" s="48"/>
      <c r="P32" s="6" t="s">
        <v>52</v>
      </c>
      <c r="Q32" s="7">
        <v>50</v>
      </c>
      <c r="R32" s="6" t="s">
        <v>27</v>
      </c>
      <c r="S32" s="13"/>
      <c r="T32" s="5"/>
      <c r="U32" s="5"/>
      <c r="V32" s="5"/>
      <c r="W32" s="13"/>
      <c r="X32" s="12" t="s">
        <v>230</v>
      </c>
      <c r="Y32" s="31">
        <f>503.3*SQRT((Y28/100000000)/(Y30*Y31))*1000</f>
        <v>2.205709020034714</v>
      </c>
      <c r="Z32" s="12" t="s">
        <v>201</v>
      </c>
      <c r="AA32" s="13"/>
      <c r="AB32" s="13"/>
      <c r="AC32" s="13"/>
      <c r="AD32" s="13"/>
      <c r="AE32" s="14"/>
    </row>
    <row r="33" spans="2:31" ht="16.5" x14ac:dyDescent="0.15">
      <c r="B33" s="48" t="s">
        <v>102</v>
      </c>
      <c r="C33" s="156">
        <f t="shared" ref="C33:F33" si="24">ROUNDUP(COS(PI()*C18/180),3)</f>
        <v>0.86699999999999999</v>
      </c>
      <c r="D33" s="198">
        <f t="shared" si="24"/>
        <v>0.86699999999999999</v>
      </c>
      <c r="E33" s="199">
        <f t="shared" si="24"/>
        <v>0.86699999999999999</v>
      </c>
      <c r="F33" s="170">
        <f t="shared" si="24"/>
        <v>0.86699999999999999</v>
      </c>
      <c r="G33" s="170"/>
      <c r="H33" s="156">
        <f t="shared" ref="H33:K33" si="25">ROUNDUP(COS(PI()*H18/180),3)</f>
        <v>0.86699999999999999</v>
      </c>
      <c r="I33" s="198">
        <f t="shared" si="25"/>
        <v>0.86699999999999999</v>
      </c>
      <c r="J33" s="199">
        <f t="shared" si="25"/>
        <v>0.86699999999999999</v>
      </c>
      <c r="K33" s="170">
        <f t="shared" si="25"/>
        <v>0.86699999999999999</v>
      </c>
      <c r="L33" s="162"/>
      <c r="M33" s="49"/>
      <c r="N33" s="48"/>
      <c r="P33" s="6" t="s">
        <v>53</v>
      </c>
      <c r="Q33" s="7">
        <v>1864</v>
      </c>
      <c r="R33" s="6" t="s">
        <v>2</v>
      </c>
      <c r="S33" s="13"/>
      <c r="T33" s="9" t="s">
        <v>174</v>
      </c>
      <c r="U33" s="210" t="s">
        <v>175</v>
      </c>
      <c r="V33" s="210"/>
      <c r="W33" s="13"/>
      <c r="X33" s="12" t="s">
        <v>231</v>
      </c>
      <c r="Y33" s="26">
        <v>6126</v>
      </c>
      <c r="Z33" s="12" t="s">
        <v>201</v>
      </c>
      <c r="AA33" s="13"/>
      <c r="AB33" s="208" t="s">
        <v>493</v>
      </c>
      <c r="AC33" s="208"/>
      <c r="AD33" s="208"/>
      <c r="AE33" s="14"/>
    </row>
    <row r="34" spans="2:31" ht="16.5" x14ac:dyDescent="0.15">
      <c r="B34" s="48" t="s">
        <v>101</v>
      </c>
      <c r="C34" s="157">
        <f t="shared" ref="C34:F34" si="26">C31/(C26*C29/1000)</f>
        <v>2.7248903220975773</v>
      </c>
      <c r="D34" s="200">
        <f t="shared" si="26"/>
        <v>5.1387037610422306</v>
      </c>
      <c r="E34" s="201">
        <f t="shared" si="26"/>
        <v>5.3184567658456698</v>
      </c>
      <c r="F34" s="171">
        <f t="shared" si="26"/>
        <v>6.7169689192738424</v>
      </c>
      <c r="G34" s="171"/>
      <c r="H34" s="157">
        <f t="shared" ref="H34:K34" si="27">H31/(H26*H29/1000)</f>
        <v>2.2276506453492351</v>
      </c>
      <c r="I34" s="200">
        <f t="shared" si="27"/>
        <v>3.2926812983290623</v>
      </c>
      <c r="J34" s="201">
        <f t="shared" si="27"/>
        <v>3.7413779566742109</v>
      </c>
      <c r="K34" s="171">
        <f t="shared" si="27"/>
        <v>5.7179608808676807</v>
      </c>
      <c r="L34" s="162"/>
      <c r="M34" s="49"/>
      <c r="N34" s="51" t="s">
        <v>244</v>
      </c>
      <c r="P34" s="6" t="s">
        <v>54</v>
      </c>
      <c r="Q34" s="7">
        <v>754</v>
      </c>
      <c r="R34" s="6" t="s">
        <v>1</v>
      </c>
      <c r="S34" s="13"/>
      <c r="T34" s="6" t="s">
        <v>176</v>
      </c>
      <c r="U34" s="7">
        <v>30</v>
      </c>
      <c r="V34" s="5" t="s">
        <v>177</v>
      </c>
      <c r="W34" s="13"/>
      <c r="X34" s="12" t="s">
        <v>256</v>
      </c>
      <c r="Y34" s="26">
        <v>2</v>
      </c>
      <c r="Z34" s="12" t="s">
        <v>201</v>
      </c>
      <c r="AA34" s="13"/>
      <c r="AB34" s="5" t="s">
        <v>494</v>
      </c>
      <c r="AC34" s="7">
        <v>440</v>
      </c>
      <c r="AD34" s="5" t="s">
        <v>0</v>
      </c>
      <c r="AE34" s="14"/>
    </row>
    <row r="35" spans="2:31" ht="16.5" x14ac:dyDescent="0.15">
      <c r="B35" s="48" t="s">
        <v>287</v>
      </c>
      <c r="C35" s="155">
        <f t="shared" ref="C35:F35" si="28">C31+C29*C19*C26/1000</f>
        <v>1389.2008614353888</v>
      </c>
      <c r="D35" s="196">
        <f t="shared" si="28"/>
        <v>1788.8649847612578</v>
      </c>
      <c r="E35" s="197">
        <f t="shared" si="28"/>
        <v>1815.217308004781</v>
      </c>
      <c r="F35" s="169">
        <f t="shared" si="28"/>
        <v>2008.6577499060879</v>
      </c>
      <c r="G35" s="169"/>
      <c r="H35" s="155">
        <f t="shared" ref="H35:K35" si="29">H31+H29*H19*H26/1000</f>
        <v>1167.9246660726483</v>
      </c>
      <c r="I35" s="196">
        <f t="shared" si="29"/>
        <v>1348.3559271722831</v>
      </c>
      <c r="J35" s="197">
        <f t="shared" si="29"/>
        <v>1417.9451241601078</v>
      </c>
      <c r="K35" s="169">
        <f t="shared" si="29"/>
        <v>1691.7556603604639</v>
      </c>
      <c r="L35" s="162" t="s">
        <v>0</v>
      </c>
      <c r="M35" s="49"/>
      <c r="N35" s="51" t="s">
        <v>243</v>
      </c>
      <c r="P35" s="6" t="s">
        <v>264</v>
      </c>
      <c r="Q35" s="7">
        <v>5</v>
      </c>
      <c r="R35" s="6" t="s">
        <v>42</v>
      </c>
      <c r="S35" s="13"/>
      <c r="T35" s="6" t="s">
        <v>178</v>
      </c>
      <c r="U35" s="10">
        <f>U29*SQRT(2)*SIN(U34*PI()/180)</f>
        <v>2333.4523779156066</v>
      </c>
      <c r="V35" s="5" t="s">
        <v>179</v>
      </c>
      <c r="W35" s="13"/>
      <c r="X35" s="12" t="s">
        <v>255</v>
      </c>
      <c r="Y35" s="27">
        <f>MIN(Y32,Y34)</f>
        <v>2</v>
      </c>
      <c r="Z35" s="12" t="s">
        <v>201</v>
      </c>
      <c r="AA35" s="13"/>
      <c r="AB35" s="5" t="s">
        <v>64</v>
      </c>
      <c r="AC35" s="7">
        <v>567</v>
      </c>
      <c r="AD35" s="5" t="s">
        <v>2</v>
      </c>
      <c r="AE35" s="14"/>
    </row>
    <row r="36" spans="2:31" ht="16.5" x14ac:dyDescent="0.15">
      <c r="B36" s="48"/>
      <c r="C36" s="148"/>
      <c r="D36" s="258">
        <f>(D14-1.65)*D35/D14</f>
        <v>1684.7511496693328</v>
      </c>
      <c r="E36" s="259">
        <f>(E14-1.65)*E35/E14</f>
        <v>1709.5697398140267</v>
      </c>
      <c r="F36" s="162"/>
      <c r="G36" s="162"/>
      <c r="H36" s="148"/>
      <c r="I36" s="258">
        <f>(I14-1.65)*I35/I14</f>
        <v>1230.5799991768217</v>
      </c>
      <c r="J36" s="259">
        <f>(J14-1.65)*J35/J14</f>
        <v>1294.0907326903261</v>
      </c>
      <c r="K36" s="162"/>
      <c r="L36" s="162"/>
      <c r="M36" s="49"/>
      <c r="N36" s="48"/>
      <c r="P36" s="6" t="s">
        <v>55</v>
      </c>
      <c r="Q36" s="8">
        <f>(Q33*Q35)/(2*3.1415*Q31*(Q32/1000000))</f>
        <v>1485.5962122397345</v>
      </c>
      <c r="R36" s="6" t="s">
        <v>56</v>
      </c>
      <c r="S36" s="13"/>
      <c r="T36" s="6" t="s">
        <v>180</v>
      </c>
      <c r="U36" s="24">
        <f>U23*U27/U35</f>
        <v>746.7047609329943</v>
      </c>
      <c r="V36" s="5" t="s">
        <v>181</v>
      </c>
      <c r="W36" s="13"/>
      <c r="X36" s="12" t="s">
        <v>234</v>
      </c>
      <c r="Y36" s="26">
        <v>30</v>
      </c>
      <c r="Z36" s="12" t="s">
        <v>201</v>
      </c>
      <c r="AA36" s="13"/>
      <c r="AB36" s="5" t="s">
        <v>497</v>
      </c>
      <c r="AC36" s="25">
        <f>AC34</f>
        <v>440</v>
      </c>
      <c r="AD36" s="5" t="s">
        <v>495</v>
      </c>
      <c r="AE36" s="14"/>
    </row>
    <row r="37" spans="2:31" ht="16.5" x14ac:dyDescent="0.15">
      <c r="B37" s="48" t="s">
        <v>86</v>
      </c>
      <c r="C37" s="147">
        <v>1</v>
      </c>
      <c r="D37" s="180">
        <v>1</v>
      </c>
      <c r="E37" s="181">
        <v>1</v>
      </c>
      <c r="F37" s="161">
        <v>1</v>
      </c>
      <c r="G37" s="161"/>
      <c r="H37" s="147">
        <v>1</v>
      </c>
      <c r="I37" s="180">
        <v>1</v>
      </c>
      <c r="J37" s="181">
        <v>1</v>
      </c>
      <c r="K37" s="161">
        <v>1</v>
      </c>
      <c r="L37" s="162"/>
      <c r="M37" s="49"/>
      <c r="N37" s="48" t="s">
        <v>87</v>
      </c>
      <c r="P37" s="6" t="s">
        <v>57</v>
      </c>
      <c r="Q37" s="8">
        <f>Q33*Q35</f>
        <v>9320</v>
      </c>
      <c r="R37" s="6"/>
      <c r="S37" s="13"/>
      <c r="T37" s="5"/>
      <c r="U37" s="5"/>
      <c r="V37" s="5"/>
      <c r="W37" s="13"/>
      <c r="X37" s="12" t="s">
        <v>254</v>
      </c>
      <c r="Y37" s="27">
        <f>(PI()*(Y36/2)^2)-(PI()*(Y36/2-Y35)^2)</f>
        <v>175.92918860102839</v>
      </c>
      <c r="Z37" s="12" t="s">
        <v>227</v>
      </c>
      <c r="AA37" s="13"/>
      <c r="AB37" s="5" t="s">
        <v>498</v>
      </c>
      <c r="AC37" s="25">
        <f>AC35*1.25</f>
        <v>708.75</v>
      </c>
      <c r="AD37" s="5" t="s">
        <v>496</v>
      </c>
      <c r="AE37" s="14"/>
    </row>
    <row r="38" spans="2:31" ht="16.5" x14ac:dyDescent="0.15">
      <c r="B38" s="48" t="s">
        <v>288</v>
      </c>
      <c r="C38" s="152">
        <f>C10/C37*4/PI()/2^0.5</f>
        <v>521.01305216011724</v>
      </c>
      <c r="D38" s="190">
        <f>D10/D37*4/PI()/2^0.5</f>
        <v>521.01305216011724</v>
      </c>
      <c r="E38" s="191">
        <f>E10/E37*4/PI()/2^0.5</f>
        <v>521.01305216011724</v>
      </c>
      <c r="F38" s="166">
        <f>F10/F37*4/PI()/2^0.5</f>
        <v>521.01305216011724</v>
      </c>
      <c r="G38" s="166"/>
      <c r="H38" s="152">
        <f>H10/H37*4/PI()/2^0.5</f>
        <v>521.01305216011724</v>
      </c>
      <c r="I38" s="190">
        <f>I10/I37*4/PI()/2^0.5</f>
        <v>521.01305216011724</v>
      </c>
      <c r="J38" s="191">
        <f>J10/J37*4/PI()/2^0.5</f>
        <v>521.01305216011724</v>
      </c>
      <c r="K38" s="166">
        <f>K10/K37*4/PI()/2^0.5</f>
        <v>521.01305216011724</v>
      </c>
      <c r="L38" s="162" t="s">
        <v>0</v>
      </c>
      <c r="M38" s="49"/>
      <c r="N38" s="48" t="s">
        <v>222</v>
      </c>
      <c r="P38" s="6" t="s">
        <v>47</v>
      </c>
      <c r="Q38" s="8">
        <f>Q36*Q37/1000</f>
        <v>13845.756698074327</v>
      </c>
      <c r="R38" s="6" t="s">
        <v>47</v>
      </c>
      <c r="S38" s="13"/>
      <c r="T38" s="9" t="s">
        <v>182</v>
      </c>
      <c r="U38" s="6"/>
      <c r="V38" s="6"/>
      <c r="W38" s="13"/>
      <c r="X38" s="12" t="s">
        <v>232</v>
      </c>
      <c r="Y38" s="26">
        <v>850</v>
      </c>
      <c r="Z38" s="4" t="s">
        <v>228</v>
      </c>
      <c r="AA38" s="13"/>
      <c r="AB38" s="13"/>
      <c r="AC38" s="13"/>
      <c r="AD38" s="13"/>
      <c r="AE38" s="14"/>
    </row>
    <row r="39" spans="2:31" ht="16.5" x14ac:dyDescent="0.15">
      <c r="B39" s="48" t="s">
        <v>88</v>
      </c>
      <c r="C39" s="147">
        <v>1</v>
      </c>
      <c r="D39" s="180">
        <v>1</v>
      </c>
      <c r="E39" s="181">
        <v>1</v>
      </c>
      <c r="F39" s="161">
        <v>1</v>
      </c>
      <c r="G39" s="161"/>
      <c r="H39" s="147">
        <v>1</v>
      </c>
      <c r="I39" s="180">
        <v>1</v>
      </c>
      <c r="J39" s="181">
        <v>1</v>
      </c>
      <c r="K39" s="161">
        <v>1</v>
      </c>
      <c r="L39" s="162" t="s">
        <v>42</v>
      </c>
      <c r="M39" s="49"/>
      <c r="N39" s="48" t="s">
        <v>245</v>
      </c>
      <c r="P39" s="6" t="s">
        <v>41</v>
      </c>
      <c r="Q39" s="25">
        <f>Q38/Q34</f>
        <v>18.363072543865155</v>
      </c>
      <c r="R39" s="6"/>
      <c r="S39" s="13"/>
      <c r="T39" s="6" t="s">
        <v>183</v>
      </c>
      <c r="U39" s="10">
        <f>U23*U27/U28/1000</f>
        <v>290.39999999999998</v>
      </c>
      <c r="V39" s="5" t="s">
        <v>179</v>
      </c>
      <c r="W39" s="13"/>
      <c r="X39" s="12" t="s">
        <v>491</v>
      </c>
      <c r="Y39" s="28">
        <f>Y38/Y37</f>
        <v>4.8314893438611097</v>
      </c>
      <c r="Z39" s="4" t="s">
        <v>228</v>
      </c>
      <c r="AA39" s="13"/>
      <c r="AB39" s="208" t="s">
        <v>500</v>
      </c>
      <c r="AC39" s="208"/>
      <c r="AD39" s="208"/>
      <c r="AE39" s="14"/>
    </row>
    <row r="40" spans="2:31" ht="16.5" x14ac:dyDescent="0.15">
      <c r="B40" s="48" t="s">
        <v>89</v>
      </c>
      <c r="C40" s="147">
        <f t="shared" ref="C40:F40" si="30">ROUND(C38/C39,1)</f>
        <v>521</v>
      </c>
      <c r="D40" s="180">
        <f t="shared" si="30"/>
        <v>521</v>
      </c>
      <c r="E40" s="181">
        <f t="shared" si="30"/>
        <v>521</v>
      </c>
      <c r="F40" s="161">
        <f t="shared" si="30"/>
        <v>521</v>
      </c>
      <c r="G40" s="161"/>
      <c r="H40" s="147">
        <f t="shared" ref="H40:K40" si="31">ROUND(H38/H39,1)</f>
        <v>521</v>
      </c>
      <c r="I40" s="180">
        <f t="shared" si="31"/>
        <v>521</v>
      </c>
      <c r="J40" s="181">
        <f t="shared" si="31"/>
        <v>521</v>
      </c>
      <c r="K40" s="161">
        <f t="shared" si="31"/>
        <v>521</v>
      </c>
      <c r="L40" s="162" t="s">
        <v>0</v>
      </c>
      <c r="M40" s="49"/>
      <c r="N40" s="48" t="s">
        <v>289</v>
      </c>
      <c r="P40" s="13"/>
      <c r="Q40" s="13"/>
      <c r="R40" s="13"/>
      <c r="S40" s="13"/>
      <c r="T40" s="6" t="s">
        <v>184</v>
      </c>
      <c r="U40" s="10">
        <f>U39/SIN(U34*PI()/180)/SQRT(2)</f>
        <v>410.68761851314684</v>
      </c>
      <c r="V40" s="5" t="s">
        <v>170</v>
      </c>
      <c r="W40" s="13"/>
      <c r="X40" s="12" t="s">
        <v>233</v>
      </c>
      <c r="Y40" s="28">
        <f>Y28/100000000*(Y38^2)/(Y37/1000000)*Y33/1000</f>
        <v>483.19176251946334</v>
      </c>
      <c r="Z40" s="4" t="s">
        <v>229</v>
      </c>
      <c r="AA40" s="13"/>
      <c r="AB40" s="5" t="s">
        <v>26</v>
      </c>
      <c r="AC40" s="7">
        <v>2600</v>
      </c>
      <c r="AD40" s="5" t="s">
        <v>27</v>
      </c>
      <c r="AE40" s="143" t="s">
        <v>630</v>
      </c>
    </row>
    <row r="41" spans="2:31" ht="16.5" x14ac:dyDescent="0.15">
      <c r="B41" s="48"/>
      <c r="C41" s="148"/>
      <c r="D41" s="182"/>
      <c r="E41" s="183"/>
      <c r="F41" s="162"/>
      <c r="G41" s="162"/>
      <c r="H41" s="148"/>
      <c r="I41" s="182"/>
      <c r="J41" s="183"/>
      <c r="K41" s="162"/>
      <c r="L41" s="162"/>
      <c r="M41" s="49"/>
      <c r="N41" s="48"/>
      <c r="P41" s="207" t="s">
        <v>214</v>
      </c>
      <c r="Q41" s="207"/>
      <c r="R41" s="207"/>
      <c r="S41" s="13"/>
      <c r="T41" s="6" t="s">
        <v>173</v>
      </c>
      <c r="U41" s="24">
        <f>U40*U30</f>
        <v>410.68761851314684</v>
      </c>
      <c r="V41" s="5" t="s">
        <v>170</v>
      </c>
      <c r="W41" s="13"/>
      <c r="X41" s="13"/>
      <c r="Y41" s="13"/>
      <c r="Z41" s="13"/>
      <c r="AA41" s="13"/>
      <c r="AB41" s="5" t="s">
        <v>28</v>
      </c>
      <c r="AC41" s="7">
        <v>375</v>
      </c>
      <c r="AD41" s="5" t="s">
        <v>15</v>
      </c>
      <c r="AE41" s="14"/>
    </row>
    <row r="42" spans="2:31" ht="16.5" x14ac:dyDescent="0.15">
      <c r="B42" s="48" t="s">
        <v>72</v>
      </c>
      <c r="C42" s="157">
        <f t="shared" ref="C42:F42" si="32">C32/C40*100</f>
        <v>93.244828812855673</v>
      </c>
      <c r="D42" s="200">
        <f t="shared" si="32"/>
        <v>69.372243538891254</v>
      </c>
      <c r="E42" s="201">
        <f t="shared" si="32"/>
        <v>68.248226430404571</v>
      </c>
      <c r="F42" s="171">
        <f t="shared" si="32"/>
        <v>61.043069456872978</v>
      </c>
      <c r="G42" s="171"/>
      <c r="H42" s="157">
        <f t="shared" ref="H42:K42" si="33">H32/H40*100</f>
        <v>92.285847029656708</v>
      </c>
      <c r="I42" s="200">
        <f t="shared" si="33"/>
        <v>77.22732623465464</v>
      </c>
      <c r="J42" s="201">
        <f t="shared" si="33"/>
        <v>72.776653329820036</v>
      </c>
      <c r="K42" s="171">
        <f t="shared" si="33"/>
        <v>59.570258106084253</v>
      </c>
      <c r="L42" s="162" t="s">
        <v>7</v>
      </c>
      <c r="M42" s="49"/>
      <c r="N42" s="52" t="s">
        <v>251</v>
      </c>
      <c r="P42" s="21" t="s">
        <v>18</v>
      </c>
      <c r="Q42" s="22">
        <v>40</v>
      </c>
      <c r="R42" s="21" t="s">
        <v>240</v>
      </c>
      <c r="S42" s="13"/>
      <c r="T42" s="6" t="s">
        <v>185</v>
      </c>
      <c r="U42" s="10">
        <f>U41/U31*100</f>
        <v>12.445079348883239</v>
      </c>
      <c r="V42" s="11" t="s">
        <v>186</v>
      </c>
      <c r="W42" s="13"/>
      <c r="X42" s="208" t="s">
        <v>490</v>
      </c>
      <c r="Y42" s="208"/>
      <c r="Z42" s="208"/>
      <c r="AA42" s="13"/>
      <c r="AB42" s="5" t="s">
        <v>29</v>
      </c>
      <c r="AC42" s="25">
        <f>1/(2*3.14*SQRT((AC40/1000000)*(AC41/1000000)))</f>
        <v>161.26423042733543</v>
      </c>
      <c r="AD42" s="5" t="s">
        <v>30</v>
      </c>
      <c r="AE42" s="14"/>
    </row>
    <row r="43" spans="2:31" ht="16.5" x14ac:dyDescent="0.15">
      <c r="B43" s="48"/>
      <c r="C43" s="148"/>
      <c r="D43" s="182"/>
      <c r="E43" s="183"/>
      <c r="F43" s="162"/>
      <c r="G43" s="162"/>
      <c r="H43" s="148"/>
      <c r="I43" s="182"/>
      <c r="J43" s="183"/>
      <c r="K43" s="162"/>
      <c r="L43" s="162"/>
      <c r="M43" s="49"/>
      <c r="N43" s="48"/>
      <c r="P43" s="21" t="s">
        <v>100</v>
      </c>
      <c r="Q43" s="22">
        <v>127</v>
      </c>
      <c r="R43" s="21" t="s">
        <v>2</v>
      </c>
      <c r="S43" s="13"/>
      <c r="T43" s="6" t="s">
        <v>187</v>
      </c>
      <c r="U43" s="10">
        <f>U42*U42/100</f>
        <v>1.5488000000000006</v>
      </c>
      <c r="V43" s="11" t="s">
        <v>186</v>
      </c>
      <c r="W43" s="13"/>
      <c r="X43" s="5" t="s">
        <v>188</v>
      </c>
      <c r="Y43" s="3" t="s">
        <v>189</v>
      </c>
      <c r="Z43" s="3"/>
      <c r="AA43" s="13"/>
      <c r="AB43" s="13"/>
      <c r="AC43" s="13"/>
      <c r="AD43" s="13"/>
      <c r="AE43" s="14"/>
    </row>
    <row r="44" spans="2:31" ht="16.5" x14ac:dyDescent="0.15">
      <c r="B44" s="48" t="s">
        <v>90</v>
      </c>
      <c r="C44" s="155">
        <f t="shared" ref="C44:F44" si="34">C29/C39</f>
        <v>832.14144536284368</v>
      </c>
      <c r="D44" s="196">
        <f t="shared" si="34"/>
        <v>1118.500464489674</v>
      </c>
      <c r="E44" s="197">
        <f t="shared" si="34"/>
        <v>1136.9216561263358</v>
      </c>
      <c r="F44" s="169">
        <f t="shared" si="34"/>
        <v>1271.1170540950636</v>
      </c>
      <c r="G44" s="169"/>
      <c r="H44" s="155">
        <f t="shared" ref="H44:K44" si="35">H29/H39</f>
        <v>840.7885837143117</v>
      </c>
      <c r="I44" s="196">
        <f t="shared" si="35"/>
        <v>1004.7335626404475</v>
      </c>
      <c r="J44" s="197">
        <f t="shared" si="35"/>
        <v>1066.1782738111592</v>
      </c>
      <c r="K44" s="169">
        <f t="shared" si="35"/>
        <v>1302.5440729627398</v>
      </c>
      <c r="L44" s="162" t="s">
        <v>2</v>
      </c>
      <c r="M44" s="49"/>
      <c r="N44" s="51" t="s">
        <v>246</v>
      </c>
      <c r="P44" s="21" t="s">
        <v>44</v>
      </c>
      <c r="Q44" s="22">
        <v>401</v>
      </c>
      <c r="R44" s="21" t="s">
        <v>0</v>
      </c>
      <c r="S44" s="13"/>
      <c r="T44" s="13"/>
      <c r="U44" s="13"/>
      <c r="V44" s="13"/>
      <c r="W44" s="13"/>
      <c r="X44" s="12" t="s">
        <v>190</v>
      </c>
      <c r="Y44" s="15">
        <v>1.75</v>
      </c>
      <c r="Z44" s="12" t="s">
        <v>191</v>
      </c>
      <c r="AA44" s="13"/>
      <c r="AB44" s="13"/>
      <c r="AC44" s="13"/>
      <c r="AD44" s="13"/>
      <c r="AE44" s="14"/>
    </row>
    <row r="45" spans="2:31" ht="16.5" x14ac:dyDescent="0.15">
      <c r="B45" s="48" t="s">
        <v>91</v>
      </c>
      <c r="C45" s="152">
        <f t="shared" ref="C45:F45" si="36">ROUND(C44*2^0.5*2/PI(),0)</f>
        <v>749</v>
      </c>
      <c r="D45" s="190">
        <f t="shared" si="36"/>
        <v>1007</v>
      </c>
      <c r="E45" s="191">
        <f t="shared" si="36"/>
        <v>1024</v>
      </c>
      <c r="F45" s="166">
        <f t="shared" si="36"/>
        <v>1144</v>
      </c>
      <c r="G45" s="166"/>
      <c r="H45" s="152">
        <f t="shared" ref="H45:K45" si="37">ROUND(H44*2^0.5*2/PI(),0)</f>
        <v>757</v>
      </c>
      <c r="I45" s="190">
        <f t="shared" si="37"/>
        <v>905</v>
      </c>
      <c r="J45" s="191">
        <f t="shared" si="37"/>
        <v>960</v>
      </c>
      <c r="K45" s="166">
        <f t="shared" si="37"/>
        <v>1173</v>
      </c>
      <c r="L45" s="162" t="s">
        <v>2</v>
      </c>
      <c r="M45" s="49"/>
      <c r="N45" s="48"/>
      <c r="P45" s="21" t="s">
        <v>467</v>
      </c>
      <c r="Q45" s="22">
        <v>1</v>
      </c>
      <c r="R45" s="21"/>
      <c r="S45" s="13"/>
      <c r="T45" s="208" t="s">
        <v>226</v>
      </c>
      <c r="U45" s="208"/>
      <c r="V45" s="208"/>
      <c r="W45" s="13"/>
      <c r="X45" s="12" t="s">
        <v>192</v>
      </c>
      <c r="Y45" s="16">
        <v>3.8999999999999998E-3</v>
      </c>
      <c r="Z45" s="12" t="s">
        <v>193</v>
      </c>
      <c r="AA45" s="13"/>
      <c r="AB45" s="13"/>
      <c r="AC45" s="13"/>
      <c r="AD45" s="13"/>
      <c r="AE45" s="14"/>
    </row>
    <row r="46" spans="2:31" ht="16.5" x14ac:dyDescent="0.15">
      <c r="B46" s="48" t="s">
        <v>92</v>
      </c>
      <c r="C46" s="152">
        <f t="shared" ref="C46:F46" si="38">C45/C37</f>
        <v>749</v>
      </c>
      <c r="D46" s="190">
        <f t="shared" si="38"/>
        <v>1007</v>
      </c>
      <c r="E46" s="191">
        <f t="shared" si="38"/>
        <v>1024</v>
      </c>
      <c r="F46" s="166">
        <f t="shared" si="38"/>
        <v>1144</v>
      </c>
      <c r="G46" s="166"/>
      <c r="H46" s="152">
        <f t="shared" ref="H46:K46" si="39">H45/H37</f>
        <v>757</v>
      </c>
      <c r="I46" s="190">
        <f t="shared" si="39"/>
        <v>905</v>
      </c>
      <c r="J46" s="191">
        <f t="shared" si="39"/>
        <v>960</v>
      </c>
      <c r="K46" s="166">
        <f t="shared" si="39"/>
        <v>1173</v>
      </c>
      <c r="L46" s="162" t="s">
        <v>2</v>
      </c>
      <c r="M46" s="49"/>
      <c r="N46" s="48"/>
      <c r="P46" s="21" t="s">
        <v>56</v>
      </c>
      <c r="Q46" s="23">
        <f>Q44*0.9/Q45</f>
        <v>360.90000000000003</v>
      </c>
      <c r="R46" s="21" t="s">
        <v>0</v>
      </c>
      <c r="S46" s="13"/>
      <c r="T46" s="6" t="s">
        <v>155</v>
      </c>
      <c r="U46" s="7">
        <v>387.2</v>
      </c>
      <c r="V46" s="6" t="s">
        <v>156</v>
      </c>
      <c r="W46" s="13"/>
      <c r="X46" s="12" t="s">
        <v>194</v>
      </c>
      <c r="Y46" s="17">
        <v>45</v>
      </c>
      <c r="Z46" s="12" t="s">
        <v>48</v>
      </c>
      <c r="AA46" s="13"/>
      <c r="AB46" s="13"/>
      <c r="AC46" s="13"/>
      <c r="AD46" s="13"/>
      <c r="AE46" s="14"/>
    </row>
    <row r="47" spans="2:31" ht="17.25" thickBot="1" x14ac:dyDescent="0.2">
      <c r="B47" s="48" t="s">
        <v>93</v>
      </c>
      <c r="C47" s="153">
        <f>ROUND(C46/C11,3)</f>
        <v>1.238</v>
      </c>
      <c r="D47" s="202">
        <f>ROUND(D46/D11,3)</f>
        <v>1.665</v>
      </c>
      <c r="E47" s="203">
        <f>ROUND(E46/E11,3)</f>
        <v>1.6930000000000001</v>
      </c>
      <c r="F47" s="167">
        <f>ROUND(F46/F11,3)</f>
        <v>1.8919999999999999</v>
      </c>
      <c r="G47" s="167"/>
      <c r="H47" s="153">
        <f>ROUND(H46/H11,3)</f>
        <v>1.252</v>
      </c>
      <c r="I47" s="202">
        <f>ROUND(I46/I11,3)</f>
        <v>1.496</v>
      </c>
      <c r="J47" s="203">
        <f>ROUND(J46/J11,3)</f>
        <v>1.587</v>
      </c>
      <c r="K47" s="167">
        <f>ROUND(K46/K11,3)</f>
        <v>1.9390000000000001</v>
      </c>
      <c r="L47" s="162"/>
      <c r="M47" s="49"/>
      <c r="N47" s="48"/>
      <c r="P47" s="21" t="s">
        <v>241</v>
      </c>
      <c r="Q47" s="23">
        <f>(Q42*1000)/(Q43*Q44*0.9/Q45)</f>
        <v>0.87270886650390644</v>
      </c>
      <c r="R47" s="21"/>
      <c r="S47" s="13"/>
      <c r="T47" s="6" t="s">
        <v>159</v>
      </c>
      <c r="U47" s="7">
        <v>500</v>
      </c>
      <c r="V47" s="6" t="s">
        <v>160</v>
      </c>
      <c r="W47" s="13"/>
      <c r="X47" s="12" t="s">
        <v>195</v>
      </c>
      <c r="Y47" s="16">
        <f>Y44*(1+Y45*(Y46-20))</f>
        <v>1.9206249999999998</v>
      </c>
      <c r="Z47" s="12" t="s">
        <v>191</v>
      </c>
      <c r="AA47" s="13"/>
      <c r="AB47" s="13"/>
      <c r="AC47" s="13"/>
      <c r="AD47" s="13"/>
      <c r="AE47" s="14"/>
    </row>
    <row r="48" spans="2:31" ht="16.5" x14ac:dyDescent="0.15">
      <c r="B48" s="47"/>
      <c r="C48" s="47"/>
      <c r="D48" s="47"/>
      <c r="E48" s="47"/>
      <c r="F48" s="204"/>
      <c r="G48" s="205"/>
      <c r="H48" s="205"/>
      <c r="I48" s="205"/>
      <c r="J48" s="205"/>
      <c r="K48" s="205"/>
      <c r="L48" s="47"/>
      <c r="M48" s="47"/>
      <c r="N48" s="47"/>
      <c r="P48" s="21" t="s">
        <v>242</v>
      </c>
      <c r="Q48" s="62">
        <f>DEGREES(ACOS(Q47))</f>
        <v>29.225030363895115</v>
      </c>
      <c r="R48" s="21"/>
      <c r="S48" s="13"/>
      <c r="T48" s="6" t="s">
        <v>162</v>
      </c>
      <c r="U48" s="7">
        <v>100</v>
      </c>
      <c r="V48" s="6" t="s">
        <v>163</v>
      </c>
      <c r="W48" s="13"/>
      <c r="X48" s="12" t="s">
        <v>196</v>
      </c>
      <c r="Y48" s="18">
        <f>1/(Y47/100000000)</f>
        <v>52066384.64041654</v>
      </c>
      <c r="Z48" s="12" t="s">
        <v>197</v>
      </c>
      <c r="AA48" s="13"/>
      <c r="AB48" s="13"/>
      <c r="AC48" s="13"/>
      <c r="AD48" s="13"/>
      <c r="AE48" s="14"/>
    </row>
    <row r="49" spans="2:31" ht="16.5" x14ac:dyDescent="0.15">
      <c r="B49" s="46" t="s">
        <v>291</v>
      </c>
      <c r="C49" s="47" t="s">
        <v>529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P49" s="13"/>
      <c r="Q49" s="13"/>
      <c r="R49" s="13"/>
      <c r="S49" s="13"/>
      <c r="T49" s="6" t="s">
        <v>165</v>
      </c>
      <c r="U49" s="25">
        <f>U46*U47/U48</f>
        <v>1936</v>
      </c>
      <c r="V49" s="6" t="s">
        <v>166</v>
      </c>
      <c r="W49" s="13"/>
      <c r="X49" s="12" t="s">
        <v>198</v>
      </c>
      <c r="Y49" s="3">
        <v>1</v>
      </c>
      <c r="Z49" s="12" t="s">
        <v>199</v>
      </c>
      <c r="AA49" s="13"/>
      <c r="AB49" s="13"/>
      <c r="AC49" s="13"/>
      <c r="AD49" s="13"/>
      <c r="AE49" s="14"/>
    </row>
    <row r="50" spans="2:31" ht="16.5" x14ac:dyDescent="0.3">
      <c r="B50" s="32" t="s">
        <v>275</v>
      </c>
      <c r="C50" s="34">
        <v>1</v>
      </c>
      <c r="D50" s="34">
        <v>1</v>
      </c>
      <c r="E50" s="34">
        <v>1</v>
      </c>
      <c r="F50" s="34">
        <v>1</v>
      </c>
      <c r="G50" s="34"/>
      <c r="H50" s="34"/>
      <c r="I50" s="34"/>
      <c r="J50" s="34"/>
      <c r="K50" s="34"/>
      <c r="L50" s="32" t="s">
        <v>49</v>
      </c>
      <c r="M50" s="49">
        <v>6</v>
      </c>
      <c r="N50" s="35" t="s">
        <v>279</v>
      </c>
      <c r="P50" s="207" t="s">
        <v>266</v>
      </c>
      <c r="Q50" s="207"/>
      <c r="R50" s="207"/>
      <c r="S50" s="13"/>
      <c r="T50" s="13"/>
      <c r="U50" s="13"/>
      <c r="V50" s="13"/>
      <c r="W50" s="13"/>
      <c r="X50" s="12" t="s">
        <v>37</v>
      </c>
      <c r="Y50" s="19">
        <v>10000</v>
      </c>
      <c r="Z50" s="12" t="s">
        <v>200</v>
      </c>
      <c r="AA50" s="13"/>
      <c r="AB50" s="13"/>
      <c r="AC50" s="13"/>
      <c r="AD50" s="13" t="s">
        <v>235</v>
      </c>
      <c r="AE50" s="14"/>
    </row>
    <row r="51" spans="2:31" ht="16.5" x14ac:dyDescent="0.3">
      <c r="B51" s="32" t="s">
        <v>114</v>
      </c>
      <c r="C51" s="55">
        <f t="shared" ref="C51:F51" si="40">C44/C50</f>
        <v>832.14144536284368</v>
      </c>
      <c r="D51" s="55">
        <f t="shared" si="40"/>
        <v>1118.500464489674</v>
      </c>
      <c r="E51" s="55">
        <f t="shared" si="40"/>
        <v>1136.9216561263358</v>
      </c>
      <c r="F51" s="55">
        <f t="shared" si="40"/>
        <v>1271.1170540950636</v>
      </c>
      <c r="G51" s="55"/>
      <c r="H51" s="55"/>
      <c r="I51" s="55"/>
      <c r="J51" s="55"/>
      <c r="K51" s="55"/>
      <c r="L51" s="32" t="s">
        <v>2</v>
      </c>
      <c r="M51" s="49"/>
      <c r="N51" s="32" t="s">
        <v>278</v>
      </c>
      <c r="P51" s="32" t="s">
        <v>36</v>
      </c>
      <c r="Q51" s="33">
        <v>200</v>
      </c>
      <c r="R51" s="32" t="s">
        <v>13</v>
      </c>
      <c r="S51" s="13"/>
      <c r="T51" s="208" t="s">
        <v>306</v>
      </c>
      <c r="U51" s="208"/>
      <c r="V51" s="208"/>
      <c r="W51" s="13"/>
      <c r="X51" s="12" t="s">
        <v>230</v>
      </c>
      <c r="Y51" s="31">
        <f>503.3*SQRT((Y47/100000000)/(Y49*Y50))*1000</f>
        <v>0.69750643588876649</v>
      </c>
      <c r="Z51" s="12" t="s">
        <v>201</v>
      </c>
      <c r="AA51" s="13"/>
      <c r="AB51" s="13"/>
      <c r="AC51" s="13"/>
      <c r="AD51" s="13"/>
      <c r="AE51" s="14"/>
    </row>
    <row r="52" spans="2:31" ht="16.5" x14ac:dyDescent="0.3">
      <c r="B52" s="32" t="s">
        <v>8</v>
      </c>
      <c r="C52" s="38">
        <v>27</v>
      </c>
      <c r="D52" s="38">
        <v>27</v>
      </c>
      <c r="E52" s="38">
        <v>27</v>
      </c>
      <c r="F52" s="38">
        <v>27</v>
      </c>
      <c r="G52" s="38"/>
      <c r="H52" s="38"/>
      <c r="I52" s="38"/>
      <c r="J52" s="38"/>
      <c r="K52" s="38"/>
      <c r="L52" s="32" t="s">
        <v>45</v>
      </c>
      <c r="M52" s="49">
        <v>7</v>
      </c>
      <c r="N52" s="35" t="s">
        <v>117</v>
      </c>
      <c r="P52" s="32" t="s">
        <v>38</v>
      </c>
      <c r="Q52" s="33">
        <v>3</v>
      </c>
      <c r="R52" s="32" t="s">
        <v>13</v>
      </c>
      <c r="S52" s="13"/>
      <c r="T52" s="21" t="s">
        <v>296</v>
      </c>
      <c r="U52" s="22">
        <v>15.4</v>
      </c>
      <c r="V52" s="21" t="s">
        <v>13</v>
      </c>
      <c r="W52" s="13"/>
      <c r="X52" s="12" t="s">
        <v>231</v>
      </c>
      <c r="Y52" s="26">
        <v>16000</v>
      </c>
      <c r="Z52" s="12" t="s">
        <v>201</v>
      </c>
      <c r="AA52" s="13"/>
      <c r="AB52" s="13"/>
      <c r="AC52" s="13"/>
      <c r="AD52" s="13"/>
      <c r="AE52" s="14"/>
    </row>
    <row r="53" spans="2:31" ht="16.5" x14ac:dyDescent="0.3">
      <c r="B53" s="32" t="s">
        <v>118</v>
      </c>
      <c r="C53" s="38">
        <v>25</v>
      </c>
      <c r="D53" s="38">
        <v>25</v>
      </c>
      <c r="E53" s="38">
        <v>25</v>
      </c>
      <c r="F53" s="38">
        <v>25</v>
      </c>
      <c r="G53" s="38"/>
      <c r="H53" s="38"/>
      <c r="I53" s="38"/>
      <c r="J53" s="38"/>
      <c r="K53" s="38"/>
      <c r="L53" s="32" t="s">
        <v>0</v>
      </c>
      <c r="M53" s="49">
        <v>8</v>
      </c>
      <c r="N53" s="35" t="s">
        <v>119</v>
      </c>
      <c r="P53" s="32" t="s">
        <v>39</v>
      </c>
      <c r="Q53" s="33">
        <v>300</v>
      </c>
      <c r="R53" s="32" t="s">
        <v>13</v>
      </c>
      <c r="S53" s="13"/>
      <c r="T53" s="21" t="s">
        <v>297</v>
      </c>
      <c r="U53" s="22">
        <v>2</v>
      </c>
      <c r="V53" s="21" t="s">
        <v>13</v>
      </c>
      <c r="W53" s="13"/>
      <c r="X53" s="12" t="s">
        <v>256</v>
      </c>
      <c r="Y53" s="26">
        <v>2</v>
      </c>
      <c r="Z53" s="12" t="s">
        <v>201</v>
      </c>
      <c r="AA53" s="13"/>
      <c r="AB53" s="13"/>
      <c r="AC53" s="13"/>
      <c r="AD53" s="13"/>
      <c r="AE53" s="14"/>
    </row>
    <row r="54" spans="2:31" ht="16.5" x14ac:dyDescent="0.3">
      <c r="B54" s="32" t="s">
        <v>9</v>
      </c>
      <c r="C54" s="42">
        <f t="shared" ref="C54:F54" si="41">C53*C52/1000000*C55*1000</f>
        <v>6.3261346231620106</v>
      </c>
      <c r="D54" s="42">
        <f t="shared" si="41"/>
        <v>6.0605481501394829</v>
      </c>
      <c r="E54" s="42">
        <f t="shared" si="41"/>
        <v>6.0501841737993827</v>
      </c>
      <c r="F54" s="42">
        <f t="shared" si="41"/>
        <v>5.9881256226719248</v>
      </c>
      <c r="G54" s="42"/>
      <c r="H54" s="42"/>
      <c r="I54" s="42"/>
      <c r="J54" s="42"/>
      <c r="K54" s="42"/>
      <c r="L54" s="32" t="s">
        <v>6</v>
      </c>
      <c r="M54" s="49"/>
      <c r="N54" s="32"/>
      <c r="P54" s="32" t="s">
        <v>75</v>
      </c>
      <c r="Q54" s="63">
        <f>12.5*(Q52/10)*(Q53/10)/(Q51/10)</f>
        <v>5.625</v>
      </c>
      <c r="R54" s="32" t="s">
        <v>40</v>
      </c>
      <c r="S54" s="13"/>
      <c r="T54" s="21" t="s">
        <v>299</v>
      </c>
      <c r="U54" s="23">
        <f>U52+U53*2</f>
        <v>19.399999999999999</v>
      </c>
      <c r="V54" s="21" t="s">
        <v>13</v>
      </c>
      <c r="W54" s="13"/>
      <c r="X54" s="12" t="s">
        <v>255</v>
      </c>
      <c r="Y54" s="27">
        <f>MIN(Y51,Y53)</f>
        <v>0.69750643588876649</v>
      </c>
      <c r="Z54" s="12" t="s">
        <v>201</v>
      </c>
      <c r="AA54" s="13"/>
      <c r="AB54" s="13"/>
      <c r="AC54" s="13"/>
      <c r="AD54" s="13"/>
      <c r="AE54" s="14"/>
    </row>
    <row r="55" spans="2:31" ht="18" customHeight="1" x14ac:dyDescent="0.3">
      <c r="B55" s="32" t="s">
        <v>116</v>
      </c>
      <c r="C55" s="55">
        <f t="shared" ref="C55:F55" si="42">C22</f>
        <v>9.3720512935733478</v>
      </c>
      <c r="D55" s="55">
        <f t="shared" si="42"/>
        <v>8.9785898520584926</v>
      </c>
      <c r="E55" s="55">
        <f t="shared" si="42"/>
        <v>8.9632358130361229</v>
      </c>
      <c r="F55" s="55">
        <f t="shared" si="42"/>
        <v>8.871297218773222</v>
      </c>
      <c r="G55" s="55"/>
      <c r="H55" s="55"/>
      <c r="I55" s="55"/>
      <c r="J55" s="55"/>
      <c r="K55" s="55"/>
      <c r="L55" s="32" t="s">
        <v>4</v>
      </c>
      <c r="M55" s="49"/>
      <c r="N55" s="32" t="s">
        <v>115</v>
      </c>
      <c r="T55" s="59" t="s">
        <v>300</v>
      </c>
      <c r="U55" s="60">
        <v>8.8539999999999992E-12</v>
      </c>
      <c r="V55" s="48"/>
      <c r="X55" s="12" t="s">
        <v>236</v>
      </c>
      <c r="Y55" s="26">
        <v>30</v>
      </c>
      <c r="Z55" s="12" t="s">
        <v>201</v>
      </c>
    </row>
    <row r="56" spans="2:31" ht="16.5" x14ac:dyDescent="0.3">
      <c r="B56" s="32" t="s">
        <v>274</v>
      </c>
      <c r="C56" s="41">
        <f t="shared" ref="C56:F56" si="43">C51*1.414</f>
        <v>1176.6480037430608</v>
      </c>
      <c r="D56" s="41">
        <f t="shared" si="43"/>
        <v>1581.5596567883988</v>
      </c>
      <c r="E56" s="41">
        <f t="shared" si="43"/>
        <v>1607.6072217626388</v>
      </c>
      <c r="F56" s="41">
        <f t="shared" si="43"/>
        <v>1797.3595144904198</v>
      </c>
      <c r="G56" s="41"/>
      <c r="H56" s="41"/>
      <c r="I56" s="41"/>
      <c r="J56" s="41"/>
      <c r="K56" s="41"/>
      <c r="L56" s="32" t="s">
        <v>2</v>
      </c>
      <c r="M56" s="49"/>
      <c r="N56" s="32" t="s">
        <v>280</v>
      </c>
      <c r="P56" s="207" t="s">
        <v>292</v>
      </c>
      <c r="Q56" s="207"/>
      <c r="R56" s="207"/>
      <c r="T56" s="59" t="s">
        <v>301</v>
      </c>
      <c r="U56" s="57">
        <v>2.1</v>
      </c>
      <c r="V56" s="48" t="s">
        <v>295</v>
      </c>
      <c r="X56" s="12" t="s">
        <v>237</v>
      </c>
      <c r="Y56" s="26">
        <v>2</v>
      </c>
      <c r="Z56" s="12" t="s">
        <v>201</v>
      </c>
    </row>
    <row r="57" spans="2:31" ht="16.5" x14ac:dyDescent="0.3">
      <c r="B57" s="32" t="s">
        <v>120</v>
      </c>
      <c r="C57" s="38">
        <v>580</v>
      </c>
      <c r="D57" s="38">
        <v>600</v>
      </c>
      <c r="E57" s="38">
        <v>620</v>
      </c>
      <c r="F57" s="38">
        <v>650</v>
      </c>
      <c r="G57" s="38"/>
      <c r="H57" s="38"/>
      <c r="I57" s="38"/>
      <c r="J57" s="38"/>
      <c r="K57" s="38"/>
      <c r="L57" s="32" t="s">
        <v>5</v>
      </c>
      <c r="M57" s="49">
        <v>9</v>
      </c>
      <c r="N57" s="35" t="s">
        <v>121</v>
      </c>
      <c r="P57" s="32" t="s">
        <v>293</v>
      </c>
      <c r="Q57" s="33">
        <v>3000</v>
      </c>
      <c r="R57" s="32" t="s">
        <v>50</v>
      </c>
      <c r="T57" s="48" t="s">
        <v>302</v>
      </c>
      <c r="U57" s="60">
        <f>2*PI()*U55*U56/(LN(U54/U52))*1000000000</f>
        <v>0.50594615125588516</v>
      </c>
      <c r="V57" s="48" t="s">
        <v>294</v>
      </c>
      <c r="X57" s="12" t="s">
        <v>252</v>
      </c>
      <c r="Y57" s="27">
        <f>(Y55*Y56)-((Y55-2*Y54)*(Y56-2*Y54))</f>
        <v>42.694350984456051</v>
      </c>
      <c r="Z57" s="12" t="s">
        <v>227</v>
      </c>
    </row>
    <row r="58" spans="2:31" ht="16.5" x14ac:dyDescent="0.3">
      <c r="B58" s="32" t="s">
        <v>122</v>
      </c>
      <c r="C58" s="42">
        <v>0</v>
      </c>
      <c r="D58" s="42">
        <v>0</v>
      </c>
      <c r="E58" s="42">
        <v>0</v>
      </c>
      <c r="F58" s="42">
        <v>0</v>
      </c>
      <c r="G58" s="42"/>
      <c r="H58" s="42"/>
      <c r="I58" s="42"/>
      <c r="J58" s="42"/>
      <c r="K58" s="42"/>
      <c r="L58" s="32" t="s">
        <v>5</v>
      </c>
      <c r="M58" s="49"/>
      <c r="N58" s="32"/>
      <c r="P58" s="32" t="s">
        <v>298</v>
      </c>
      <c r="Q58" s="33">
        <v>1</v>
      </c>
      <c r="R58" s="32" t="s">
        <v>13</v>
      </c>
      <c r="T58" s="48" t="s">
        <v>303</v>
      </c>
      <c r="U58" s="57">
        <v>10</v>
      </c>
      <c r="V58" s="48" t="s">
        <v>305</v>
      </c>
      <c r="X58" s="12" t="s">
        <v>232</v>
      </c>
      <c r="Y58" s="26">
        <v>750</v>
      </c>
      <c r="Z58" s="4" t="s">
        <v>228</v>
      </c>
    </row>
    <row r="59" spans="2:31" ht="16.5" x14ac:dyDescent="0.3">
      <c r="B59" s="32" t="s">
        <v>123</v>
      </c>
      <c r="C59" s="42">
        <v>0</v>
      </c>
      <c r="D59" s="42">
        <v>0</v>
      </c>
      <c r="E59" s="42">
        <v>0</v>
      </c>
      <c r="F59" s="42">
        <v>0</v>
      </c>
      <c r="G59" s="42"/>
      <c r="H59" s="42"/>
      <c r="I59" s="42"/>
      <c r="J59" s="42"/>
      <c r="K59" s="42"/>
      <c r="L59" s="32" t="s">
        <v>5</v>
      </c>
      <c r="M59" s="49"/>
      <c r="N59" s="32"/>
      <c r="P59" s="32" t="s">
        <v>301</v>
      </c>
      <c r="Q59" s="33">
        <v>2.1</v>
      </c>
      <c r="R59" s="32" t="s">
        <v>295</v>
      </c>
      <c r="S59" s="2"/>
      <c r="T59" s="48" t="s">
        <v>304</v>
      </c>
      <c r="U59" s="61">
        <f>U57*U58</f>
        <v>5.0594615125588511</v>
      </c>
      <c r="V59" s="48" t="s">
        <v>294</v>
      </c>
      <c r="X59" s="12" t="s">
        <v>491</v>
      </c>
      <c r="Y59" s="28">
        <f>Y58/Y57</f>
        <v>17.566726808262207</v>
      </c>
      <c r="Z59" s="4" t="s">
        <v>228</v>
      </c>
    </row>
    <row r="60" spans="2:31" ht="16.5" x14ac:dyDescent="0.3">
      <c r="B60" s="32" t="s">
        <v>124</v>
      </c>
      <c r="C60" s="39">
        <f t="shared" ref="C60:F60" si="44">C57*C55+C58*C55</f>
        <v>5435.7897502725418</v>
      </c>
      <c r="D60" s="39">
        <f t="shared" si="44"/>
        <v>5387.1539112350956</v>
      </c>
      <c r="E60" s="39">
        <f t="shared" si="44"/>
        <v>5557.2062040823967</v>
      </c>
      <c r="F60" s="39">
        <f t="shared" si="44"/>
        <v>5766.3431922025939</v>
      </c>
      <c r="G60" s="39"/>
      <c r="H60" s="39"/>
      <c r="I60" s="39"/>
      <c r="J60" s="39"/>
      <c r="K60" s="39"/>
      <c r="L60" s="32" t="s">
        <v>6</v>
      </c>
      <c r="M60" s="49"/>
      <c r="N60" s="32"/>
      <c r="P60" s="32" t="s">
        <v>76</v>
      </c>
      <c r="Q60" s="63">
        <f>8.854/1000000000000*Q59*(Q57/1000000)/(Q58/1000)*1000000000</f>
        <v>5.5780200000000002E-2</v>
      </c>
      <c r="R60" s="32" t="s">
        <v>294</v>
      </c>
      <c r="X60" s="12" t="s">
        <v>233</v>
      </c>
      <c r="Y60" s="28">
        <f>Y47/100000000*(Y58^2)/(Y57/1000000)*Y52/1000</f>
        <v>4048.6913611342306</v>
      </c>
      <c r="Z60" s="4" t="s">
        <v>229</v>
      </c>
    </row>
    <row r="61" spans="2:31" ht="16.5" x14ac:dyDescent="0.3">
      <c r="B61" s="32" t="s">
        <v>125</v>
      </c>
      <c r="C61" s="42">
        <f t="shared" ref="C61:F61" si="45">C55*C59</f>
        <v>0</v>
      </c>
      <c r="D61" s="42">
        <f t="shared" si="45"/>
        <v>0</v>
      </c>
      <c r="E61" s="42">
        <f t="shared" si="45"/>
        <v>0</v>
      </c>
      <c r="F61" s="42">
        <f t="shared" si="45"/>
        <v>0</v>
      </c>
      <c r="G61" s="42"/>
      <c r="H61" s="42"/>
      <c r="I61" s="42"/>
      <c r="J61" s="42"/>
      <c r="K61" s="42"/>
      <c r="L61" s="32" t="s">
        <v>6</v>
      </c>
      <c r="M61" s="49"/>
      <c r="N61" s="32"/>
    </row>
    <row r="62" spans="2:31" ht="16.5" x14ac:dyDescent="0.3">
      <c r="B62" s="32" t="s">
        <v>126</v>
      </c>
      <c r="C62" s="38">
        <v>100</v>
      </c>
      <c r="D62" s="38">
        <v>100</v>
      </c>
      <c r="E62" s="38">
        <v>100</v>
      </c>
      <c r="F62" s="38">
        <v>100</v>
      </c>
      <c r="G62" s="38"/>
      <c r="H62" s="38"/>
      <c r="I62" s="38"/>
      <c r="J62" s="38"/>
      <c r="K62" s="38"/>
      <c r="L62" s="32" t="s">
        <v>7</v>
      </c>
      <c r="M62" s="49">
        <v>10</v>
      </c>
      <c r="N62" s="35" t="s">
        <v>127</v>
      </c>
      <c r="P62" s="209" t="s">
        <v>468</v>
      </c>
      <c r="Q62" s="209"/>
      <c r="R62" s="209"/>
      <c r="S62"/>
      <c r="X62" s="208" t="s">
        <v>487</v>
      </c>
      <c r="Y62" s="208"/>
      <c r="Z62" s="208"/>
    </row>
    <row r="63" spans="2:31" ht="16.5" x14ac:dyDescent="0.3">
      <c r="B63" s="32" t="s">
        <v>128</v>
      </c>
      <c r="C63" s="43">
        <f t="shared" ref="C63:F63" si="46">C60*C62/100</f>
        <v>5435.7897502725418</v>
      </c>
      <c r="D63" s="43">
        <f t="shared" si="46"/>
        <v>5387.1539112350965</v>
      </c>
      <c r="E63" s="43">
        <f t="shared" si="46"/>
        <v>5557.2062040823967</v>
      </c>
      <c r="F63" s="43">
        <f t="shared" si="46"/>
        <v>5766.3431922025948</v>
      </c>
      <c r="G63" s="43"/>
      <c r="H63" s="43"/>
      <c r="I63" s="43"/>
      <c r="J63" s="43"/>
      <c r="K63" s="43"/>
      <c r="L63" s="32" t="s">
        <v>6</v>
      </c>
      <c r="M63" s="49"/>
      <c r="N63" s="32"/>
      <c r="P63" s="77"/>
      <c r="Q63" s="78" t="s">
        <v>460</v>
      </c>
      <c r="R63" s="78" t="s">
        <v>461</v>
      </c>
      <c r="S63" s="78" t="s">
        <v>462</v>
      </c>
      <c r="X63" s="5" t="s">
        <v>188</v>
      </c>
      <c r="Y63" s="3" t="s">
        <v>189</v>
      </c>
      <c r="Z63" s="3"/>
    </row>
    <row r="64" spans="2:31" ht="16.5" x14ac:dyDescent="0.3">
      <c r="B64" s="32" t="s">
        <v>129</v>
      </c>
      <c r="C64" s="41">
        <f t="shared" ref="C64:F64" si="47">C51*0.9</f>
        <v>748.9273008265593</v>
      </c>
      <c r="D64" s="41">
        <f t="shared" si="47"/>
        <v>1006.6504180407065</v>
      </c>
      <c r="E64" s="41">
        <f t="shared" si="47"/>
        <v>1023.2294905137023</v>
      </c>
      <c r="F64" s="41">
        <f t="shared" si="47"/>
        <v>1144.0053486855572</v>
      </c>
      <c r="G64" s="41"/>
      <c r="H64" s="41"/>
      <c r="I64" s="41"/>
      <c r="J64" s="41"/>
      <c r="K64" s="41"/>
      <c r="L64" s="32" t="s">
        <v>2</v>
      </c>
      <c r="M64" s="49"/>
      <c r="N64" s="32"/>
      <c r="P64" s="78" t="s">
        <v>459</v>
      </c>
      <c r="Q64" s="78" t="s">
        <v>465</v>
      </c>
      <c r="R64" s="78" t="s">
        <v>463</v>
      </c>
      <c r="S64" s="78" t="s">
        <v>464</v>
      </c>
      <c r="X64" s="12" t="s">
        <v>190</v>
      </c>
      <c r="Y64" s="15">
        <v>1.75</v>
      </c>
      <c r="Z64" s="12" t="s">
        <v>191</v>
      </c>
    </row>
    <row r="65" spans="2:26" ht="16.5" x14ac:dyDescent="0.3">
      <c r="B65" s="32" t="s">
        <v>130</v>
      </c>
      <c r="C65" s="38">
        <v>1.7</v>
      </c>
      <c r="D65" s="38">
        <v>1.7</v>
      </c>
      <c r="E65" s="38">
        <v>1.75</v>
      </c>
      <c r="F65" s="38">
        <v>1.8</v>
      </c>
      <c r="G65" s="38"/>
      <c r="H65" s="38"/>
      <c r="I65" s="38"/>
      <c r="J65" s="38"/>
      <c r="K65" s="38"/>
      <c r="L65" s="32" t="s">
        <v>44</v>
      </c>
      <c r="M65" s="49">
        <v>11</v>
      </c>
      <c r="N65" s="35" t="s">
        <v>131</v>
      </c>
      <c r="P65" s="76">
        <v>0.5</v>
      </c>
      <c r="Q65" s="76"/>
      <c r="R65" s="76">
        <v>2.5</v>
      </c>
      <c r="S65" s="76"/>
      <c r="X65" s="12" t="s">
        <v>192</v>
      </c>
      <c r="Y65" s="16">
        <v>3.8999999999999998E-3</v>
      </c>
      <c r="Z65" s="12" t="s">
        <v>193</v>
      </c>
    </row>
    <row r="66" spans="2:26" ht="16.5" x14ac:dyDescent="0.3">
      <c r="B66" s="32" t="s">
        <v>132</v>
      </c>
      <c r="C66" s="38">
        <v>1.7</v>
      </c>
      <c r="D66" s="38">
        <v>1.7</v>
      </c>
      <c r="E66" s="38">
        <v>1.7</v>
      </c>
      <c r="F66" s="38">
        <v>1.7</v>
      </c>
      <c r="G66" s="38"/>
      <c r="H66" s="38"/>
      <c r="I66" s="38"/>
      <c r="J66" s="38"/>
      <c r="K66" s="38"/>
      <c r="L66" s="32" t="s">
        <v>44</v>
      </c>
      <c r="M66" s="49">
        <v>12</v>
      </c>
      <c r="N66" s="35" t="s">
        <v>133</v>
      </c>
      <c r="P66" s="76">
        <v>0.8</v>
      </c>
      <c r="Q66" s="76"/>
      <c r="R66" s="76">
        <v>1.42</v>
      </c>
      <c r="S66" s="76"/>
      <c r="X66" s="12" t="s">
        <v>194</v>
      </c>
      <c r="Y66" s="17">
        <v>45</v>
      </c>
      <c r="Z66" s="12" t="s">
        <v>48</v>
      </c>
    </row>
    <row r="67" spans="2:26" ht="16.5" x14ac:dyDescent="0.3">
      <c r="B67" s="32" t="s">
        <v>72</v>
      </c>
      <c r="C67" s="42">
        <v>100</v>
      </c>
      <c r="D67" s="42">
        <v>100</v>
      </c>
      <c r="E67" s="42">
        <v>100</v>
      </c>
      <c r="F67" s="42">
        <v>100</v>
      </c>
      <c r="G67" s="42"/>
      <c r="H67" s="42"/>
      <c r="I67" s="42"/>
      <c r="J67" s="42"/>
      <c r="K67" s="42"/>
      <c r="L67" s="32" t="s">
        <v>7</v>
      </c>
      <c r="M67" s="49"/>
      <c r="N67" s="35"/>
      <c r="P67" s="76">
        <v>1</v>
      </c>
      <c r="Q67" s="76">
        <v>2</v>
      </c>
      <c r="R67" s="76">
        <v>1.4</v>
      </c>
      <c r="S67" s="76"/>
      <c r="X67" s="12" t="s">
        <v>195</v>
      </c>
      <c r="Y67" s="16">
        <f>Y64*(1+Y65*(Y66-20))</f>
        <v>1.9206249999999998</v>
      </c>
      <c r="Z67" s="12" t="s">
        <v>191</v>
      </c>
    </row>
    <row r="68" spans="2:26" ht="16.5" x14ac:dyDescent="0.3">
      <c r="B68" s="32" t="s">
        <v>134</v>
      </c>
      <c r="C68" s="42">
        <f t="shared" ref="C68:F68" si="48">C18</f>
        <v>30</v>
      </c>
      <c r="D68" s="42">
        <f t="shared" si="48"/>
        <v>30</v>
      </c>
      <c r="E68" s="42">
        <f t="shared" si="48"/>
        <v>30</v>
      </c>
      <c r="F68" s="42">
        <f t="shared" si="48"/>
        <v>30</v>
      </c>
      <c r="G68" s="42"/>
      <c r="H68" s="42"/>
      <c r="I68" s="42"/>
      <c r="J68" s="42"/>
      <c r="K68" s="42"/>
      <c r="L68" s="32" t="s">
        <v>79</v>
      </c>
      <c r="M68" s="49"/>
      <c r="N68" s="32"/>
      <c r="P68" s="76">
        <v>1.2</v>
      </c>
      <c r="Q68" s="76"/>
      <c r="R68" s="76">
        <v>1.04</v>
      </c>
      <c r="S68" s="76"/>
      <c r="X68" s="12" t="s">
        <v>196</v>
      </c>
      <c r="Y68" s="18">
        <f>1/(Y67/100000000)</f>
        <v>52066384.64041654</v>
      </c>
      <c r="Z68" s="12" t="s">
        <v>197</v>
      </c>
    </row>
    <row r="69" spans="2:26" ht="16.5" x14ac:dyDescent="0.3">
      <c r="B69" s="32" t="s">
        <v>135</v>
      </c>
      <c r="C69" s="42">
        <f t="shared" ref="C69:F69" si="49">ROUNDUP((C64*C65*((C67*180/100-C68)/180))/2,0)</f>
        <v>531</v>
      </c>
      <c r="D69" s="42">
        <f t="shared" si="49"/>
        <v>714</v>
      </c>
      <c r="E69" s="42">
        <f t="shared" si="49"/>
        <v>747</v>
      </c>
      <c r="F69" s="42">
        <f t="shared" si="49"/>
        <v>859</v>
      </c>
      <c r="G69" s="42"/>
      <c r="H69" s="42"/>
      <c r="I69" s="42"/>
      <c r="J69" s="42"/>
      <c r="K69" s="42"/>
      <c r="L69" s="32" t="s">
        <v>6</v>
      </c>
      <c r="M69" s="49"/>
      <c r="N69" s="32"/>
      <c r="P69" s="76">
        <v>2</v>
      </c>
      <c r="Q69" s="76">
        <v>1.1200000000000001</v>
      </c>
      <c r="R69" s="76">
        <v>0.75</v>
      </c>
      <c r="S69" s="76"/>
      <c r="X69" s="12" t="s">
        <v>198</v>
      </c>
      <c r="Y69" s="3">
        <v>1</v>
      </c>
      <c r="Z69" s="12" t="s">
        <v>199</v>
      </c>
    </row>
    <row r="70" spans="2:26" ht="16.5" x14ac:dyDescent="0.3">
      <c r="B70" s="32" t="s">
        <v>136</v>
      </c>
      <c r="C70" s="42">
        <f t="shared" ref="C70:F70" si="50">ROUNDUP((C64*C66*(1-(C67*180/100-C68)/180))/2,0)</f>
        <v>107</v>
      </c>
      <c r="D70" s="42">
        <f t="shared" si="50"/>
        <v>143</v>
      </c>
      <c r="E70" s="42">
        <f t="shared" si="50"/>
        <v>145</v>
      </c>
      <c r="F70" s="42">
        <f t="shared" si="50"/>
        <v>163</v>
      </c>
      <c r="G70" s="42"/>
      <c r="H70" s="42"/>
      <c r="I70" s="42"/>
      <c r="J70" s="42"/>
      <c r="K70" s="42"/>
      <c r="L70" s="32" t="s">
        <v>6</v>
      </c>
      <c r="M70" s="49"/>
      <c r="N70" s="32"/>
      <c r="P70" s="76">
        <v>3</v>
      </c>
      <c r="Q70" s="76">
        <v>0.71</v>
      </c>
      <c r="R70" s="76">
        <v>0.57999999999999996</v>
      </c>
      <c r="S70" s="76"/>
      <c r="X70" s="12" t="s">
        <v>231</v>
      </c>
      <c r="Y70" s="26">
        <v>6126</v>
      </c>
      <c r="Z70" s="12" t="s">
        <v>201</v>
      </c>
    </row>
    <row r="71" spans="2:26" ht="16.5" x14ac:dyDescent="0.3">
      <c r="B71" s="32" t="s">
        <v>69</v>
      </c>
      <c r="C71" s="43">
        <f t="shared" ref="C71:F71" si="51">ROUNDUP(((C64*C65*(((C67*180/100-C68)/180))+(C64*C66*(1-(C67*180/100-C68)/180))))/2,0)</f>
        <v>637</v>
      </c>
      <c r="D71" s="43">
        <f t="shared" si="51"/>
        <v>856</v>
      </c>
      <c r="E71" s="43">
        <f t="shared" si="51"/>
        <v>892</v>
      </c>
      <c r="F71" s="43">
        <f t="shared" si="51"/>
        <v>1021</v>
      </c>
      <c r="G71" s="43"/>
      <c r="H71" s="43"/>
      <c r="I71" s="43"/>
      <c r="J71" s="43"/>
      <c r="K71" s="43"/>
      <c r="L71" s="32" t="s">
        <v>6</v>
      </c>
      <c r="M71" s="49"/>
      <c r="N71" s="32"/>
      <c r="P71" s="76">
        <v>5</v>
      </c>
      <c r="Q71" s="76">
        <v>0.43</v>
      </c>
      <c r="R71" s="76">
        <v>0.36</v>
      </c>
      <c r="S71" s="76"/>
      <c r="X71" s="12" t="s">
        <v>257</v>
      </c>
      <c r="Y71" s="26">
        <v>2</v>
      </c>
      <c r="Z71" s="12" t="s">
        <v>201</v>
      </c>
    </row>
    <row r="72" spans="2:26" ht="16.5" x14ac:dyDescent="0.3">
      <c r="B72" s="32" t="s">
        <v>276</v>
      </c>
      <c r="C72" s="42">
        <f t="shared" ref="C72:F72" si="52">C63+C69</f>
        <v>5966.7897502725418</v>
      </c>
      <c r="D72" s="42">
        <f t="shared" si="52"/>
        <v>6101.1539112350965</v>
      </c>
      <c r="E72" s="42">
        <f t="shared" si="52"/>
        <v>6304.2062040823967</v>
      </c>
      <c r="F72" s="42">
        <f t="shared" si="52"/>
        <v>6625.3431922025948</v>
      </c>
      <c r="G72" s="42"/>
      <c r="H72" s="42"/>
      <c r="I72" s="42"/>
      <c r="J72" s="42"/>
      <c r="K72" s="42"/>
      <c r="L72" s="32" t="s">
        <v>6</v>
      </c>
      <c r="M72" s="49"/>
      <c r="N72" s="32"/>
      <c r="P72" s="76">
        <v>6</v>
      </c>
      <c r="Q72" s="76"/>
      <c r="R72" s="76">
        <v>0.34</v>
      </c>
      <c r="S72" s="76">
        <v>0.62</v>
      </c>
      <c r="X72" s="12" t="s">
        <v>253</v>
      </c>
      <c r="Y72" s="26">
        <v>60</v>
      </c>
      <c r="Z72" s="12" t="s">
        <v>201</v>
      </c>
    </row>
    <row r="73" spans="2:26" ht="16.5" x14ac:dyDescent="0.3">
      <c r="B73" s="32" t="s">
        <v>277</v>
      </c>
      <c r="C73" s="42">
        <f t="shared" ref="C73:F73" si="53">C70+C61</f>
        <v>107</v>
      </c>
      <c r="D73" s="42">
        <f t="shared" si="53"/>
        <v>143</v>
      </c>
      <c r="E73" s="42">
        <f t="shared" si="53"/>
        <v>145</v>
      </c>
      <c r="F73" s="42">
        <f t="shared" si="53"/>
        <v>163</v>
      </c>
      <c r="G73" s="42"/>
      <c r="H73" s="42"/>
      <c r="I73" s="42"/>
      <c r="J73" s="42"/>
      <c r="K73" s="42"/>
      <c r="L73" s="32" t="s">
        <v>6</v>
      </c>
      <c r="M73" s="49"/>
      <c r="N73" s="32"/>
      <c r="P73" s="76">
        <v>8</v>
      </c>
      <c r="Q73" s="76">
        <v>0.3</v>
      </c>
      <c r="R73" s="76">
        <v>0.25</v>
      </c>
      <c r="S73" s="76"/>
      <c r="X73" s="12" t="s">
        <v>252</v>
      </c>
      <c r="Y73" s="27">
        <f>Y71*Y72</f>
        <v>120</v>
      </c>
      <c r="Z73" s="12" t="s">
        <v>227</v>
      </c>
    </row>
    <row r="74" spans="2:26" ht="16.5" x14ac:dyDescent="0.3">
      <c r="B74" s="32" t="s">
        <v>284</v>
      </c>
      <c r="C74" s="43">
        <f t="shared" ref="C74:F74" si="54">ROUNDUP((C54+C63+C71),0)</f>
        <v>6080</v>
      </c>
      <c r="D74" s="43">
        <f t="shared" si="54"/>
        <v>6250</v>
      </c>
      <c r="E74" s="43">
        <f t="shared" si="54"/>
        <v>6456</v>
      </c>
      <c r="F74" s="43">
        <f t="shared" si="54"/>
        <v>6794</v>
      </c>
      <c r="G74" s="43"/>
      <c r="H74" s="43"/>
      <c r="I74" s="43"/>
      <c r="J74" s="43"/>
      <c r="K74" s="43"/>
      <c r="L74" s="32" t="s">
        <v>6</v>
      </c>
      <c r="M74" s="49"/>
      <c r="N74" s="32"/>
      <c r="P74" s="76">
        <v>10</v>
      </c>
      <c r="Q74" s="76"/>
      <c r="R74" s="76"/>
      <c r="S74" s="76">
        <v>0.45</v>
      </c>
      <c r="X74" s="12" t="s">
        <v>232</v>
      </c>
      <c r="Y74" s="26">
        <v>850</v>
      </c>
      <c r="Z74" s="4" t="s">
        <v>228</v>
      </c>
    </row>
    <row r="75" spans="2:26" ht="16.5" x14ac:dyDescent="0.3">
      <c r="B75" s="32" t="s">
        <v>137</v>
      </c>
      <c r="C75" s="38">
        <v>1</v>
      </c>
      <c r="D75" s="38">
        <v>1</v>
      </c>
      <c r="E75" s="38">
        <v>1</v>
      </c>
      <c r="F75" s="38">
        <v>1</v>
      </c>
      <c r="G75" s="38"/>
      <c r="H75" s="38"/>
      <c r="I75" s="38"/>
      <c r="J75" s="38"/>
      <c r="K75" s="38"/>
      <c r="L75" s="32"/>
      <c r="M75" s="49">
        <v>13</v>
      </c>
      <c r="N75" s="35" t="s">
        <v>283</v>
      </c>
      <c r="P75" s="76">
        <v>15</v>
      </c>
      <c r="Q75" s="76"/>
      <c r="R75" s="76"/>
      <c r="S75" s="76">
        <v>0.4</v>
      </c>
      <c r="X75" s="12" t="s">
        <v>491</v>
      </c>
      <c r="Y75" s="28">
        <f>Y74/Y73</f>
        <v>7.083333333333333</v>
      </c>
      <c r="Z75" s="4" t="s">
        <v>228</v>
      </c>
    </row>
    <row r="76" spans="2:26" ht="16.5" x14ac:dyDescent="0.3">
      <c r="B76" s="32" t="s">
        <v>70</v>
      </c>
      <c r="C76" s="44">
        <f t="shared" ref="C76:F76" si="55">C74*C75</f>
        <v>6080</v>
      </c>
      <c r="D76" s="44">
        <f t="shared" si="55"/>
        <v>6250</v>
      </c>
      <c r="E76" s="44">
        <f t="shared" si="55"/>
        <v>6456</v>
      </c>
      <c r="F76" s="44">
        <f t="shared" si="55"/>
        <v>6794</v>
      </c>
      <c r="G76" s="44"/>
      <c r="H76" s="44"/>
      <c r="I76" s="44"/>
      <c r="J76" s="44"/>
      <c r="K76" s="44"/>
      <c r="L76" s="32" t="s">
        <v>46</v>
      </c>
      <c r="M76" s="49"/>
      <c r="N76" s="32"/>
      <c r="P76" s="76">
        <v>20</v>
      </c>
      <c r="Q76" s="76"/>
      <c r="R76" s="76"/>
      <c r="S76" s="76">
        <v>0.35</v>
      </c>
      <c r="X76" s="12" t="s">
        <v>233</v>
      </c>
      <c r="Y76" s="28">
        <f>Y67/100000000*(Y74^2)/(Y73/1000000)*Y70/1000</f>
        <v>708.39612265624987</v>
      </c>
      <c r="Z76" s="4" t="s">
        <v>229</v>
      </c>
    </row>
    <row r="77" spans="2:26" ht="16.5" x14ac:dyDescent="0.3">
      <c r="B77" s="32" t="s">
        <v>43</v>
      </c>
      <c r="C77" s="45">
        <v>19000</v>
      </c>
      <c r="D77" s="45">
        <v>19000</v>
      </c>
      <c r="E77" s="45">
        <v>19000</v>
      </c>
      <c r="F77" s="45">
        <v>19000</v>
      </c>
      <c r="G77" s="45"/>
      <c r="H77" s="45"/>
      <c r="I77" s="45"/>
      <c r="J77" s="45"/>
      <c r="K77" s="45"/>
      <c r="L77" s="32" t="s">
        <v>6</v>
      </c>
      <c r="M77" s="49">
        <v>14</v>
      </c>
      <c r="N77" s="35" t="s">
        <v>117</v>
      </c>
      <c r="P77" s="76">
        <v>30</v>
      </c>
      <c r="Q77" s="76"/>
      <c r="R77" s="76"/>
      <c r="S77" s="76">
        <v>0.28939999999999999</v>
      </c>
    </row>
    <row r="78" spans="2:26" ht="16.5" x14ac:dyDescent="0.3">
      <c r="B78" s="32" t="s">
        <v>281</v>
      </c>
      <c r="C78" s="44">
        <f t="shared" ref="C78:F78" si="56">ROUNDUP(C76/C77*100,0)</f>
        <v>32</v>
      </c>
      <c r="D78" s="44">
        <f t="shared" si="56"/>
        <v>33</v>
      </c>
      <c r="E78" s="44">
        <f t="shared" si="56"/>
        <v>34</v>
      </c>
      <c r="F78" s="44">
        <f t="shared" si="56"/>
        <v>36</v>
      </c>
      <c r="G78" s="44"/>
      <c r="H78" s="44"/>
      <c r="I78" s="44"/>
      <c r="J78" s="44"/>
      <c r="K78" s="44"/>
      <c r="L78" s="32" t="s">
        <v>7</v>
      </c>
      <c r="M78" s="49"/>
      <c r="N78" s="35" t="s">
        <v>282</v>
      </c>
      <c r="P78" s="76">
        <v>50</v>
      </c>
      <c r="Q78" s="76"/>
      <c r="R78" s="76"/>
      <c r="S78" s="76">
        <v>0.224</v>
      </c>
    </row>
    <row r="79" spans="2:26" ht="16.5" x14ac:dyDescent="0.3">
      <c r="B79" s="32" t="s">
        <v>138</v>
      </c>
      <c r="C79" s="64">
        <v>8.0000000000000002E-3</v>
      </c>
      <c r="D79" s="64">
        <v>8.0000000000000002E-3</v>
      </c>
      <c r="E79" s="64">
        <v>8.0000000000000002E-3</v>
      </c>
      <c r="F79" s="64">
        <v>8.0000000000000002E-3</v>
      </c>
      <c r="G79" s="64"/>
      <c r="H79" s="64"/>
      <c r="I79" s="64"/>
      <c r="J79" s="64"/>
      <c r="K79" s="64"/>
      <c r="L79" s="32" t="s">
        <v>58</v>
      </c>
      <c r="M79" s="49">
        <v>15</v>
      </c>
      <c r="N79" s="53" t="s">
        <v>117</v>
      </c>
      <c r="P79" s="76">
        <v>100</v>
      </c>
      <c r="Q79" s="76"/>
      <c r="R79" s="76"/>
      <c r="S79" s="76">
        <v>0.161</v>
      </c>
    </row>
    <row r="80" spans="2:26" ht="16.5" x14ac:dyDescent="0.3">
      <c r="B80" s="32" t="s">
        <v>265</v>
      </c>
      <c r="C80" s="64">
        <v>1.35E-2</v>
      </c>
      <c r="D80" s="64">
        <v>1.35E-2</v>
      </c>
      <c r="E80" s="64">
        <v>1.35E-2</v>
      </c>
      <c r="F80" s="64">
        <v>1.35E-2</v>
      </c>
      <c r="G80" s="64"/>
      <c r="H80" s="64"/>
      <c r="I80" s="64"/>
      <c r="J80" s="64"/>
      <c r="K80" s="64"/>
      <c r="L80" s="32" t="s">
        <v>58</v>
      </c>
      <c r="M80" s="49">
        <v>16</v>
      </c>
      <c r="N80" s="53" t="s">
        <v>117</v>
      </c>
      <c r="P80" s="76">
        <v>200</v>
      </c>
      <c r="Q80" s="76"/>
      <c r="R80" s="76"/>
      <c r="S80" s="76">
        <v>7.7600000000000002E-2</v>
      </c>
    </row>
    <row r="81" spans="2:22" ht="16.5" x14ac:dyDescent="0.3">
      <c r="B81" s="32" t="s">
        <v>139</v>
      </c>
      <c r="C81" s="36">
        <f t="shared" ref="C81:F82" si="57">125-C79*C72</f>
        <v>77.265681997819655</v>
      </c>
      <c r="D81" s="36">
        <f t="shared" si="57"/>
        <v>76.190768710119229</v>
      </c>
      <c r="E81" s="36">
        <f t="shared" si="57"/>
        <v>74.566350367340817</v>
      </c>
      <c r="F81" s="36">
        <f t="shared" si="57"/>
        <v>71.997254462379232</v>
      </c>
      <c r="G81" s="36"/>
      <c r="H81" s="36"/>
      <c r="I81" s="36"/>
      <c r="J81" s="36"/>
      <c r="K81" s="36"/>
      <c r="L81" s="37" t="s">
        <v>59</v>
      </c>
      <c r="M81" s="49"/>
      <c r="N81" s="35" t="s">
        <v>140</v>
      </c>
      <c r="P81" s="76">
        <v>300</v>
      </c>
      <c r="Q81" s="76"/>
      <c r="R81" s="76"/>
      <c r="S81" s="76">
        <v>5.2400000000000002E-2</v>
      </c>
    </row>
    <row r="82" spans="2:22" ht="16.5" x14ac:dyDescent="0.3">
      <c r="B82" s="32" t="s">
        <v>141</v>
      </c>
      <c r="C82" s="55">
        <f t="shared" si="57"/>
        <v>123.55549999999999</v>
      </c>
      <c r="D82" s="55">
        <f t="shared" si="57"/>
        <v>123.06950000000001</v>
      </c>
      <c r="E82" s="55">
        <f t="shared" si="57"/>
        <v>123.0425</v>
      </c>
      <c r="F82" s="55">
        <f t="shared" si="57"/>
        <v>122.79949999999999</v>
      </c>
      <c r="G82" s="55"/>
      <c r="H82" s="55"/>
      <c r="I82" s="55"/>
      <c r="J82" s="55"/>
      <c r="K82" s="55"/>
      <c r="L82" s="37" t="s">
        <v>59</v>
      </c>
      <c r="M82" s="49"/>
      <c r="N82" s="32"/>
    </row>
    <row r="83" spans="2:22" ht="16.5" x14ac:dyDescent="0.3">
      <c r="B83" s="32" t="s">
        <v>142</v>
      </c>
      <c r="C83" s="55">
        <f t="shared" ref="C83:F84" si="58">C79*C72</f>
        <v>47.734318002180338</v>
      </c>
      <c r="D83" s="55">
        <f t="shared" si="58"/>
        <v>48.809231289880771</v>
      </c>
      <c r="E83" s="55">
        <f t="shared" si="58"/>
        <v>50.433649632659176</v>
      </c>
      <c r="F83" s="55">
        <f t="shared" si="58"/>
        <v>53.002745537620761</v>
      </c>
      <c r="G83" s="55"/>
      <c r="H83" s="55"/>
      <c r="I83" s="55"/>
      <c r="J83" s="55"/>
      <c r="K83" s="55"/>
      <c r="L83" s="37" t="s">
        <v>59</v>
      </c>
      <c r="M83" s="49"/>
      <c r="N83" s="32"/>
      <c r="P83" s="209" t="s">
        <v>472</v>
      </c>
      <c r="Q83" s="209"/>
      <c r="R83" s="209"/>
      <c r="T83" s="209" t="s">
        <v>507</v>
      </c>
      <c r="U83" s="209"/>
      <c r="V83" s="209"/>
    </row>
    <row r="84" spans="2:22" ht="16.5" x14ac:dyDescent="0.3">
      <c r="B84" s="32" t="s">
        <v>143</v>
      </c>
      <c r="C84" s="55">
        <f t="shared" si="58"/>
        <v>1.4444999999999999</v>
      </c>
      <c r="D84" s="55">
        <f t="shared" si="58"/>
        <v>1.9304999999999999</v>
      </c>
      <c r="E84" s="55">
        <f t="shared" si="58"/>
        <v>1.9575</v>
      </c>
      <c r="F84" s="55">
        <f t="shared" si="58"/>
        <v>2.2004999999999999</v>
      </c>
      <c r="G84" s="55"/>
      <c r="H84" s="55"/>
      <c r="I84" s="55"/>
      <c r="J84" s="55"/>
      <c r="K84" s="55"/>
      <c r="L84" s="37" t="s">
        <v>59</v>
      </c>
      <c r="M84" s="49"/>
      <c r="N84" s="32"/>
      <c r="P84" s="79" t="s">
        <v>471</v>
      </c>
      <c r="Q84" s="79" t="s">
        <v>477</v>
      </c>
      <c r="R84" s="79"/>
      <c r="T84" s="79" t="s">
        <v>508</v>
      </c>
      <c r="U84" s="79" t="s">
        <v>509</v>
      </c>
      <c r="V84" s="79" t="s">
        <v>510</v>
      </c>
    </row>
    <row r="85" spans="2:22" ht="16.5" x14ac:dyDescent="0.3">
      <c r="B85" s="32" t="s">
        <v>144</v>
      </c>
      <c r="C85" s="64">
        <v>0.03</v>
      </c>
      <c r="D85" s="64">
        <v>0.03</v>
      </c>
      <c r="E85" s="64">
        <v>0.03</v>
      </c>
      <c r="F85" s="64">
        <v>0.03</v>
      </c>
      <c r="G85" s="64"/>
      <c r="H85" s="64"/>
      <c r="I85" s="64"/>
      <c r="J85" s="64"/>
      <c r="K85" s="64"/>
      <c r="L85" s="32" t="s">
        <v>58</v>
      </c>
      <c r="M85" s="49">
        <v>17</v>
      </c>
      <c r="N85" s="32" t="s">
        <v>117</v>
      </c>
      <c r="P85" s="48" t="s">
        <v>469</v>
      </c>
      <c r="Q85" s="48">
        <v>183</v>
      </c>
      <c r="R85" s="48" t="s">
        <v>473</v>
      </c>
      <c r="T85" s="65" t="s">
        <v>511</v>
      </c>
      <c r="U85" s="65" t="s">
        <v>512</v>
      </c>
      <c r="V85" s="111" t="s">
        <v>513</v>
      </c>
    </row>
    <row r="86" spans="2:22" ht="16.5" x14ac:dyDescent="0.3">
      <c r="B86" s="32" t="s">
        <v>145</v>
      </c>
      <c r="C86" s="64">
        <v>0.06</v>
      </c>
      <c r="D86" s="64">
        <v>0.06</v>
      </c>
      <c r="E86" s="64">
        <v>0.06</v>
      </c>
      <c r="F86" s="64">
        <v>0.06</v>
      </c>
      <c r="G86" s="64"/>
      <c r="H86" s="64"/>
      <c r="I86" s="64"/>
      <c r="J86" s="64"/>
      <c r="K86" s="64"/>
      <c r="L86" s="32" t="s">
        <v>58</v>
      </c>
      <c r="M86" s="49">
        <v>18</v>
      </c>
      <c r="N86" s="32" t="s">
        <v>117</v>
      </c>
      <c r="P86" s="48" t="s">
        <v>470</v>
      </c>
      <c r="Q86" s="48">
        <v>75</v>
      </c>
      <c r="R86" s="48" t="s">
        <v>473</v>
      </c>
      <c r="T86" s="65" t="s">
        <v>514</v>
      </c>
      <c r="U86" s="65" t="s">
        <v>515</v>
      </c>
      <c r="V86" s="111" t="s">
        <v>520</v>
      </c>
    </row>
    <row r="87" spans="2:22" ht="16.5" x14ac:dyDescent="0.3">
      <c r="B87" s="32" t="s">
        <v>146</v>
      </c>
      <c r="C87" s="56">
        <f t="shared" ref="C87:F88" si="59">C81-C85*C72</f>
        <v>-101.73801051035659</v>
      </c>
      <c r="D87" s="56">
        <f t="shared" si="59"/>
        <v>-106.84384862693365</v>
      </c>
      <c r="E87" s="56">
        <f t="shared" si="59"/>
        <v>-114.55983575513108</v>
      </c>
      <c r="F87" s="56">
        <f t="shared" si="59"/>
        <v>-126.7630413036986</v>
      </c>
      <c r="G87" s="56"/>
      <c r="H87" s="56"/>
      <c r="I87" s="56"/>
      <c r="J87" s="56"/>
      <c r="K87" s="56"/>
      <c r="L87" s="37" t="s">
        <v>59</v>
      </c>
      <c r="M87" s="49"/>
      <c r="N87" s="32" t="s">
        <v>140</v>
      </c>
      <c r="P87" s="48" t="s">
        <v>474</v>
      </c>
      <c r="Q87" s="48">
        <v>9</v>
      </c>
      <c r="R87" s="48" t="s">
        <v>473</v>
      </c>
      <c r="T87" s="65" t="s">
        <v>516</v>
      </c>
      <c r="U87" s="65" t="s">
        <v>521</v>
      </c>
      <c r="V87" s="111" t="s">
        <v>522</v>
      </c>
    </row>
    <row r="88" spans="2:22" ht="16.5" x14ac:dyDescent="0.3">
      <c r="B88" s="32" t="s">
        <v>147</v>
      </c>
      <c r="C88" s="55">
        <f t="shared" si="59"/>
        <v>117.13549999999999</v>
      </c>
      <c r="D88" s="55">
        <f t="shared" si="59"/>
        <v>114.48950000000001</v>
      </c>
      <c r="E88" s="55">
        <f t="shared" si="59"/>
        <v>114.3425</v>
      </c>
      <c r="F88" s="55">
        <f t="shared" si="59"/>
        <v>113.01949999999999</v>
      </c>
      <c r="G88" s="55"/>
      <c r="H88" s="55"/>
      <c r="I88" s="55"/>
      <c r="J88" s="55"/>
      <c r="K88" s="55"/>
      <c r="L88" s="37" t="s">
        <v>59</v>
      </c>
      <c r="M88" s="49"/>
      <c r="N88" s="32"/>
      <c r="P88" s="48" t="s">
        <v>475</v>
      </c>
      <c r="Q88" s="48">
        <v>6</v>
      </c>
      <c r="R88" s="48" t="s">
        <v>473</v>
      </c>
      <c r="T88" s="65" t="s">
        <v>517</v>
      </c>
      <c r="U88" s="65" t="s">
        <v>523</v>
      </c>
      <c r="V88" s="111" t="s">
        <v>524</v>
      </c>
    </row>
    <row r="89" spans="2:22" ht="16.5" x14ac:dyDescent="0.3">
      <c r="B89" s="32" t="s">
        <v>148</v>
      </c>
      <c r="C89" s="55">
        <f t="shared" ref="C89:F90" si="60">C85*C72</f>
        <v>179.00369250817624</v>
      </c>
      <c r="D89" s="55">
        <f t="shared" si="60"/>
        <v>183.03461733705288</v>
      </c>
      <c r="E89" s="55">
        <f t="shared" si="60"/>
        <v>189.12618612247189</v>
      </c>
      <c r="F89" s="55">
        <f t="shared" si="60"/>
        <v>198.76029576607783</v>
      </c>
      <c r="G89" s="55"/>
      <c r="H89" s="55"/>
      <c r="I89" s="55"/>
      <c r="J89" s="55"/>
      <c r="K89" s="55"/>
      <c r="L89" s="37" t="s">
        <v>59</v>
      </c>
      <c r="M89" s="49"/>
      <c r="N89" s="32"/>
      <c r="P89" s="48" t="s">
        <v>476</v>
      </c>
      <c r="Q89" s="48">
        <v>12</v>
      </c>
      <c r="R89" s="48" t="s">
        <v>473</v>
      </c>
      <c r="T89" s="65" t="s">
        <v>518</v>
      </c>
      <c r="U89" s="65" t="s">
        <v>525</v>
      </c>
      <c r="V89" s="111" t="s">
        <v>526</v>
      </c>
    </row>
    <row r="90" spans="2:22" ht="16.5" x14ac:dyDescent="0.3">
      <c r="B90" s="32" t="s">
        <v>149</v>
      </c>
      <c r="C90" s="55">
        <f t="shared" si="60"/>
        <v>6.42</v>
      </c>
      <c r="D90" s="55">
        <f t="shared" si="60"/>
        <v>8.58</v>
      </c>
      <c r="E90" s="55">
        <f t="shared" si="60"/>
        <v>8.6999999999999993</v>
      </c>
      <c r="F90" s="55">
        <f t="shared" si="60"/>
        <v>9.7799999999999994</v>
      </c>
      <c r="G90" s="55"/>
      <c r="H90" s="55"/>
      <c r="I90" s="55"/>
      <c r="J90" s="55"/>
      <c r="K90" s="55"/>
      <c r="L90" s="37" t="s">
        <v>59</v>
      </c>
      <c r="M90" s="49"/>
      <c r="N90" s="32"/>
      <c r="P90" s="48" t="s">
        <v>663</v>
      </c>
      <c r="Q90" s="48">
        <v>78.540000000000006</v>
      </c>
      <c r="R90" s="48" t="s">
        <v>473</v>
      </c>
      <c r="T90" s="65" t="s">
        <v>519</v>
      </c>
      <c r="U90" s="65" t="s">
        <v>527</v>
      </c>
      <c r="V90" s="111" t="s">
        <v>528</v>
      </c>
    </row>
    <row r="91" spans="2:22" ht="16.5" x14ac:dyDescent="0.3">
      <c r="B91" s="32" t="s">
        <v>60</v>
      </c>
      <c r="C91" s="55">
        <v>60</v>
      </c>
      <c r="D91" s="55">
        <v>60</v>
      </c>
      <c r="E91" s="55">
        <v>60</v>
      </c>
      <c r="F91" s="55">
        <v>60</v>
      </c>
      <c r="G91" s="55"/>
      <c r="H91" s="55"/>
      <c r="I91" s="55"/>
      <c r="J91" s="55"/>
      <c r="K91" s="55"/>
      <c r="L91" s="37" t="s">
        <v>59</v>
      </c>
      <c r="M91" s="49"/>
      <c r="N91" s="32" t="s">
        <v>150</v>
      </c>
    </row>
    <row r="92" spans="2:22" ht="16.5" x14ac:dyDescent="0.3">
      <c r="B92" s="32" t="s">
        <v>61</v>
      </c>
      <c r="C92" s="54">
        <v>8</v>
      </c>
      <c r="D92" s="54">
        <v>8</v>
      </c>
      <c r="E92" s="54">
        <v>8</v>
      </c>
      <c r="F92" s="54">
        <v>8</v>
      </c>
      <c r="G92" s="54"/>
      <c r="H92" s="54"/>
      <c r="I92" s="54"/>
      <c r="J92" s="54"/>
      <c r="K92" s="54"/>
      <c r="L92" s="37" t="s">
        <v>62</v>
      </c>
      <c r="M92" s="49"/>
      <c r="N92" s="32" t="s">
        <v>151</v>
      </c>
    </row>
    <row r="93" spans="2:22" ht="16.5" x14ac:dyDescent="0.3">
      <c r="B93" s="32" t="s">
        <v>63</v>
      </c>
      <c r="C93" s="40">
        <f t="shared" ref="C93:F93" si="61">C91-(C76/1000*860/C92/60)</f>
        <v>49.106666666666669</v>
      </c>
      <c r="D93" s="40">
        <f t="shared" si="61"/>
        <v>48.802083333333336</v>
      </c>
      <c r="E93" s="40">
        <f t="shared" si="61"/>
        <v>48.433</v>
      </c>
      <c r="F93" s="40">
        <f t="shared" si="61"/>
        <v>47.827416666666664</v>
      </c>
      <c r="G93" s="40"/>
      <c r="H93" s="40"/>
      <c r="I93" s="40"/>
      <c r="J93" s="40"/>
      <c r="K93" s="40"/>
      <c r="L93" s="37" t="s">
        <v>59</v>
      </c>
      <c r="M93" s="49"/>
      <c r="N93" s="32"/>
    </row>
  </sheetData>
  <mergeCells count="27">
    <mergeCell ref="C1:F1"/>
    <mergeCell ref="H1:K1"/>
    <mergeCell ref="P30:R30"/>
    <mergeCell ref="P3:R3"/>
    <mergeCell ref="T3:V3"/>
    <mergeCell ref="P17:R17"/>
    <mergeCell ref="X3:Z3"/>
    <mergeCell ref="AB3:AD3"/>
    <mergeCell ref="T10:V10"/>
    <mergeCell ref="AB10:AD10"/>
    <mergeCell ref="T16:V16"/>
    <mergeCell ref="AB20:AD20"/>
    <mergeCell ref="T22:V22"/>
    <mergeCell ref="X23:Z23"/>
    <mergeCell ref="P83:R83"/>
    <mergeCell ref="T83:V83"/>
    <mergeCell ref="U33:V33"/>
    <mergeCell ref="AB33:AD33"/>
    <mergeCell ref="AB39:AD39"/>
    <mergeCell ref="P41:R41"/>
    <mergeCell ref="X42:Z42"/>
    <mergeCell ref="T45:V45"/>
    <mergeCell ref="P50:R50"/>
    <mergeCell ref="T51:V51"/>
    <mergeCell ref="P56:R56"/>
    <mergeCell ref="P62:R62"/>
    <mergeCell ref="X62:Z6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>
      <selection activeCell="C28" sqref="C28"/>
    </sheetView>
  </sheetViews>
  <sheetFormatPr defaultRowHeight="13.5" x14ac:dyDescent="0.1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 x14ac:dyDescent="0.2"/>
    <row r="3" spans="2:4" ht="14.25" thickBot="1" x14ac:dyDescent="0.2">
      <c r="B3" s="66" t="s">
        <v>457</v>
      </c>
      <c r="C3" s="67" t="s">
        <v>636</v>
      </c>
      <c r="D3" s="67" t="s">
        <v>456</v>
      </c>
    </row>
    <row r="4" spans="2:4" ht="14.25" thickBot="1" x14ac:dyDescent="0.2">
      <c r="B4" s="68" t="s">
        <v>436</v>
      </c>
      <c r="C4" s="66" t="s">
        <v>650</v>
      </c>
      <c r="D4" s="66"/>
    </row>
    <row r="5" spans="2:4" x14ac:dyDescent="0.15">
      <c r="B5" s="69" t="s">
        <v>437</v>
      </c>
      <c r="C5" s="70" t="s">
        <v>647</v>
      </c>
      <c r="D5" s="70"/>
    </row>
    <row r="6" spans="2:4" x14ac:dyDescent="0.15">
      <c r="B6" s="69" t="s">
        <v>438</v>
      </c>
      <c r="C6" s="70" t="s">
        <v>661</v>
      </c>
      <c r="D6" s="70"/>
    </row>
    <row r="7" spans="2:4" x14ac:dyDescent="0.15">
      <c r="B7" s="69" t="s">
        <v>658</v>
      </c>
      <c r="C7" s="71" t="s">
        <v>657</v>
      </c>
      <c r="D7" s="71"/>
    </row>
    <row r="8" spans="2:4" x14ac:dyDescent="0.15">
      <c r="B8" s="69" t="s">
        <v>659</v>
      </c>
      <c r="C8" s="71" t="s">
        <v>660</v>
      </c>
      <c r="D8" s="71"/>
    </row>
    <row r="9" spans="2:4" x14ac:dyDescent="0.15">
      <c r="B9" s="69" t="s">
        <v>637</v>
      </c>
      <c r="C9" s="71" t="s">
        <v>649</v>
      </c>
      <c r="D9" s="71"/>
    </row>
    <row r="10" spans="2:4" x14ac:dyDescent="0.15">
      <c r="B10" s="69" t="s">
        <v>439</v>
      </c>
      <c r="C10" s="71" t="s">
        <v>648</v>
      </c>
      <c r="D10" s="71"/>
    </row>
    <row r="11" spans="2:4" x14ac:dyDescent="0.15">
      <c r="B11" s="69" t="s">
        <v>440</v>
      </c>
      <c r="C11" s="71" t="s">
        <v>627</v>
      </c>
      <c r="D11" s="71"/>
    </row>
    <row r="12" spans="2:4" x14ac:dyDescent="0.15">
      <c r="B12" s="69" t="s">
        <v>441</v>
      </c>
      <c r="C12" s="72" t="s">
        <v>531</v>
      </c>
      <c r="D12" s="72"/>
    </row>
    <row r="13" spans="2:4" x14ac:dyDescent="0.15">
      <c r="B13" s="69" t="s">
        <v>442</v>
      </c>
      <c r="C13" s="72" t="s">
        <v>530</v>
      </c>
      <c r="D13" s="72"/>
    </row>
    <row r="14" spans="2:4" x14ac:dyDescent="0.15">
      <c r="B14" s="69" t="s">
        <v>443</v>
      </c>
      <c r="C14" s="71" t="s">
        <v>633</v>
      </c>
      <c r="D14" s="71"/>
    </row>
    <row r="15" spans="2:4" x14ac:dyDescent="0.15">
      <c r="B15" s="69" t="s">
        <v>444</v>
      </c>
      <c r="C15" s="71" t="s">
        <v>675</v>
      </c>
      <c r="D15" s="71" t="s">
        <v>645</v>
      </c>
    </row>
    <row r="16" spans="2:4" x14ac:dyDescent="0.15">
      <c r="B16" s="69" t="s">
        <v>446</v>
      </c>
      <c r="C16" s="72" t="s">
        <v>638</v>
      </c>
      <c r="D16" s="72"/>
    </row>
    <row r="17" spans="2:4" x14ac:dyDescent="0.15">
      <c r="B17" s="69" t="s">
        <v>447</v>
      </c>
      <c r="C17" s="113" t="s">
        <v>639</v>
      </c>
      <c r="D17" s="72"/>
    </row>
    <row r="18" spans="2:4" x14ac:dyDescent="0.15">
      <c r="B18" s="69" t="s">
        <v>640</v>
      </c>
      <c r="C18" s="260" t="s">
        <v>674</v>
      </c>
      <c r="D18" s="72"/>
    </row>
    <row r="19" spans="2:4" x14ac:dyDescent="0.15">
      <c r="B19" s="69" t="s">
        <v>448</v>
      </c>
      <c r="C19" s="72" t="s">
        <v>662</v>
      </c>
      <c r="D19" s="72"/>
    </row>
    <row r="20" spans="2:4" x14ac:dyDescent="0.15">
      <c r="B20" s="69" t="s">
        <v>449</v>
      </c>
      <c r="C20" s="72" t="s">
        <v>667</v>
      </c>
      <c r="D20" s="72"/>
    </row>
    <row r="21" spans="2:4" ht="27" x14ac:dyDescent="0.15">
      <c r="B21" s="69" t="s">
        <v>644</v>
      </c>
      <c r="C21" s="72" t="s">
        <v>668</v>
      </c>
      <c r="D21" s="72"/>
    </row>
    <row r="22" spans="2:4" x14ac:dyDescent="0.15">
      <c r="B22" s="73" t="s">
        <v>450</v>
      </c>
      <c r="C22" s="72" t="s">
        <v>641</v>
      </c>
      <c r="D22" s="72"/>
    </row>
    <row r="23" spans="2:4" x14ac:dyDescent="0.15">
      <c r="B23" s="69" t="s">
        <v>451</v>
      </c>
      <c r="C23" s="69" t="s">
        <v>672</v>
      </c>
      <c r="D23" s="69"/>
    </row>
    <row r="24" spans="2:4" x14ac:dyDescent="0.15">
      <c r="B24" s="69" t="s">
        <v>452</v>
      </c>
      <c r="C24" s="69" t="s">
        <v>642</v>
      </c>
      <c r="D24" s="69"/>
    </row>
    <row r="25" spans="2:4" x14ac:dyDescent="0.15">
      <c r="B25" s="69" t="s">
        <v>453</v>
      </c>
      <c r="C25" s="69" t="s">
        <v>643</v>
      </c>
      <c r="D25" s="69"/>
    </row>
    <row r="26" spans="2:4" x14ac:dyDescent="0.15">
      <c r="B26" s="69" t="s">
        <v>454</v>
      </c>
      <c r="C26" s="74" t="s">
        <v>669</v>
      </c>
      <c r="D26" s="69"/>
    </row>
    <row r="27" spans="2:4" x14ac:dyDescent="0.15">
      <c r="B27" s="74" t="s">
        <v>455</v>
      </c>
      <c r="C27" s="74" t="s">
        <v>669</v>
      </c>
      <c r="D27" s="69"/>
    </row>
    <row r="28" spans="2:4" x14ac:dyDescent="0.15">
      <c r="B28" s="74" t="s">
        <v>502</v>
      </c>
      <c r="C28" s="74" t="s">
        <v>676</v>
      </c>
      <c r="D28" s="74"/>
    </row>
    <row r="29" spans="2:4" x14ac:dyDescent="0.15">
      <c r="B29" s="69" t="s">
        <v>445</v>
      </c>
      <c r="C29" s="71" t="s">
        <v>646</v>
      </c>
      <c r="D29" s="71"/>
    </row>
    <row r="30" spans="2:4" x14ac:dyDescent="0.15">
      <c r="B30" s="74" t="s">
        <v>503</v>
      </c>
      <c r="C30" s="74" t="s">
        <v>626</v>
      </c>
      <c r="D30" s="74"/>
    </row>
    <row r="31" spans="2:4" x14ac:dyDescent="0.15">
      <c r="B31" s="74" t="s">
        <v>505</v>
      </c>
      <c r="C31" s="74" t="s">
        <v>458</v>
      </c>
      <c r="D31" s="74"/>
    </row>
    <row r="32" spans="2:4" x14ac:dyDescent="0.15">
      <c r="B32" s="74" t="s">
        <v>506</v>
      </c>
      <c r="C32" s="74" t="s">
        <v>458</v>
      </c>
      <c r="D32" s="74"/>
    </row>
    <row r="33" spans="2:4" ht="14.25" thickBot="1" x14ac:dyDescent="0.2">
      <c r="B33" s="75" t="s">
        <v>504</v>
      </c>
      <c r="C33" s="75" t="s">
        <v>670</v>
      </c>
      <c r="D33" s="7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C1" workbookViewId="0">
      <selection activeCell="J36" sqref="J36"/>
    </sheetView>
  </sheetViews>
  <sheetFormatPr defaultColWidth="8.77734375" defaultRowHeight="13.5" x14ac:dyDescent="0.1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 x14ac:dyDescent="0.15">
      <c r="C2" s="229" t="s">
        <v>532</v>
      </c>
      <c r="D2" s="230"/>
      <c r="E2" s="230"/>
      <c r="F2" s="230"/>
      <c r="G2" s="231"/>
    </row>
    <row r="3" spans="3:7" ht="20.25" x14ac:dyDescent="0.15">
      <c r="C3" s="232" t="s">
        <v>533</v>
      </c>
      <c r="D3" s="232"/>
      <c r="E3" s="226" t="s">
        <v>656</v>
      </c>
      <c r="F3" s="227"/>
      <c r="G3" s="228"/>
    </row>
    <row r="4" spans="3:7" ht="20.25" x14ac:dyDescent="0.15">
      <c r="C4" s="115" t="s">
        <v>534</v>
      </c>
      <c r="D4" s="116" t="s">
        <v>673</v>
      </c>
      <c r="E4" s="115" t="s">
        <v>434</v>
      </c>
      <c r="F4" s="233" t="s">
        <v>654</v>
      </c>
      <c r="G4" s="234"/>
    </row>
    <row r="5" spans="3:7" ht="20.25" x14ac:dyDescent="0.15">
      <c r="C5" s="117" t="s">
        <v>535</v>
      </c>
      <c r="D5" s="118"/>
      <c r="E5" s="115" t="s">
        <v>435</v>
      </c>
      <c r="F5" s="226" t="s">
        <v>651</v>
      </c>
      <c r="G5" s="228"/>
    </row>
    <row r="6" spans="3:7" ht="20.25" x14ac:dyDescent="0.15">
      <c r="C6" s="226" t="s">
        <v>536</v>
      </c>
      <c r="D6" s="227"/>
      <c r="E6" s="227"/>
      <c r="F6" s="227"/>
      <c r="G6" s="228"/>
    </row>
    <row r="7" spans="3:7" ht="16.5" hidden="1" x14ac:dyDescent="0.15">
      <c r="C7" s="119">
        <v>1</v>
      </c>
      <c r="D7" s="6" t="s">
        <v>537</v>
      </c>
      <c r="E7" s="120" t="s">
        <v>537</v>
      </c>
      <c r="F7" s="121">
        <v>100</v>
      </c>
      <c r="G7" s="122" t="s">
        <v>538</v>
      </c>
    </row>
    <row r="8" spans="3:7" ht="16.5" hidden="1" customHeight="1" x14ac:dyDescent="0.15">
      <c r="C8" s="123"/>
      <c r="D8" s="123"/>
      <c r="E8" s="120" t="s">
        <v>539</v>
      </c>
      <c r="F8" s="121">
        <v>1</v>
      </c>
      <c r="G8" s="122" t="s">
        <v>540</v>
      </c>
    </row>
    <row r="9" spans="3:7" ht="20.25" hidden="1" customHeight="1" x14ac:dyDescent="0.15">
      <c r="C9" s="123"/>
      <c r="D9" s="123"/>
      <c r="E9" s="120" t="s">
        <v>541</v>
      </c>
      <c r="F9" s="121">
        <f>(10*10^6)/F8</f>
        <v>10000000</v>
      </c>
      <c r="G9" s="124"/>
    </row>
    <row r="10" spans="3:7" ht="16.5" hidden="1" customHeight="1" x14ac:dyDescent="0.15">
      <c r="C10" s="123"/>
      <c r="D10" s="123"/>
      <c r="E10" s="120" t="s">
        <v>542</v>
      </c>
      <c r="F10" s="121">
        <v>100000</v>
      </c>
      <c r="G10" s="124">
        <v>50000</v>
      </c>
    </row>
    <row r="11" spans="3:7" ht="16.5" hidden="1" customHeight="1" x14ac:dyDescent="0.15">
      <c r="C11" s="123"/>
      <c r="D11" s="123"/>
      <c r="E11" s="120" t="s">
        <v>543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 x14ac:dyDescent="0.15">
      <c r="C12" s="123"/>
      <c r="D12" s="123"/>
      <c r="E12" s="120" t="s">
        <v>544</v>
      </c>
      <c r="F12" s="121" t="e">
        <f>F11/2</f>
        <v>#VALUE!</v>
      </c>
      <c r="G12" s="124" t="e">
        <f>G11/2</f>
        <v>#VALUE!</v>
      </c>
    </row>
    <row r="13" spans="3:7" ht="16.5" customHeight="1" x14ac:dyDescent="0.15">
      <c r="C13" s="213">
        <v>2</v>
      </c>
      <c r="D13" s="216" t="s">
        <v>545</v>
      </c>
      <c r="E13" s="120" t="s">
        <v>546</v>
      </c>
      <c r="F13" s="125">
        <v>350</v>
      </c>
      <c r="G13" s="6" t="s">
        <v>547</v>
      </c>
    </row>
    <row r="14" spans="3:7" ht="16.5" x14ac:dyDescent="0.15">
      <c r="C14" s="215"/>
      <c r="D14" s="224"/>
      <c r="E14" s="120" t="s">
        <v>548</v>
      </c>
      <c r="F14" s="125">
        <v>35</v>
      </c>
      <c r="G14" s="6" t="s">
        <v>549</v>
      </c>
    </row>
    <row r="15" spans="3:7" ht="16.5" x14ac:dyDescent="0.15">
      <c r="C15" s="213">
        <v>3</v>
      </c>
      <c r="D15" s="216" t="s">
        <v>550</v>
      </c>
      <c r="E15" s="120" t="s">
        <v>550</v>
      </c>
      <c r="F15" s="121">
        <v>440</v>
      </c>
      <c r="G15" s="6" t="s">
        <v>551</v>
      </c>
    </row>
    <row r="16" spans="3:7" ht="16.5" x14ac:dyDescent="0.15">
      <c r="C16" s="214"/>
      <c r="D16" s="217"/>
      <c r="E16" s="124" t="s">
        <v>552</v>
      </c>
      <c r="F16" s="121">
        <v>763</v>
      </c>
      <c r="G16" s="6" t="s">
        <v>160</v>
      </c>
    </row>
    <row r="17" spans="3:8" ht="16.5" x14ac:dyDescent="0.15">
      <c r="C17" s="214"/>
      <c r="D17" s="217"/>
      <c r="E17" s="124" t="s">
        <v>553</v>
      </c>
      <c r="F17" s="121">
        <v>500</v>
      </c>
      <c r="G17" s="6" t="s">
        <v>160</v>
      </c>
    </row>
    <row r="18" spans="3:8" ht="16.5" x14ac:dyDescent="0.15">
      <c r="C18" s="215"/>
      <c r="D18" s="224"/>
      <c r="E18" s="124" t="s">
        <v>554</v>
      </c>
      <c r="F18" s="121">
        <v>350</v>
      </c>
      <c r="G18" s="6" t="s">
        <v>160</v>
      </c>
    </row>
    <row r="19" spans="3:8" ht="16.5" x14ac:dyDescent="0.15">
      <c r="C19" s="213">
        <v>4</v>
      </c>
      <c r="D19" s="216" t="s">
        <v>555</v>
      </c>
      <c r="E19" s="120" t="s">
        <v>556</v>
      </c>
      <c r="F19" s="121">
        <v>800</v>
      </c>
      <c r="G19" s="6" t="s">
        <v>557</v>
      </c>
    </row>
    <row r="20" spans="3:8" ht="16.5" x14ac:dyDescent="0.15">
      <c r="C20" s="215"/>
      <c r="D20" s="224"/>
      <c r="E20" s="124" t="s">
        <v>558</v>
      </c>
      <c r="F20" s="121">
        <v>800</v>
      </c>
      <c r="G20" s="6" t="s">
        <v>163</v>
      </c>
    </row>
    <row r="21" spans="3:8" ht="16.5" x14ac:dyDescent="0.15">
      <c r="C21" s="213">
        <v>5</v>
      </c>
      <c r="D21" s="216" t="s">
        <v>559</v>
      </c>
      <c r="E21" s="126" t="s">
        <v>560</v>
      </c>
      <c r="F21" s="125">
        <v>6.8</v>
      </c>
      <c r="G21" s="127" t="s">
        <v>561</v>
      </c>
    </row>
    <row r="22" spans="3:8" ht="16.5" x14ac:dyDescent="0.15">
      <c r="C22" s="214"/>
      <c r="D22" s="217"/>
      <c r="E22" s="126" t="s">
        <v>562</v>
      </c>
      <c r="F22" s="121">
        <v>5</v>
      </c>
      <c r="G22" s="127" t="s">
        <v>563</v>
      </c>
    </row>
    <row r="23" spans="3:8" ht="16.5" customHeight="1" x14ac:dyDescent="0.15">
      <c r="C23" s="214"/>
      <c r="D23" s="217"/>
      <c r="E23" s="126" t="s">
        <v>564</v>
      </c>
      <c r="F23" s="121">
        <v>1000</v>
      </c>
      <c r="G23" s="127" t="s">
        <v>565</v>
      </c>
    </row>
    <row r="24" spans="3:8" ht="16.5" x14ac:dyDescent="0.15">
      <c r="C24" s="214"/>
      <c r="D24" s="217"/>
      <c r="E24" s="126" t="s">
        <v>625</v>
      </c>
      <c r="F24" s="121">
        <v>1200</v>
      </c>
      <c r="G24" s="127" t="s">
        <v>163</v>
      </c>
      <c r="H24" s="114" t="s">
        <v>671</v>
      </c>
    </row>
    <row r="25" spans="3:8" ht="16.5" x14ac:dyDescent="0.15">
      <c r="C25" s="214"/>
      <c r="D25" s="217"/>
      <c r="E25" s="6" t="s">
        <v>566</v>
      </c>
      <c r="F25" s="121">
        <f>(3/(F21/F22))*F23</f>
        <v>2205.8823529411766</v>
      </c>
      <c r="G25" s="127" t="s">
        <v>163</v>
      </c>
    </row>
    <row r="26" spans="3:8" ht="16.5" x14ac:dyDescent="0.15">
      <c r="C26" s="214"/>
      <c r="D26" s="217"/>
      <c r="E26" s="6" t="s">
        <v>567</v>
      </c>
      <c r="F26" s="121">
        <f>F25*1.11</f>
        <v>2448.5294117647063</v>
      </c>
      <c r="G26" s="127" t="s">
        <v>568</v>
      </c>
    </row>
    <row r="27" spans="3:8" ht="16.5" x14ac:dyDescent="0.15">
      <c r="C27" s="215"/>
      <c r="D27" s="224"/>
      <c r="E27" s="6" t="s">
        <v>569</v>
      </c>
      <c r="F27" s="121">
        <v>1800</v>
      </c>
      <c r="G27" s="127" t="s">
        <v>568</v>
      </c>
    </row>
    <row r="28" spans="3:8" ht="16.5" customHeight="1" x14ac:dyDescent="0.15">
      <c r="C28" s="213">
        <v>6</v>
      </c>
      <c r="D28" s="225" t="s">
        <v>570</v>
      </c>
      <c r="E28" s="6" t="s">
        <v>546</v>
      </c>
      <c r="F28" s="121">
        <v>350</v>
      </c>
      <c r="G28" s="127" t="s">
        <v>571</v>
      </c>
    </row>
    <row r="29" spans="3:8" ht="16.5" customHeight="1" x14ac:dyDescent="0.15">
      <c r="C29" s="215"/>
      <c r="D29" s="224"/>
      <c r="E29" s="6" t="s">
        <v>548</v>
      </c>
      <c r="F29" s="128">
        <v>35</v>
      </c>
      <c r="G29" s="127" t="s">
        <v>571</v>
      </c>
    </row>
    <row r="30" spans="3:8" ht="16.5" x14ac:dyDescent="0.15">
      <c r="C30" s="213">
        <v>7</v>
      </c>
      <c r="D30" s="216" t="s">
        <v>572</v>
      </c>
      <c r="E30" s="6" t="s">
        <v>546</v>
      </c>
      <c r="F30" s="121"/>
      <c r="G30" s="127" t="s">
        <v>571</v>
      </c>
    </row>
    <row r="31" spans="3:8" ht="16.5" x14ac:dyDescent="0.15">
      <c r="C31" s="215"/>
      <c r="D31" s="224"/>
      <c r="E31" s="6" t="s">
        <v>548</v>
      </c>
      <c r="F31" s="128"/>
      <c r="G31" s="127" t="s">
        <v>571</v>
      </c>
    </row>
    <row r="32" spans="3:8" ht="16.5" x14ac:dyDescent="0.15">
      <c r="C32" s="213">
        <v>8</v>
      </c>
      <c r="D32" s="216" t="s">
        <v>573</v>
      </c>
      <c r="E32" s="6" t="s">
        <v>574</v>
      </c>
      <c r="F32" s="121"/>
      <c r="G32" s="127" t="s">
        <v>575</v>
      </c>
    </row>
    <row r="33" spans="3:7" ht="16.5" x14ac:dyDescent="0.15">
      <c r="C33" s="215"/>
      <c r="D33" s="224"/>
      <c r="E33" s="6" t="s">
        <v>576</v>
      </c>
      <c r="F33" s="129"/>
      <c r="G33" s="127" t="s">
        <v>577</v>
      </c>
    </row>
    <row r="34" spans="3:7" ht="16.5" x14ac:dyDescent="0.15">
      <c r="C34" s="213">
        <v>9</v>
      </c>
      <c r="D34" s="216" t="s">
        <v>578</v>
      </c>
      <c r="E34" s="6" t="s">
        <v>579</v>
      </c>
      <c r="F34" s="206">
        <v>12.33</v>
      </c>
      <c r="G34" s="127" t="s">
        <v>580</v>
      </c>
    </row>
    <row r="35" spans="3:7" ht="16.5" x14ac:dyDescent="0.15">
      <c r="C35" s="214"/>
      <c r="D35" s="217"/>
      <c r="E35" s="6" t="s">
        <v>581</v>
      </c>
      <c r="F35" s="129">
        <v>3000</v>
      </c>
      <c r="G35" s="127" t="s">
        <v>582</v>
      </c>
    </row>
    <row r="36" spans="3:7" ht="16.5" x14ac:dyDescent="0.15">
      <c r="C36" s="215"/>
      <c r="D36" s="224"/>
      <c r="E36" s="6" t="s">
        <v>583</v>
      </c>
      <c r="F36" s="129">
        <v>2000</v>
      </c>
      <c r="G36" s="127" t="s">
        <v>160</v>
      </c>
    </row>
    <row r="37" spans="3:7" ht="16.5" x14ac:dyDescent="0.15">
      <c r="C37" s="119">
        <v>10</v>
      </c>
      <c r="D37" s="6" t="s">
        <v>584</v>
      </c>
      <c r="E37" s="6" t="s">
        <v>585</v>
      </c>
      <c r="F37" s="130">
        <v>1</v>
      </c>
      <c r="G37" s="127" t="s">
        <v>586</v>
      </c>
    </row>
    <row r="38" spans="3:7" ht="16.5" x14ac:dyDescent="0.15">
      <c r="C38" s="213">
        <v>11</v>
      </c>
      <c r="D38" s="216" t="s">
        <v>587</v>
      </c>
      <c r="E38" s="6" t="s">
        <v>588</v>
      </c>
      <c r="F38" s="129">
        <v>3000</v>
      </c>
      <c r="G38" s="127" t="s">
        <v>589</v>
      </c>
    </row>
    <row r="39" spans="3:7" ht="16.5" customHeight="1" x14ac:dyDescent="0.15">
      <c r="C39" s="214"/>
      <c r="D39" s="217"/>
      <c r="E39" s="6" t="s">
        <v>546</v>
      </c>
      <c r="F39" s="129">
        <v>25000</v>
      </c>
      <c r="G39" s="127" t="s">
        <v>577</v>
      </c>
    </row>
    <row r="40" spans="3:7" ht="16.5" x14ac:dyDescent="0.15">
      <c r="C40" s="214"/>
      <c r="D40" s="217"/>
      <c r="E40" s="6" t="s">
        <v>590</v>
      </c>
      <c r="F40" s="129">
        <v>15000</v>
      </c>
      <c r="G40" s="127" t="s">
        <v>575</v>
      </c>
    </row>
    <row r="41" spans="3:7" ht="16.5" x14ac:dyDescent="0.15">
      <c r="C41" s="215"/>
      <c r="D41" s="224"/>
      <c r="E41" s="6" t="s">
        <v>591</v>
      </c>
      <c r="F41" s="131">
        <v>14000</v>
      </c>
      <c r="G41" s="127" t="s">
        <v>577</v>
      </c>
    </row>
    <row r="42" spans="3:7" ht="16.5" x14ac:dyDescent="0.15">
      <c r="C42" s="132">
        <v>12</v>
      </c>
      <c r="D42" s="133" t="s">
        <v>592</v>
      </c>
      <c r="E42" s="6" t="s">
        <v>592</v>
      </c>
      <c r="F42" s="125">
        <v>2</v>
      </c>
      <c r="G42" s="127" t="s">
        <v>593</v>
      </c>
    </row>
    <row r="43" spans="3:7" ht="16.5" hidden="1" customHeight="1" x14ac:dyDescent="0.15">
      <c r="C43" s="213">
        <v>13</v>
      </c>
      <c r="D43" s="216" t="s">
        <v>594</v>
      </c>
      <c r="E43" s="6" t="s">
        <v>595</v>
      </c>
      <c r="F43" s="6" t="s">
        <v>596</v>
      </c>
      <c r="G43" s="134" t="s">
        <v>598</v>
      </c>
    </row>
    <row r="44" spans="3:7" ht="16.5" x14ac:dyDescent="0.15">
      <c r="C44" s="214"/>
      <c r="D44" s="217"/>
      <c r="E44" s="6" t="s">
        <v>599</v>
      </c>
      <c r="F44" s="6" t="s">
        <v>600</v>
      </c>
      <c r="G44" s="134" t="s">
        <v>601</v>
      </c>
    </row>
    <row r="45" spans="3:7" ht="16.5" x14ac:dyDescent="0.15">
      <c r="C45" s="214"/>
      <c r="D45" s="217"/>
      <c r="E45" s="6" t="s">
        <v>602</v>
      </c>
      <c r="F45" s="6" t="s">
        <v>603</v>
      </c>
      <c r="G45" s="134" t="s">
        <v>597</v>
      </c>
    </row>
    <row r="46" spans="3:7" ht="16.5" x14ac:dyDescent="0.15">
      <c r="C46" s="214"/>
      <c r="D46" s="217"/>
      <c r="E46" s="6" t="s">
        <v>604</v>
      </c>
      <c r="F46" s="6" t="s">
        <v>605</v>
      </c>
      <c r="G46" s="134" t="s">
        <v>597</v>
      </c>
    </row>
    <row r="47" spans="3:7" ht="16.5" x14ac:dyDescent="0.15">
      <c r="C47" s="214"/>
      <c r="D47" s="217"/>
      <c r="E47" s="6" t="s">
        <v>606</v>
      </c>
      <c r="F47" s="6" t="s">
        <v>607</v>
      </c>
      <c r="G47" s="134" t="s">
        <v>601</v>
      </c>
    </row>
    <row r="48" spans="3:7" ht="16.5" x14ac:dyDescent="0.15">
      <c r="C48" s="214"/>
      <c r="D48" s="217"/>
      <c r="E48" s="6" t="s">
        <v>608</v>
      </c>
      <c r="F48" s="6" t="s">
        <v>609</v>
      </c>
      <c r="G48" s="134" t="s">
        <v>610</v>
      </c>
    </row>
    <row r="49" spans="3:7" ht="16.5" x14ac:dyDescent="0.15">
      <c r="C49" s="214"/>
      <c r="D49" s="217"/>
      <c r="E49" s="6" t="s">
        <v>611</v>
      </c>
      <c r="F49" s="6" t="s">
        <v>612</v>
      </c>
      <c r="G49" s="134" t="s">
        <v>652</v>
      </c>
    </row>
    <row r="50" spans="3:7" ht="66" x14ac:dyDescent="0.15">
      <c r="C50" s="214"/>
      <c r="D50" s="217"/>
      <c r="E50" s="6" t="s">
        <v>613</v>
      </c>
      <c r="F50" s="135" t="s">
        <v>614</v>
      </c>
      <c r="G50" s="134" t="s">
        <v>615</v>
      </c>
    </row>
    <row r="51" spans="3:7" ht="16.5" x14ac:dyDescent="0.15">
      <c r="C51" s="214"/>
      <c r="D51" s="217"/>
      <c r="E51" s="6" t="s">
        <v>616</v>
      </c>
      <c r="F51" s="6" t="s">
        <v>617</v>
      </c>
      <c r="G51" s="134" t="s">
        <v>597</v>
      </c>
    </row>
    <row r="52" spans="3:7" ht="37.5" customHeight="1" x14ac:dyDescent="0.15">
      <c r="C52" s="214"/>
      <c r="D52" s="217"/>
      <c r="E52" s="6" t="s">
        <v>618</v>
      </c>
      <c r="F52" s="136" t="s">
        <v>619</v>
      </c>
      <c r="G52" s="134" t="s">
        <v>632</v>
      </c>
    </row>
    <row r="53" spans="3:7" ht="16.5" x14ac:dyDescent="0.15">
      <c r="C53" s="214"/>
      <c r="D53" s="217"/>
      <c r="E53" s="6"/>
      <c r="F53" s="136" t="s">
        <v>569</v>
      </c>
      <c r="G53" s="134" t="s">
        <v>597</v>
      </c>
    </row>
    <row r="54" spans="3:7" ht="16.5" x14ac:dyDescent="0.15">
      <c r="C54" s="214"/>
      <c r="D54" s="217"/>
      <c r="E54" s="6"/>
      <c r="F54" s="136" t="s">
        <v>620</v>
      </c>
      <c r="G54" s="134" t="s">
        <v>597</v>
      </c>
    </row>
    <row r="55" spans="3:7" ht="16.5" x14ac:dyDescent="0.15">
      <c r="C55" s="215"/>
      <c r="D55" s="217"/>
      <c r="E55" s="6"/>
      <c r="F55" s="136" t="s">
        <v>621</v>
      </c>
      <c r="G55" s="134" t="s">
        <v>597</v>
      </c>
    </row>
    <row r="56" spans="3:7" ht="16.5" x14ac:dyDescent="0.15">
      <c r="C56" s="119">
        <v>14</v>
      </c>
      <c r="D56" s="137" t="s">
        <v>622</v>
      </c>
      <c r="E56" s="218" t="s">
        <v>655</v>
      </c>
      <c r="F56" s="219"/>
      <c r="G56" s="220"/>
    </row>
    <row r="57" spans="3:7" ht="16.5" x14ac:dyDescent="0.15">
      <c r="C57" s="119">
        <v>15</v>
      </c>
      <c r="D57" s="137" t="s">
        <v>623</v>
      </c>
      <c r="E57" s="218" t="s">
        <v>653</v>
      </c>
      <c r="F57" s="219"/>
      <c r="G57" s="220"/>
    </row>
    <row r="58" spans="3:7" x14ac:dyDescent="0.15">
      <c r="C58" s="138"/>
      <c r="D58" s="139"/>
      <c r="E58" s="139"/>
      <c r="F58" s="140"/>
      <c r="G58" s="141"/>
    </row>
    <row r="59" spans="3:7" ht="99.75" customHeight="1" x14ac:dyDescent="0.15">
      <c r="C59" s="142" t="s">
        <v>624</v>
      </c>
      <c r="D59" s="221" t="s">
        <v>631</v>
      </c>
      <c r="E59" s="222"/>
      <c r="F59" s="222"/>
      <c r="G59" s="223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37" t="s">
        <v>307</v>
      </c>
      <c r="B2" s="239" t="s">
        <v>308</v>
      </c>
      <c r="C2" s="239" t="s">
        <v>309</v>
      </c>
      <c r="D2" s="239" t="s">
        <v>310</v>
      </c>
      <c r="E2" s="239" t="s">
        <v>311</v>
      </c>
      <c r="F2" s="235" t="s">
        <v>312</v>
      </c>
      <c r="G2" s="241" t="s">
        <v>313</v>
      </c>
      <c r="H2" s="239" t="s">
        <v>314</v>
      </c>
      <c r="I2" s="241" t="s">
        <v>315</v>
      </c>
      <c r="J2" s="243" t="s">
        <v>316</v>
      </c>
      <c r="K2" s="239" t="s">
        <v>317</v>
      </c>
      <c r="L2" s="235" t="s">
        <v>318</v>
      </c>
      <c r="M2" s="239" t="s">
        <v>319</v>
      </c>
      <c r="N2" s="239" t="s">
        <v>320</v>
      </c>
      <c r="O2" s="235" t="s">
        <v>321</v>
      </c>
      <c r="P2" s="239" t="s">
        <v>322</v>
      </c>
      <c r="Q2" s="239" t="s">
        <v>323</v>
      </c>
      <c r="R2" s="239"/>
      <c r="S2" s="241" t="s">
        <v>324</v>
      </c>
      <c r="T2" s="247" t="s">
        <v>325</v>
      </c>
      <c r="U2" s="249" t="s">
        <v>326</v>
      </c>
      <c r="V2" s="249" t="s">
        <v>327</v>
      </c>
    </row>
    <row r="3" spans="1:22" ht="17.25" thickBot="1" x14ac:dyDescent="0.2">
      <c r="A3" s="238"/>
      <c r="B3" s="240"/>
      <c r="C3" s="240"/>
      <c r="D3" s="240"/>
      <c r="E3" s="240"/>
      <c r="F3" s="236"/>
      <c r="G3" s="242"/>
      <c r="H3" s="240"/>
      <c r="I3" s="242"/>
      <c r="J3" s="244"/>
      <c r="K3" s="240"/>
      <c r="L3" s="236"/>
      <c r="M3" s="240"/>
      <c r="N3" s="240"/>
      <c r="O3" s="236"/>
      <c r="P3" s="240"/>
      <c r="Q3" s="82" t="s">
        <v>328</v>
      </c>
      <c r="R3" s="82" t="s">
        <v>329</v>
      </c>
      <c r="S3" s="242"/>
      <c r="T3" s="248"/>
      <c r="U3" s="250"/>
      <c r="V3" s="250"/>
    </row>
    <row r="4" spans="1:22" ht="17.25" thickTop="1" x14ac:dyDescent="0.3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 x14ac:dyDescent="0.3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 x14ac:dyDescent="0.3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 x14ac:dyDescent="0.3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 x14ac:dyDescent="0.3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 x14ac:dyDescent="0.3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 x14ac:dyDescent="0.3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45" t="s">
        <v>352</v>
      </c>
      <c r="V10" s="246"/>
    </row>
    <row r="11" spans="1:22" ht="16.5" x14ac:dyDescent="0.3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 x14ac:dyDescent="0.3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 x14ac:dyDescent="0.3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45" t="s">
        <v>352</v>
      </c>
      <c r="V13" s="246"/>
    </row>
    <row r="14" spans="1:22" ht="16.5" x14ac:dyDescent="0.3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45" t="s">
        <v>352</v>
      </c>
      <c r="V14" s="246"/>
    </row>
    <row r="15" spans="1:22" ht="16.5" x14ac:dyDescent="0.3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45" t="s">
        <v>352</v>
      </c>
      <c r="V15" s="246"/>
    </row>
    <row r="16" spans="1:22" ht="16.5" x14ac:dyDescent="0.3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45" t="s">
        <v>352</v>
      </c>
      <c r="V16" s="246"/>
    </row>
    <row r="17" spans="1:22" ht="16.5" x14ac:dyDescent="0.3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45" t="s">
        <v>352</v>
      </c>
      <c r="V17" s="246"/>
    </row>
    <row r="18" spans="1:22" ht="16.5" x14ac:dyDescent="0.3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45" t="s">
        <v>352</v>
      </c>
      <c r="V18" s="246"/>
    </row>
    <row r="19" spans="1:22" ht="16.5" x14ac:dyDescent="0.3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45" t="s">
        <v>352</v>
      </c>
      <c r="V19" s="246"/>
    </row>
    <row r="20" spans="1:22" ht="16.5" x14ac:dyDescent="0.3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45" t="s">
        <v>352</v>
      </c>
      <c r="V20" s="246"/>
    </row>
    <row r="21" spans="1:22" ht="16.5" x14ac:dyDescent="0.3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45" t="s">
        <v>352</v>
      </c>
      <c r="V21" s="246"/>
    </row>
    <row r="22" spans="1:22" ht="16.5" x14ac:dyDescent="0.3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45" t="s">
        <v>352</v>
      </c>
      <c r="V22" s="246"/>
    </row>
    <row r="23" spans="1:22" ht="16.5" x14ac:dyDescent="0.3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45" t="s">
        <v>352</v>
      </c>
      <c r="V23" s="246"/>
    </row>
    <row r="24" spans="1:22" ht="16.5" x14ac:dyDescent="0.3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45" t="s">
        <v>352</v>
      </c>
      <c r="V24" s="246"/>
    </row>
    <row r="25" spans="1:22" ht="16.5" x14ac:dyDescent="0.3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45" t="s">
        <v>352</v>
      </c>
      <c r="V25" s="246"/>
    </row>
    <row r="26" spans="1:22" ht="16.5" x14ac:dyDescent="0.3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45" t="s">
        <v>352</v>
      </c>
      <c r="V26" s="246"/>
    </row>
    <row r="27" spans="1:22" ht="16.5" x14ac:dyDescent="0.3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45" t="s">
        <v>352</v>
      </c>
      <c r="V27" s="246"/>
    </row>
    <row r="28" spans="1:22" ht="16.5" x14ac:dyDescent="0.3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45" t="s">
        <v>352</v>
      </c>
      <c r="V28" s="246"/>
    </row>
    <row r="29" spans="1:22" ht="16.5" x14ac:dyDescent="0.3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45" t="s">
        <v>352</v>
      </c>
      <c r="V29" s="246"/>
    </row>
    <row r="30" spans="1:22" ht="16.5" x14ac:dyDescent="0.3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45" t="s">
        <v>352</v>
      </c>
      <c r="V30" s="246"/>
    </row>
    <row r="31" spans="1:22" ht="16.5" x14ac:dyDescent="0.3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45" t="s">
        <v>352</v>
      </c>
      <c r="V31" s="246"/>
    </row>
    <row r="32" spans="1:22" ht="16.5" x14ac:dyDescent="0.3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 x14ac:dyDescent="0.3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 x14ac:dyDescent="0.3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 x14ac:dyDescent="0.3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 x14ac:dyDescent="0.3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 x14ac:dyDescent="0.3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 x14ac:dyDescent="0.3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 x14ac:dyDescent="0.3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 x14ac:dyDescent="0.3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 x14ac:dyDescent="0.3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492</v>
      </c>
    </row>
    <row r="42" spans="1:22" ht="16.5" x14ac:dyDescent="0.3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 x14ac:dyDescent="0.3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 x14ac:dyDescent="0.3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 x14ac:dyDescent="0.3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 x14ac:dyDescent="0.3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 x14ac:dyDescent="0.35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GT36_축_외경 하드닝</vt:lpstr>
      <vt:lpstr>설계결과표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2021-03-17T06:27:25Z</dcterms:modified>
</cp:coreProperties>
</file>