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F25" i="46" l="1"/>
  <c r="F26" i="46" s="1"/>
  <c r="S72" i="48" l="1"/>
  <c r="S74" i="48" s="1"/>
  <c r="S66" i="48"/>
  <c r="S67" i="48" s="1"/>
  <c r="E66" i="48"/>
  <c r="D66" i="48"/>
  <c r="C66" i="48"/>
  <c r="K59" i="48"/>
  <c r="O53" i="48"/>
  <c r="O56" i="48" s="1"/>
  <c r="O58" i="48" s="1"/>
  <c r="K53" i="48"/>
  <c r="W48" i="48"/>
  <c r="O48" i="48"/>
  <c r="K47" i="48"/>
  <c r="S46" i="48"/>
  <c r="K46" i="48"/>
  <c r="K45" i="48"/>
  <c r="W41" i="48"/>
  <c r="W36" i="48"/>
  <c r="K36" i="48"/>
  <c r="W35" i="48"/>
  <c r="K35" i="48"/>
  <c r="O34" i="48"/>
  <c r="E32" i="48"/>
  <c r="D32" i="48"/>
  <c r="C32" i="48"/>
  <c r="W30" i="48"/>
  <c r="O30" i="48"/>
  <c r="S27" i="48"/>
  <c r="W26" i="48"/>
  <c r="O26" i="48"/>
  <c r="O35" i="48" s="1"/>
  <c r="K26" i="48"/>
  <c r="K25" i="48"/>
  <c r="K24" i="48"/>
  <c r="W22" i="48"/>
  <c r="O19" i="48"/>
  <c r="E18" i="48"/>
  <c r="D18" i="48"/>
  <c r="C18" i="48"/>
  <c r="W15" i="48"/>
  <c r="W16" i="48" s="1"/>
  <c r="W17" i="48" s="1"/>
  <c r="E10" i="48"/>
  <c r="E36" i="48" s="1"/>
  <c r="E38" i="48" s="1"/>
  <c r="D10" i="48"/>
  <c r="D36" i="48" s="1"/>
  <c r="D38" i="48" s="1"/>
  <c r="C10" i="48"/>
  <c r="C36" i="48" s="1"/>
  <c r="C38" i="48" s="1"/>
  <c r="W8" i="48"/>
  <c r="S8" i="48"/>
  <c r="S12" i="48" s="1"/>
  <c r="S15" i="48" s="1"/>
  <c r="S17" i="48" s="1"/>
  <c r="O8" i="48"/>
  <c r="K7" i="48"/>
  <c r="K9" i="48" s="1"/>
  <c r="K14" i="48" s="1"/>
  <c r="O12" i="48" s="1"/>
  <c r="E6" i="48"/>
  <c r="E8" i="48" s="1"/>
  <c r="D6" i="48"/>
  <c r="D8" i="48" s="1"/>
  <c r="C6" i="48"/>
  <c r="C8" i="48" s="1"/>
  <c r="E11" i="48" l="1"/>
  <c r="C11" i="48"/>
  <c r="O38" i="48"/>
  <c r="O39" i="48" s="1"/>
  <c r="O40" i="48" s="1"/>
  <c r="O41" i="48" s="1"/>
  <c r="O42" i="48" s="1"/>
  <c r="S75" i="48"/>
  <c r="K27" i="48"/>
  <c r="S9" i="48"/>
  <c r="C16" i="48"/>
  <c r="C21" i="48" s="1"/>
  <c r="E16" i="48"/>
  <c r="E21" i="48" s="1"/>
  <c r="K37" i="48"/>
  <c r="K38" i="48" s="1"/>
  <c r="S19" i="48"/>
  <c r="S20" i="48"/>
  <c r="S28" i="48"/>
  <c r="D16" i="48"/>
  <c r="S47" i="48"/>
  <c r="S50" i="48"/>
  <c r="S53" i="48" s="1"/>
  <c r="S56" i="48" s="1"/>
  <c r="S58" i="48" s="1"/>
  <c r="S31" i="48"/>
  <c r="S34" i="48" s="1"/>
  <c r="S36" i="48" s="1"/>
  <c r="S38" i="48" s="1"/>
  <c r="D11" i="48"/>
  <c r="O11" i="48"/>
  <c r="O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S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E28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S39" i="48"/>
  <c r="D21" i="48"/>
  <c r="D22" i="48"/>
  <c r="D25" i="48" s="1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E26" i="48"/>
  <c r="E31" i="48" s="1"/>
  <c r="E40" i="48" s="1"/>
  <c r="E65" i="48" s="1"/>
  <c r="D28" i="48"/>
  <c r="E59" i="48"/>
  <c r="E58" i="48"/>
  <c r="E61" i="48" s="1"/>
  <c r="E52" i="48"/>
  <c r="C29" i="48"/>
  <c r="C42" i="48"/>
  <c r="C30" i="48"/>
  <c r="C58" i="48"/>
  <c r="C61" i="48" s="1"/>
  <c r="C52" i="48"/>
  <c r="C59" i="48"/>
  <c r="D23" i="48"/>
  <c r="D24" i="48"/>
  <c r="D53" i="48"/>
  <c r="E42" i="48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<sst xmlns="http://schemas.openxmlformats.org/spreadsheetml/2006/main" count="1237" uniqueCount="664">
  <si>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</si>
  <si>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</si>
  <si>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</si>
  <si>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</si>
  <si>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</si>
  <si>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</si>
  <si>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</si>
  <si>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</si>
  <si>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</si>
  <si>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</si>
  <si>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</si>
  <si>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</si>
  <si>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</si>
  <si>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</si>
  <si>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</si>
  <si>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</si>
  <si>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</si>
  <si>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</si>
  <si>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</si>
  <si>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</si>
  <si>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</si>
  <si>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</si>
  <si>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</si>
  <si>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</si>
  <si>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</si>
  <si>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</si>
  <si>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</si>
  <si>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</si>
  <si>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</si>
  <si>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</si>
  <si>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</si>
  <si>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</si>
  <si>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</si>
  <si>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</si>
  <si>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</si>
  <si>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</si>
  <si>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</si>
  <si>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</si>
  <si>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</si>
  <si>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</si>
  <si>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</si>
  <si>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</si>
  <si>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</si>
  <si>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</si>
  <si>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</si>
  <si>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</si>
  <si>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</si>
  <si>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</si>
  <si>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</si>
  <si>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</si>
  <si>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</si>
  <si>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</si>
  <si>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</si>
  <si>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</si>
  <si>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</si>
  <si>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</si>
  <si>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</si>
  <si>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</si>
  <si>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</si>
  <si>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</si>
  <si>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</si>
  <si>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</si>
  <si>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</si>
  <si>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</si>
  <si>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</si>
  <si>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</si>
  <si>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</si>
  <si>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</si>
  <si>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</si>
  <si>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</si>
  <si>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</si>
  <si>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</si>
  <si>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</si>
  <si>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</si>
  <si>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</si>
  <si>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</si>
  <si>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</si>
  <si>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</si>
  <si>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</si>
  <si>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</si>
  <si>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</si>
  <si>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</si>
  <si>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</si>
  <si>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</si>
  <si>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</si>
  <si>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</si>
  <si>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</si>
  <si>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</si>
  <si>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</si>
  <si>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</si>
  <si>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</si>
  <si>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</si>
  <si>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</si>
  <si>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</si>
  <si>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</si>
  <si>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</si>
  <si>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</si>
  <si>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</si>
  <si>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</si>
  <si>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</si>
  <si>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</si>
  <si>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</si>
  <si>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</si>
  <si>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</si>
  <si>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</si>
  <si>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</si>
  <si>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</si>
  <si>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</si>
  <si>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</si>
  <si>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</si>
  <si>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</si>
  <si>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</si>
  <si>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</si>
  <si>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</si>
  <si>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</si>
  <si>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</si>
  <si>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</si>
  <si>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</si>
  <si>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</si>
  <si>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</si>
  <si>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</si>
  <si>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</si>
  <si>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</si>
  <si>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</si>
  <si>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</si>
  <si>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</si>
  <si>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</si>
  <si>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</si>
  <si>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</si>
  <si>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</si>
  <si>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</si>
  <si>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</si>
  <si>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</si>
  <si>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</si>
  <si>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</si>
  <si>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</si>
  <si>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</si>
  <si>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</si>
  <si>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</si>
  <si>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</si>
  <si>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</si>
  <si>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</si>
  <si>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</si>
  <si>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</si>
  <si>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</si>
  <si>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</si>
  <si>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</si>
  <si>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</si>
  <si>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</si>
  <si>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</si>
  <si>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</si>
  <si>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</si>
  <si>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</si>
  <si>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</si>
  <si>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</si>
  <si>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</si>
  <si>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</si>
  <si>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</si>
  <si>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</si>
  <si>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</si>
  <si>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</si>
  <si>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</si>
  <si>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</si>
  <si>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</si>
  <si>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</si>
  <si>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</si>
  <si>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</si>
  <si>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</si>
  <si>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</si>
  <si>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</si>
  <si>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</si>
  <si>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</si>
  <si>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</si>
  <si>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</si>
  <si>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</si>
  <si>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</si>
  <si>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</si>
  <si>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</si>
  <si>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</si>
  <si>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</si>
  <si>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</si>
  <si>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</si>
  <si>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</si>
  <si>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</si>
  <si>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</si>
  <si>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</si>
  <si>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</si>
  <si>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</si>
  <si>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</si>
  <si>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</si>
  <si>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</si>
  <si>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</si>
  <si>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</si>
  <si>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</si>
  <si>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</si>
  <si>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</si>
  <si>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</si>
  <si>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</si>
  <si>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</si>
  <si>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</si>
  <si>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</si>
  <si>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</si>
  <si>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</si>
  <si>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</si>
  <si>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</si>
  <si>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</si>
  <si>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</si>
  <si>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</si>
  <si>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</si>
  <si>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</si>
  <si>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</si>
  <si>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</si>
  <si>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</si>
  <si>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</si>
  <si>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</si>
  <si>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</si>
  <si>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</si>
  <si>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</si>
  <si>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</si>
  <si>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</si>
  <si>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</si>
  <si>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</si>
  <si>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</si>
  <si>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</si>
  <si>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</si>
  <si>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</si>
  <si>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</si>
  <si>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</si>
  <si>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</si>
  <si>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</si>
  <si>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</si>
  <si>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</si>
  <si>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</si>
  <si>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</si>
  <si>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</si>
  <si>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</si>
  <si>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</si>
  <si>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</si>
  <si>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</si>
  <si>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</si>
  <si>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</si>
  <si>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</si>
  <si>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</si>
  <si>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</si>
  <si>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</si>
  <si>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</si>
  <si>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</si>
  <si>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</si>
  <si>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</si>
  <si>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</si>
  <si>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</si>
  <si>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</si>
  <si>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</si>
  <si>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</si>
  <si>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</si>
  <si>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</si>
  <si>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</si>
  <si>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</si>
  <si>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</si>
  <si>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</si>
  <si>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</si>
  <si>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</si>
  <si>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</si>
  <si>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</si>
  <si>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</si>
  <si>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</si>
  <si>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</si>
  <si>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</si>
  <si>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</si>
  <si>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</si>
  <si>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</si>
  <si>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</si>
  <si>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</si>
  <si>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</si>
  <si>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</si>
  <si>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</si>
  <si>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</si>
  <si>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</si>
  <si>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</si>
  <si>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</si>
  <si>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</si>
  <si>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</si>
  <si>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</si>
  <si>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</si>
  <si>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</si>
  <si>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</si>
  <si>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</si>
  <si>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</si>
  <si>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</si>
  <si>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</si>
  <si>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</si>
  <si>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</si>
  <si>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</si>
  <si>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</si>
  <si>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</si>
  <si>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</si>
  <si>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</si>
  <si>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</si>
  <si>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</si>
  <si>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</si>
  <si>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</si>
  <si>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</si>
  <si>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</si>
  <si>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</si>
  <si>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</si>
  <si>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</si>
  <si>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</si>
  <si>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</si>
  <si>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</si>
  <si>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</si>
  <si>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</si>
  <si>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</si>
  <si>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</si>
  <si>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</si>
  <si>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</si>
  <si>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</si>
  <si>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</si>
  <si>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</si>
  <si>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</si>
  <si>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</si>
  <si>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</si>
  <si>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</si>
  <si>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</si>
  <si>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</si>
  <si>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</si>
  <si>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</si>
  <si>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</si>
  <si>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</si>
  <si>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</si>
  <si>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</si>
  <si>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</si>
  <si>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</si>
  <si>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</si>
  <si>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</si>
  <si>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</si>
  <si>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</si>
  <si>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</si>
  <si>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</si>
  <si>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</si>
  <si>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</si>
  <si>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</si>
  <si>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</si>
  <si>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</si>
  <si>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</si>
  <si>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</si>
  <si>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</si>
  <si>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</si>
  <si>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</si>
  <si>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</si>
  <si>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</si>
  <si>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</si>
  <si>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</si>
  <si>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</si>
  <si>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</si>
  <si>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</si>
  <si>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</si>
  <si>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</si>
  <si>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</si>
  <si>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</si>
  <si>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</si>
  <si>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</si>
  <si>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</si>
  <si>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</si>
  <si>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</si>
  <si>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</si>
  <si>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</si>
  <si>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</si>
  <si>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</si>
  <si>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</si>
  <si>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</si>
  <si>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</si>
  <si>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</si>
  <si>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</si>
  <si>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</si>
  <si>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</si>
  <si>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</si>
  <si>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</si>
  <si>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</si>
  <si>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</si>
  <si>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</si>
  <si>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</si>
  <si>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</si>
  <si>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</si>
  <si>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</si>
  <si>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</si>
  <si>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</si>
  <si>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</si>
  <si>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</si>
  <si>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</si>
  <si>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</si>
  <si>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</si>
  <si>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</si>
  <si>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</si>
  <si>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</si>
  <si>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</si>
  <si>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</si>
  <si>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</si>
  <si>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</si>
  <si>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</si>
  <si>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</si>
  <si>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</si>
  <si>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</si>
  <si>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</si>
  <si>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</si>
  <si>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</si>
  <si>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</si>
  <si>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</si>
  <si>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</si>
  <si>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</si>
  <si>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</si>
  <si>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</si>
  <si>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</si>
  <si>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</si>
  <si>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</si>
  <si>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</si>
  <si>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</si>
  <si>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</si>
  <si>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</si>
  <si>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</si>
  <si>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</si>
  <si>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</si>
  <si>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</si>
  <si>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</si>
  <si>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</si>
  <si>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</si>
  <si>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</si>
  <si>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</si>
  <si>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</si>
  <si>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</si>
  <si>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</si>
  <si>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</si>
  <si>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</si>
  <si>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</si>
  <si>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</si>
  <si>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</si>
  <si>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</si>
  <si>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</si>
  <si>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</si>
  <si>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</si>
  <si>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</si>
  <si>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</si>
  <si>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</si>
  <si>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</si>
  <si>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</si>
  <si>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</si>
  <si>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</si>
  <si>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</si>
  <si>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</si>
  <si>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</si>
  <si>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</si>
  <si>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</si>
  <si>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</si>
  <si>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</si>
  <si>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</si>
  <si>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</si>
  <si>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</si>
  <si>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</si>
  <si>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</si>
  <si>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</si>
  <si>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</si>
  <si>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</si>
  <si>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</si>
  <si>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</si>
  <si>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</si>
  <si>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</si>
  <si>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</si>
  <si>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</si>
  <si>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</si>
  <si>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</si>
  <si>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</si>
  <si>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</si>
  <si>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</si>
  <si>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</si>
  <si>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</si>
  <si>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</si>
  <si>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</si>
  <si>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</si>
  <si>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</si>
  <si>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</si>
  <si>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</si>
  <si>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</si>
  <si>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</si>
  <si>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</si>
  <si>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</si>
  <si>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</si>
  <si>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</si>
  <si>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</si>
  <si>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</si>
  <si>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</si>
  <si>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</si>
  <si>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</si>
  <si>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</si>
  <si>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</si>
  <si>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</si>
  <si>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</si>
  <si>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</si>
  <si>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</si>
  <si>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</si>
  <si>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</si>
  <si>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</si>
  <si>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</si>
  <si>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</si>
  <si>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</si>
  <si>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</si>
  <si>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</si>
  <si>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</si>
  <si>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</si>
  <si>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</si>
  <si>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</si>
  <si>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</si>
  <si>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</si>
  <si>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</si>
  <si>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</si>
  <si>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</si>
  <si>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</si>
  <si>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</si>
  <si>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</si>
  <si>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</si>
  <si>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</si>
  <si>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</si>
  <si>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</si>
  <si>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</si>
  <si>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</si>
  <si>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</si>
  <si>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</si>
  <si>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</si>
  <si>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</si>
  <si>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</si>
  <si>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</si>
  <si>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</si>
  <si>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</si>
  <si>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</si>
  <si>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</si>
  <si>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</si>
  <si>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</si>
  <si>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</si>
  <si>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</si>
  <si>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</si>
  <si>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</si>
  <si>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</si>
  <si>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</si>
  <si>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</si>
  <si>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</si>
  <si>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</si>
  <si>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</si>
  <si>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</si>
  <si>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</si>
  <si>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</si>
  <si>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</si>
  <si>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</si>
  <si>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</si>
  <si>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</si>
  <si>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</si>
  <si>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</si>
  <si>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</si>
  <si>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</si>
  <si>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</si>
  <si>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</si>
  <si>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</si>
  <si>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</si>
  <si>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</si>
  <si>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</si>
  <si>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</si>
  <si>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</si>
  <si>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</si>
  <si>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</si>
  <si>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</si>
  <si>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</si>
  <si>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</si>
  <si>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</si>
  <si>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</si>
  <si>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</si>
  <si>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</si>
  <si>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</si>
  <si>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</si>
  <si>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</si>
  <si>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</si>
  <si>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</si>
  <si>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</si>
  <si>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</si>
  <si>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</si>
  <si>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</si>
  <si>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</si>
  <si>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</si>
  <si>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</si>
  <si>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</si>
  <si>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</si>
  <si>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</si>
  <si>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</si>
  <si>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</si>
  <si>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</si>
  <si>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</si>
  <si>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</si>
  <si>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</si>
  <si>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</si>
  <si>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</si>
  <si>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</si>
  <si>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</si>
  <si>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</si>
  <si>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</si>
  <si>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</si>
  <si>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</si>
  <si>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</si>
  <si>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</si>
  <si>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</si>
  <si>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</si>
  <si>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</si>
  <si>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</si>
  <si>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</si>
  <si>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</si>
  <si>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</si>
  <si>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</si>
  <si>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</si>
  <si>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</si>
  <si>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</si>
  <si>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</si>
  <si>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</si>
  <si>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</si>
  <si>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</si>
  <si>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</si>
  <si>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</si>
  <si>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</si>
  <si>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</si>
  <si>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</si>
  <si>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</si>
  <si>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</si>
  <si>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</si>
  <si>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</si>
  <si>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</si>
  <si>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</si>
  <si>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MAIN MC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</si>
  <si>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</si>
  <si>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</si>
  <si>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</si>
  <si>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</si>
  <si>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</si>
  <si>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</si>
  <si>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</si>
  <si>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</si>
  <si>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</si>
  <si>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</si>
  <si>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</si>
  <si>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</si>
  <si>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</si>
  <si>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2021.03.31</t>
    <phoneticPr fontId="3" type="noConversion"/>
  </si>
  <si>
    <t>2021.04.30</t>
    <phoneticPr fontId="3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</si>
  <si>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</si>
  <si>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</si>
  <si>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t>GT36_축_외경 템퍼링 홀딩</t>
    <phoneticPr fontId="2" type="noConversion"/>
  </si>
  <si>
    <t>일진_GT36_축 외경 템퍼링 홀딩</t>
    <phoneticPr fontId="3" type="noConversion"/>
  </si>
  <si>
    <t>EBS 103c 125A</t>
    <phoneticPr fontId="2" type="noConversion"/>
  </si>
  <si>
    <t>FUSE</t>
    <phoneticPr fontId="2" type="noConversion"/>
  </si>
  <si>
    <t>MCCB(핸들)</t>
    <phoneticPr fontId="2" type="noConversion"/>
  </si>
  <si>
    <t>MC-130a, 150AF</t>
    <phoneticPr fontId="2" type="noConversion"/>
  </si>
  <si>
    <t>DH125, 외부조작핸들 직결형</t>
    <phoneticPr fontId="2" type="noConversion"/>
  </si>
  <si>
    <r>
      <t>권선비 : 24/22 : 2/2/2, (12, 11 : 1)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170A, 2차 전류: 2000A정도
: 2차 권선은 3병렬로 사용</t>
    </r>
    <phoneticPr fontId="2" type="noConversion"/>
  </si>
  <si>
    <t>41.7uF 1250V,1800A ,5.5kHz</t>
    <phoneticPr fontId="2" type="noConversion"/>
  </si>
  <si>
    <t>2병렬  :총 83.4uF, 1250V, 3600A, 3kHz(2EA)</t>
    <phoneticPr fontId="2" type="noConversion"/>
  </si>
  <si>
    <t xml:space="preserve">최대 2000A </t>
    <phoneticPr fontId="2" type="noConversion"/>
  </si>
  <si>
    <t xml:space="preserve">최대 2000A </t>
    <phoneticPr fontId="2" type="noConversion"/>
  </si>
  <si>
    <t xml:space="preserve">최대 170A </t>
    <phoneticPr fontId="2" type="noConversion"/>
  </si>
  <si>
    <t>17~18 (14~30까지 설계)</t>
    <phoneticPr fontId="2" type="noConversion"/>
  </si>
  <si>
    <t>LCD설정 200A</t>
    <phoneticPr fontId="2" type="noConversion"/>
  </si>
  <si>
    <t>2021.03.06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</si>
</sst>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7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7" fillId="6" borderId="29" xfId="0" applyFont="1" applyFill="1" applyBorder="1" applyAlignment="1">
      <alignment horizontal="center" vertical="center"/>
    </xf>
    <xf numFmtId="190" fontId="11" fillId="9" borderId="28" xfId="0" applyNumberFormat="1" applyFont="1" applyFill="1" applyBorder="1" applyAlignment="1">
      <alignment horizontal="right"/>
    </xf>
    <xf numFmtId="0" fontId="13" fillId="0" borderId="51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1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11" fillId="0" borderId="50" xfId="2" applyFont="1" applyBorder="1" applyAlignment="1">
      <alignment horizontal="center" vertical="center"/>
    </xf>
    <xf numFmtId="0" fontId="11" fillId="0" borderId="51" xfId="2" applyFont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2" xfId="0" applyFont="1" applyBorder="1" applyAlignment="1">
      <alignment horizontal="center" vertical="center"/>
    </xf>
    <xf numFmtId="0" fontId="11" fillId="0" borderId="52" xfId="0" applyFont="1" applyBorder="1" applyAlignment="1">
      <alignment horizontal="left" vertical="center"/>
    </xf>
    <xf numFmtId="0" fontId="11" fillId="0" borderId="44" xfId="0" applyFont="1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4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5" xfId="0" applyFont="1" applyFill="1" applyBorder="1" applyAlignment="1">
      <alignment horizontal="left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6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19</xdr:row>
      <xdr:rowOff>61441</xdr:rowOff>
    </xdr:from>
    <xdr:to>
      <xdr:col>21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58555</xdr:rowOff>
    </xdr:from>
    <xdr:to>
      <xdr:col>21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23</xdr:row>
      <xdr:rowOff>61441</xdr:rowOff>
    </xdr:from>
    <xdr:to>
      <xdr:col>21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54807</xdr:rowOff>
    </xdr:from>
    <xdr:to>
      <xdr:col>21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1957059</xdr:colOff>
      <xdr:row>23</xdr:row>
      <xdr:rowOff>57693</xdr:rowOff>
    </xdr:from>
    <xdr:to>
      <xdr:col>21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1549897</xdr:colOff>
      <xdr:row>27</xdr:row>
      <xdr:rowOff>23231</xdr:rowOff>
    </xdr:from>
    <xdr:to>
      <xdr:col>21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23231</xdr:rowOff>
    </xdr:from>
    <xdr:to>
      <xdr:col>21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1667817</xdr:colOff>
      <xdr:row>27</xdr:row>
      <xdr:rowOff>120160</xdr:rowOff>
    </xdr:from>
    <xdr:to>
      <xdr:col>21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121015</xdr:rowOff>
    </xdr:from>
    <xdr:to>
      <xdr:col>21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1695356</xdr:colOff>
      <xdr:row>19</xdr:row>
      <xdr:rowOff>55621</xdr:rowOff>
    </xdr:from>
    <xdr:to>
      <xdr:col>21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56203</xdr:rowOff>
    </xdr:from>
    <xdr:to>
      <xdr:col>21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1690298</xdr:colOff>
      <xdr:row>23</xdr:row>
      <xdr:rowOff>54429</xdr:rowOff>
    </xdr:from>
    <xdr:to>
      <xdr:col>21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53245</xdr:rowOff>
    </xdr:from>
    <xdr:to>
      <xdr:col>21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1950107</xdr:colOff>
      <xdr:row>23</xdr:row>
      <xdr:rowOff>54428</xdr:rowOff>
    </xdr:from>
    <xdr:to>
      <xdr:col>21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1553159</xdr:colOff>
      <xdr:row>27</xdr:row>
      <xdr:rowOff>23664</xdr:rowOff>
    </xdr:from>
    <xdr:to>
      <xdr:col>21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23230</xdr:rowOff>
    </xdr:from>
    <xdr:to>
      <xdr:col>21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1664555</xdr:colOff>
      <xdr:row>27</xdr:row>
      <xdr:rowOff>120160</xdr:rowOff>
    </xdr:from>
    <xdr:to>
      <xdr:col>21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124239</xdr:rowOff>
    </xdr:from>
    <xdr:to>
      <xdr:col>21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zoomScale="80" zoomScaleNormal="80" workbookViewId="0">
      <selection activeCell="M22" sqref="M22"/>
    </sheetView>
  </sheetViews>
  <sheetFormatPr defaultRowHeight="13.5" x14ac:dyDescent="0.15"/>
  <cols>
    <col min="1" max="1" width="8.88671875" style="1"/>
    <col min="2" max="2" width="35.44140625" style="1" customWidth="1"/>
    <col min="3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12.109375" style="1" bestFit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 x14ac:dyDescent="0.15">
      <c r="B1" s="129" t="s">
        <v>312</v>
      </c>
    </row>
    <row r="2" spans="2:24" ht="16.5" x14ac:dyDescent="0.15">
      <c r="B2" s="111" t="s">
        <v>240</v>
      </c>
      <c r="C2" s="223"/>
      <c r="D2" s="224"/>
      <c r="E2" s="224"/>
      <c r="F2" s="112"/>
      <c r="G2" s="112" t="s">
        <v>295</v>
      </c>
      <c r="H2" s="112" t="s">
        <v>245</v>
      </c>
    </row>
    <row r="3" spans="2:24" ht="16.5" x14ac:dyDescent="0.15">
      <c r="B3" s="113" t="s">
        <v>18</v>
      </c>
      <c r="C3" s="114">
        <v>50</v>
      </c>
      <c r="D3" s="114">
        <v>50</v>
      </c>
      <c r="E3" s="114">
        <v>50</v>
      </c>
      <c r="F3" s="113" t="s">
        <v>1</v>
      </c>
      <c r="G3" s="115">
        <v>1</v>
      </c>
      <c r="H3" s="116" t="s">
        <v>243</v>
      </c>
      <c r="J3" s="221" t="s">
        <v>281</v>
      </c>
      <c r="K3" s="221"/>
      <c r="L3" s="221"/>
      <c r="M3" s="76" t="s">
        <v>503</v>
      </c>
      <c r="N3" s="220" t="s">
        <v>241</v>
      </c>
      <c r="O3" s="220"/>
      <c r="P3" s="220"/>
      <c r="Q3" s="76" t="s">
        <v>503</v>
      </c>
      <c r="R3" s="220" t="s">
        <v>488</v>
      </c>
      <c r="S3" s="220"/>
      <c r="T3" s="220"/>
      <c r="U3" s="76"/>
      <c r="V3" s="221" t="s">
        <v>261</v>
      </c>
      <c r="W3" s="221"/>
      <c r="X3" s="221"/>
    </row>
    <row r="4" spans="2:24" ht="16.5" x14ac:dyDescent="0.15">
      <c r="B4" s="113" t="s">
        <v>499</v>
      </c>
      <c r="C4" s="114">
        <v>440</v>
      </c>
      <c r="D4" s="114">
        <v>440</v>
      </c>
      <c r="E4" s="114">
        <v>440</v>
      </c>
      <c r="F4" s="113" t="s">
        <v>0</v>
      </c>
      <c r="G4" s="115">
        <v>2</v>
      </c>
      <c r="H4" s="116" t="s">
        <v>244</v>
      </c>
      <c r="J4" s="69" t="s">
        <v>10</v>
      </c>
      <c r="K4" s="70">
        <v>4</v>
      </c>
      <c r="L4" s="69" t="s">
        <v>11</v>
      </c>
      <c r="M4" s="76"/>
      <c r="N4" s="69" t="s">
        <v>20</v>
      </c>
      <c r="O4" s="70">
        <v>580</v>
      </c>
      <c r="P4" s="69" t="s">
        <v>0</v>
      </c>
      <c r="Q4" s="76"/>
      <c r="R4" s="69" t="s">
        <v>212</v>
      </c>
      <c r="S4" s="67" t="s">
        <v>213</v>
      </c>
      <c r="T4" s="67"/>
      <c r="U4" s="76"/>
      <c r="V4" s="215" t="s">
        <v>106</v>
      </c>
      <c r="W4" s="70">
        <v>900</v>
      </c>
      <c r="X4" s="215" t="s">
        <v>15</v>
      </c>
    </row>
    <row r="5" spans="2:24" ht="16.5" x14ac:dyDescent="0.15">
      <c r="B5" s="113" t="s">
        <v>73</v>
      </c>
      <c r="C5" s="141">
        <v>0.9</v>
      </c>
      <c r="D5" s="141">
        <v>0.9</v>
      </c>
      <c r="E5" s="141">
        <v>0.9</v>
      </c>
      <c r="F5" s="113"/>
      <c r="G5" s="115"/>
      <c r="H5" s="113" t="s">
        <v>477</v>
      </c>
      <c r="J5" s="69" t="s">
        <v>12</v>
      </c>
      <c r="K5" s="70">
        <v>490</v>
      </c>
      <c r="L5" s="69" t="s">
        <v>13</v>
      </c>
      <c r="M5" s="76"/>
      <c r="N5" s="69" t="s">
        <v>21</v>
      </c>
      <c r="O5" s="70">
        <v>0.36</v>
      </c>
      <c r="P5" s="69" t="s">
        <v>19</v>
      </c>
      <c r="Q5" s="76"/>
      <c r="R5" s="75" t="s">
        <v>214</v>
      </c>
      <c r="S5" s="77">
        <v>1.75</v>
      </c>
      <c r="T5" s="75" t="s">
        <v>215</v>
      </c>
      <c r="U5" s="76"/>
      <c r="V5" s="215" t="s">
        <v>107</v>
      </c>
      <c r="W5" s="70">
        <v>150</v>
      </c>
      <c r="X5" s="215" t="s">
        <v>2</v>
      </c>
    </row>
    <row r="6" spans="2:24" ht="16.5" x14ac:dyDescent="0.1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3" t="s">
        <v>2</v>
      </c>
      <c r="G6" s="115"/>
      <c r="H6" s="113" t="s">
        <v>293</v>
      </c>
      <c r="J6" s="69" t="s">
        <v>14</v>
      </c>
      <c r="K6" s="70">
        <v>140</v>
      </c>
      <c r="L6" s="69" t="s">
        <v>13</v>
      </c>
      <c r="M6" s="76"/>
      <c r="N6" s="69" t="s">
        <v>22</v>
      </c>
      <c r="O6" s="70">
        <v>75</v>
      </c>
      <c r="P6" s="69" t="s">
        <v>23</v>
      </c>
      <c r="Q6" s="76"/>
      <c r="R6" s="75" t="s">
        <v>216</v>
      </c>
      <c r="S6" s="78">
        <v>3.8999999999999998E-3</v>
      </c>
      <c r="T6" s="75" t="s">
        <v>217</v>
      </c>
      <c r="U6" s="76"/>
      <c r="V6" s="215" t="s">
        <v>108</v>
      </c>
      <c r="W6" s="70">
        <v>1200</v>
      </c>
      <c r="X6" s="215" t="s">
        <v>28</v>
      </c>
    </row>
    <row r="7" spans="2:24" ht="16.5" x14ac:dyDescent="0.15">
      <c r="B7" s="113" t="s">
        <v>51</v>
      </c>
      <c r="C7" s="117">
        <v>2</v>
      </c>
      <c r="D7" s="117">
        <v>2</v>
      </c>
      <c r="E7" s="117">
        <v>2</v>
      </c>
      <c r="F7" s="113" t="s">
        <v>74</v>
      </c>
      <c r="G7" s="115"/>
      <c r="H7" s="113"/>
      <c r="J7" s="69" t="s">
        <v>97</v>
      </c>
      <c r="K7" s="71">
        <f>(K5*K4)*(K5*K4)/(101.6*(4.5*K5+10*K6))</f>
        <v>10.488494763397293</v>
      </c>
      <c r="L7" s="69" t="s">
        <v>15</v>
      </c>
      <c r="M7" s="76"/>
      <c r="N7" s="69" t="s">
        <v>24</v>
      </c>
      <c r="O7" s="70">
        <v>5000</v>
      </c>
      <c r="P7" s="69" t="s">
        <v>25</v>
      </c>
      <c r="Q7" s="76"/>
      <c r="R7" s="75" t="s">
        <v>218</v>
      </c>
      <c r="S7" s="79">
        <v>45</v>
      </c>
      <c r="T7" s="75" t="s">
        <v>48</v>
      </c>
      <c r="U7" s="76"/>
      <c r="V7" s="215" t="s">
        <v>285</v>
      </c>
      <c r="W7" s="70">
        <v>500</v>
      </c>
      <c r="X7" s="215" t="s">
        <v>0</v>
      </c>
    </row>
    <row r="8" spans="2:24" ht="16.5" x14ac:dyDescent="0.1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3" t="s">
        <v>3</v>
      </c>
      <c r="G8" s="115"/>
      <c r="H8" s="113"/>
      <c r="J8" s="69" t="s">
        <v>98</v>
      </c>
      <c r="K8" s="70">
        <v>100</v>
      </c>
      <c r="L8" s="69" t="s">
        <v>7</v>
      </c>
      <c r="M8" s="76"/>
      <c r="N8" s="69" t="s">
        <v>26</v>
      </c>
      <c r="O8" s="87">
        <f>(5000*O4)/(O5*O6*O7)</f>
        <v>21.481481481481481</v>
      </c>
      <c r="P8" s="69" t="s">
        <v>242</v>
      </c>
      <c r="Q8" s="76"/>
      <c r="R8" s="75" t="s">
        <v>219</v>
      </c>
      <c r="S8" s="78">
        <f>S5*(1+S6*(S7-20))</f>
        <v>1.9206249999999998</v>
      </c>
      <c r="T8" s="75" t="s">
        <v>215</v>
      </c>
      <c r="U8" s="76"/>
      <c r="V8" s="215" t="s">
        <v>284</v>
      </c>
      <c r="W8" s="87">
        <f>SQRT(W7^2+W4*W5^2/W6)</f>
        <v>516.59945799429556</v>
      </c>
      <c r="X8" s="215" t="s">
        <v>0</v>
      </c>
    </row>
    <row r="9" spans="2:24" ht="16.5" x14ac:dyDescent="0.15">
      <c r="B9" s="113"/>
      <c r="C9" s="119"/>
      <c r="D9" s="119"/>
      <c r="E9" s="119"/>
      <c r="F9" s="113"/>
      <c r="G9" s="115"/>
      <c r="H9" s="113"/>
      <c r="J9" s="69" t="s">
        <v>95</v>
      </c>
      <c r="K9" s="71">
        <f>K7*K8/100</f>
        <v>10.488494763397293</v>
      </c>
      <c r="L9" s="69" t="s">
        <v>15</v>
      </c>
      <c r="M9" s="76"/>
      <c r="N9" s="76"/>
      <c r="O9" s="76"/>
      <c r="P9" s="76"/>
      <c r="Q9" s="76"/>
      <c r="R9" s="75" t="s">
        <v>220</v>
      </c>
      <c r="S9" s="80">
        <f>1/(S8/100000000)</f>
        <v>52066384.64041654</v>
      </c>
      <c r="T9" s="75" t="s">
        <v>221</v>
      </c>
      <c r="U9" s="76"/>
      <c r="V9" s="76"/>
      <c r="W9" s="76"/>
      <c r="X9" s="76"/>
    </row>
    <row r="10" spans="2:24" ht="16.5" x14ac:dyDescent="0.1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3" t="s">
        <v>0</v>
      </c>
      <c r="G10" s="115"/>
      <c r="H10" s="113" t="s">
        <v>292</v>
      </c>
      <c r="J10" s="215" t="s">
        <v>94</v>
      </c>
      <c r="K10" s="70">
        <v>1.45</v>
      </c>
      <c r="L10" s="69" t="s">
        <v>15</v>
      </c>
      <c r="M10" s="76"/>
      <c r="N10" s="220" t="s">
        <v>501</v>
      </c>
      <c r="O10" s="220"/>
      <c r="P10" s="220"/>
      <c r="Q10" s="76"/>
      <c r="R10" s="75" t="s">
        <v>222</v>
      </c>
      <c r="S10" s="67">
        <v>1</v>
      </c>
      <c r="T10" s="75" t="s">
        <v>223</v>
      </c>
      <c r="U10" s="76"/>
      <c r="V10" s="221" t="s">
        <v>271</v>
      </c>
      <c r="W10" s="221"/>
      <c r="X10" s="221"/>
    </row>
    <row r="11" spans="2:24" ht="16.5" x14ac:dyDescent="0.1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3" t="s">
        <v>2</v>
      </c>
      <c r="G11" s="115"/>
      <c r="H11" s="113" t="s">
        <v>294</v>
      </c>
      <c r="J11" s="215" t="s">
        <v>282</v>
      </c>
      <c r="K11" s="70">
        <v>1</v>
      </c>
      <c r="L11" s="69" t="s">
        <v>42</v>
      </c>
      <c r="M11" s="76"/>
      <c r="N11" s="69" t="s">
        <v>27</v>
      </c>
      <c r="O11" s="70">
        <f>K24</f>
        <v>83.4</v>
      </c>
      <c r="P11" s="69" t="s">
        <v>28</v>
      </c>
      <c r="Q11" s="76"/>
      <c r="R11" s="75" t="s">
        <v>37</v>
      </c>
      <c r="S11" s="81">
        <v>1000</v>
      </c>
      <c r="T11" s="75" t="s">
        <v>224</v>
      </c>
      <c r="U11" s="76"/>
      <c r="V11" s="69" t="s">
        <v>108</v>
      </c>
      <c r="W11" s="70">
        <v>9284</v>
      </c>
      <c r="X11" s="69" t="s">
        <v>28</v>
      </c>
    </row>
    <row r="12" spans="2:24" ht="16.5" x14ac:dyDescent="0.15">
      <c r="B12" s="113"/>
      <c r="C12" s="119"/>
      <c r="D12" s="119"/>
      <c r="E12" s="119"/>
      <c r="F12" s="113"/>
      <c r="G12" s="115"/>
      <c r="H12" s="113"/>
      <c r="J12" s="215" t="s">
        <v>96</v>
      </c>
      <c r="K12" s="70">
        <v>1</v>
      </c>
      <c r="L12" s="69" t="s">
        <v>66</v>
      </c>
      <c r="M12" s="76"/>
      <c r="N12" s="69" t="s">
        <v>29</v>
      </c>
      <c r="O12" s="192">
        <f>K14</f>
        <v>11.938494763397292</v>
      </c>
      <c r="P12" s="69" t="s">
        <v>15</v>
      </c>
      <c r="Q12" s="76"/>
      <c r="R12" s="75" t="s">
        <v>254</v>
      </c>
      <c r="S12" s="94">
        <f>503.3*SQRT((S8/100000000)/(S10*S11))*1000</f>
        <v>2.205709020034714</v>
      </c>
      <c r="T12" s="75" t="s">
        <v>225</v>
      </c>
      <c r="U12" s="76"/>
      <c r="V12" s="69" t="s">
        <v>110</v>
      </c>
      <c r="W12" s="70">
        <v>675</v>
      </c>
      <c r="X12" s="69" t="s">
        <v>0</v>
      </c>
    </row>
    <row r="13" spans="2:24" ht="16.5" x14ac:dyDescent="0.15">
      <c r="B13" s="111" t="s">
        <v>239</v>
      </c>
      <c r="C13" s="119"/>
      <c r="D13" s="119"/>
      <c r="E13" s="119"/>
      <c r="F13" s="113"/>
      <c r="G13" s="115"/>
      <c r="H13" s="113"/>
      <c r="J13" s="215" t="s">
        <v>99</v>
      </c>
      <c r="K13" s="82">
        <v>1</v>
      </c>
      <c r="L13" s="69" t="s">
        <v>67</v>
      </c>
      <c r="M13" s="76"/>
      <c r="N13" s="69" t="s">
        <v>30</v>
      </c>
      <c r="O13" s="87">
        <f>1/(2*3.14*SQRT((O11/1000000)*(O12/1000000)))</f>
        <v>5046.4101401604548</v>
      </c>
      <c r="P13" s="69" t="s">
        <v>31</v>
      </c>
      <c r="Q13" s="76"/>
      <c r="R13" s="75" t="s">
        <v>255</v>
      </c>
      <c r="S13" s="88">
        <v>6126</v>
      </c>
      <c r="T13" s="75" t="s">
        <v>225</v>
      </c>
      <c r="U13" s="76"/>
      <c r="V13" s="69" t="s">
        <v>107</v>
      </c>
      <c r="W13" s="70">
        <v>4300</v>
      </c>
      <c r="X13" s="69" t="s">
        <v>2</v>
      </c>
    </row>
    <row r="14" spans="2:24" ht="16.5" x14ac:dyDescent="0.15">
      <c r="B14" s="113" t="s">
        <v>75</v>
      </c>
      <c r="C14" s="173">
        <v>11.95</v>
      </c>
      <c r="D14" s="173">
        <v>11.95</v>
      </c>
      <c r="E14" s="173">
        <v>11.95</v>
      </c>
      <c r="F14" s="113" t="s">
        <v>15</v>
      </c>
      <c r="G14" s="115">
        <v>3</v>
      </c>
      <c r="H14" s="116" t="s">
        <v>289</v>
      </c>
      <c r="J14" s="215" t="s">
        <v>283</v>
      </c>
      <c r="K14" s="93">
        <f>K9/K12*K13*K11^2+K10</f>
        <v>11.938494763397292</v>
      </c>
      <c r="L14" s="69" t="s">
        <v>15</v>
      </c>
      <c r="M14" s="76"/>
      <c r="N14" s="76"/>
      <c r="O14" s="76"/>
      <c r="P14" s="76"/>
      <c r="Q14" s="76"/>
      <c r="R14" s="75" t="s">
        <v>280</v>
      </c>
      <c r="S14" s="88">
        <v>5</v>
      </c>
      <c r="T14" s="75" t="s">
        <v>225</v>
      </c>
      <c r="U14" s="76"/>
      <c r="V14" s="69" t="s">
        <v>112</v>
      </c>
      <c r="W14" s="70">
        <v>800</v>
      </c>
      <c r="X14" s="69" t="s">
        <v>25</v>
      </c>
    </row>
    <row r="15" spans="2:24" ht="16.5" x14ac:dyDescent="0.15">
      <c r="B15" s="113" t="s">
        <v>76</v>
      </c>
      <c r="C15" s="114">
        <v>83.4</v>
      </c>
      <c r="D15" s="114">
        <v>83.4</v>
      </c>
      <c r="E15" s="114">
        <v>83.4</v>
      </c>
      <c r="F15" s="113" t="s">
        <v>28</v>
      </c>
      <c r="G15" s="115">
        <v>4</v>
      </c>
      <c r="H15" s="116" t="s">
        <v>291</v>
      </c>
      <c r="I15" s="2"/>
      <c r="J15" s="76"/>
      <c r="K15" s="76"/>
      <c r="L15" s="76"/>
      <c r="M15" s="76"/>
      <c r="N15" s="220" t="s">
        <v>248</v>
      </c>
      <c r="O15" s="220"/>
      <c r="P15" s="220"/>
      <c r="Q15" s="76"/>
      <c r="R15" s="75" t="s">
        <v>278</v>
      </c>
      <c r="S15" s="89">
        <f>MIN(S12,S14)</f>
        <v>2.205709020034714</v>
      </c>
      <c r="T15" s="75" t="s">
        <v>225</v>
      </c>
      <c r="U15" s="76"/>
      <c r="V15" s="69" t="s">
        <v>113</v>
      </c>
      <c r="W15" s="71">
        <f>(1.414*W13*0.421)/(2*3.14159*W14*W12*2*W11*0.000001)*2*100</f>
        <v>8.1262759844751162</v>
      </c>
      <c r="X15" s="69" t="s">
        <v>7</v>
      </c>
    </row>
    <row r="16" spans="2:24" ht="16.5" x14ac:dyDescent="0.15">
      <c r="B16" s="113" t="s">
        <v>77</v>
      </c>
      <c r="C16" s="118">
        <f>1000/(2*PI()*(C14*C15)^0.5)</f>
        <v>5.041423177454857</v>
      </c>
      <c r="D16" s="118">
        <f>1000/(2*PI()*(D14*D15)^0.5)</f>
        <v>5.041423177454857</v>
      </c>
      <c r="E16" s="118">
        <f>1000/(2*PI()*(E14*E15)^0.5)</f>
        <v>5.041423177454857</v>
      </c>
      <c r="F16" s="113" t="s">
        <v>4</v>
      </c>
      <c r="G16" s="115"/>
      <c r="H16" s="113" t="s">
        <v>247</v>
      </c>
      <c r="J16" s="221" t="s">
        <v>226</v>
      </c>
      <c r="K16" s="221"/>
      <c r="L16" s="221"/>
      <c r="M16" s="76" t="s">
        <v>503</v>
      </c>
      <c r="N16" s="69" t="s">
        <v>32</v>
      </c>
      <c r="O16" s="70">
        <v>142.80000000000001</v>
      </c>
      <c r="P16" s="69" t="s">
        <v>33</v>
      </c>
      <c r="Q16" s="76"/>
      <c r="R16" s="75" t="s">
        <v>276</v>
      </c>
      <c r="S16" s="88">
        <v>200</v>
      </c>
      <c r="T16" s="75" t="s">
        <v>225</v>
      </c>
      <c r="U16" s="76"/>
      <c r="V16" s="69" t="s">
        <v>109</v>
      </c>
      <c r="W16" s="87">
        <f>W12*W15/100</f>
        <v>54.852362895207037</v>
      </c>
      <c r="X16" s="69" t="s">
        <v>0</v>
      </c>
    </row>
    <row r="17" spans="2:24" ht="16.5" x14ac:dyDescent="0.15">
      <c r="B17" s="113" t="s">
        <v>78</v>
      </c>
      <c r="C17" s="114">
        <v>30</v>
      </c>
      <c r="D17" s="114">
        <v>25</v>
      </c>
      <c r="E17" s="114">
        <v>30</v>
      </c>
      <c r="F17" s="113" t="s">
        <v>79</v>
      </c>
      <c r="G17" s="115">
        <v>5</v>
      </c>
      <c r="H17" s="116" t="s">
        <v>272</v>
      </c>
      <c r="J17" s="83" t="s">
        <v>231</v>
      </c>
      <c r="K17" s="84">
        <v>41.7</v>
      </c>
      <c r="L17" s="83" t="s">
        <v>28</v>
      </c>
      <c r="M17" s="76"/>
      <c r="N17" s="69" t="s">
        <v>34</v>
      </c>
      <c r="O17" s="70">
        <v>3</v>
      </c>
      <c r="P17" s="69" t="s">
        <v>4</v>
      </c>
      <c r="Q17" s="76"/>
      <c r="R17" s="75" t="s">
        <v>275</v>
      </c>
      <c r="S17" s="94">
        <f>S15*S16</f>
        <v>441.14180400694283</v>
      </c>
      <c r="T17" s="75" t="s">
        <v>251</v>
      </c>
      <c r="U17" s="76"/>
      <c r="V17" s="69" t="s">
        <v>111</v>
      </c>
      <c r="W17" s="87">
        <f>2*3.14159*W14*W11*0.000001*W16</f>
        <v>2559.7641999999996</v>
      </c>
      <c r="X17" s="69" t="s">
        <v>2</v>
      </c>
    </row>
    <row r="18" spans="2:24" ht="16.5" x14ac:dyDescent="0.1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3"/>
      <c r="G18" s="115"/>
      <c r="H18" s="113"/>
      <c r="J18" s="83" t="s">
        <v>227</v>
      </c>
      <c r="K18" s="84">
        <v>8</v>
      </c>
      <c r="L18" s="83" t="s">
        <v>234</v>
      </c>
      <c r="M18" s="76"/>
      <c r="N18" s="69" t="s">
        <v>35</v>
      </c>
      <c r="O18" s="70">
        <v>2000</v>
      </c>
      <c r="P18" s="69" t="s">
        <v>2</v>
      </c>
      <c r="Q18" s="76"/>
      <c r="R18" s="75" t="s">
        <v>256</v>
      </c>
      <c r="S18" s="88">
        <v>1000</v>
      </c>
      <c r="T18" s="68" t="s">
        <v>252</v>
      </c>
      <c r="U18" s="76"/>
      <c r="V18" s="76"/>
    </row>
    <row r="19" spans="2:24" ht="16.5" x14ac:dyDescent="0.15">
      <c r="B19" s="113"/>
      <c r="C19" s="119"/>
      <c r="D19" s="119"/>
      <c r="E19" s="119"/>
      <c r="F19" s="113"/>
      <c r="G19" s="115"/>
      <c r="H19" s="113"/>
      <c r="J19" s="83" t="s">
        <v>229</v>
      </c>
      <c r="K19" s="84">
        <v>1250</v>
      </c>
      <c r="L19" s="83" t="s">
        <v>0</v>
      </c>
      <c r="M19" s="76"/>
      <c r="N19" s="69" t="s">
        <v>36</v>
      </c>
      <c r="O19" s="87">
        <f>(O18)/(2*3.14*O17*1000*(O16/1000000))</f>
        <v>743.39714654439274</v>
      </c>
      <c r="P19" s="69" t="s">
        <v>0</v>
      </c>
      <c r="Q19" s="76"/>
      <c r="R19" s="75" t="s">
        <v>491</v>
      </c>
      <c r="S19" s="90">
        <f>S18/S17</f>
        <v>2.2668447898541522</v>
      </c>
      <c r="T19" s="68" t="s">
        <v>252</v>
      </c>
      <c r="U19" s="76"/>
      <c r="V19" s="221" t="s">
        <v>486</v>
      </c>
      <c r="W19" s="221"/>
      <c r="X19" s="221"/>
    </row>
    <row r="20" spans="2:24" ht="16.5" x14ac:dyDescent="0.15">
      <c r="B20" s="113" t="s">
        <v>41</v>
      </c>
      <c r="C20" s="173">
        <v>14</v>
      </c>
      <c r="D20" s="173">
        <v>17.5</v>
      </c>
      <c r="E20" s="173">
        <v>30</v>
      </c>
      <c r="F20" s="113"/>
      <c r="G20" s="115">
        <v>6</v>
      </c>
      <c r="H20" s="116" t="s">
        <v>290</v>
      </c>
      <c r="J20" s="83" t="s">
        <v>230</v>
      </c>
      <c r="K20" s="84">
        <v>1800</v>
      </c>
      <c r="L20" s="83" t="s">
        <v>2</v>
      </c>
      <c r="M20" s="76"/>
      <c r="N20" s="76"/>
      <c r="O20" s="76"/>
      <c r="P20" s="76"/>
      <c r="Q20" s="76"/>
      <c r="R20" s="75" t="s">
        <v>257</v>
      </c>
      <c r="S20" s="90">
        <f>S8/100000000*(S18^2)/(S17/1000000)*S13/1000</f>
        <v>266.71126252670501</v>
      </c>
      <c r="T20" s="68" t="s">
        <v>253</v>
      </c>
      <c r="U20" s="76"/>
      <c r="V20" s="143" t="s">
        <v>480</v>
      </c>
      <c r="W20" s="113">
        <v>0.9133</v>
      </c>
      <c r="X20" s="113" t="s">
        <v>479</v>
      </c>
    </row>
    <row r="21" spans="2:24" ht="16.5" x14ac:dyDescent="0.15">
      <c r="B21" s="113" t="s">
        <v>81</v>
      </c>
      <c r="C21" s="175">
        <f>C16*((C18/C20)+(((C18/C20)^2+4)^0.5))/2</f>
        <v>5.1465665861535967</v>
      </c>
      <c r="D21" s="175">
        <f>D16*((D18/D20)+(((D18/D20)^2+4)^0.5))/2</f>
        <v>5.1091389136504235</v>
      </c>
      <c r="E21" s="175">
        <f>E16*((E18/E20)+(((E18/E20)^2+4)^0.5))/2</f>
        <v>5.0902228068070281</v>
      </c>
      <c r="F21" s="113" t="s">
        <v>4</v>
      </c>
      <c r="G21" s="115"/>
      <c r="H21" s="121" t="s">
        <v>270</v>
      </c>
      <c r="J21" s="83" t="s">
        <v>228</v>
      </c>
      <c r="K21" s="84">
        <v>8</v>
      </c>
      <c r="L21" s="83" t="s">
        <v>234</v>
      </c>
      <c r="M21" s="76"/>
      <c r="N21" s="220" t="s">
        <v>249</v>
      </c>
      <c r="O21" s="220"/>
      <c r="P21" s="220"/>
      <c r="Q21" s="76"/>
      <c r="R21" s="76"/>
      <c r="S21" s="76"/>
      <c r="T21" s="76"/>
      <c r="U21" s="76"/>
      <c r="V21" s="83" t="s">
        <v>481</v>
      </c>
      <c r="W21" s="128">
        <v>3</v>
      </c>
      <c r="X21" s="113" t="s">
        <v>328</v>
      </c>
    </row>
    <row r="22" spans="2:24" ht="16.5" x14ac:dyDescent="0.15">
      <c r="B22" s="113" t="s">
        <v>311</v>
      </c>
      <c r="C22" s="117">
        <f>2*PI()*C16*C14</f>
        <v>378.53054262851481</v>
      </c>
      <c r="D22" s="117">
        <f>2*PI()*D16*D14</f>
        <v>378.53054262851481</v>
      </c>
      <c r="E22" s="117">
        <f>2*PI()*E16*E14</f>
        <v>378.53054262851481</v>
      </c>
      <c r="F22" s="113" t="s">
        <v>83</v>
      </c>
      <c r="G22" s="115"/>
      <c r="H22" s="113"/>
      <c r="J22" s="83" t="s">
        <v>235</v>
      </c>
      <c r="K22" s="84">
        <v>1</v>
      </c>
      <c r="L22" s="83" t="s">
        <v>67</v>
      </c>
      <c r="M22" s="76"/>
      <c r="N22" s="215" t="s">
        <v>152</v>
      </c>
      <c r="O22" s="70">
        <v>680</v>
      </c>
      <c r="P22" s="69" t="s">
        <v>153</v>
      </c>
      <c r="Q22" s="76"/>
      <c r="R22" s="220" t="s">
        <v>489</v>
      </c>
      <c r="S22" s="220"/>
      <c r="T22" s="220"/>
      <c r="U22" s="76"/>
      <c r="V22" s="83" t="s">
        <v>482</v>
      </c>
      <c r="W22" s="142">
        <f>W20*W21</f>
        <v>2.7399</v>
      </c>
      <c r="X22" s="113" t="s">
        <v>479</v>
      </c>
    </row>
    <row r="23" spans="2:24" ht="16.5" x14ac:dyDescent="0.15">
      <c r="B23" s="113" t="s">
        <v>82</v>
      </c>
      <c r="C23" s="117">
        <f>2*PI()*C21*C14</f>
        <v>386.42513710067306</v>
      </c>
      <c r="D23" s="117">
        <f>2*PI()*D21*D14</f>
        <v>383.61491532732435</v>
      </c>
      <c r="E23" s="117">
        <f>2*PI()*E21*E14</f>
        <v>382.19461714250423</v>
      </c>
      <c r="F23" s="113" t="s">
        <v>83</v>
      </c>
      <c r="G23" s="115"/>
      <c r="H23" s="113"/>
      <c r="J23" s="83" t="s">
        <v>236</v>
      </c>
      <c r="K23" s="84">
        <v>2</v>
      </c>
      <c r="L23" s="83" t="s">
        <v>66</v>
      </c>
      <c r="M23" s="76"/>
      <c r="N23" s="215" t="s">
        <v>154</v>
      </c>
      <c r="O23" s="70">
        <v>22</v>
      </c>
      <c r="P23" s="69" t="s">
        <v>155</v>
      </c>
      <c r="Q23" s="76"/>
      <c r="R23" s="69" t="s">
        <v>212</v>
      </c>
      <c r="S23" s="67" t="s">
        <v>213</v>
      </c>
      <c r="T23" s="67"/>
      <c r="U23" s="76"/>
      <c r="V23" s="83"/>
      <c r="W23" s="113"/>
      <c r="X23" s="113"/>
    </row>
    <row r="24" spans="2:24" ht="16.5" x14ac:dyDescent="0.15">
      <c r="B24" s="113" t="s">
        <v>84</v>
      </c>
      <c r="C24" s="117">
        <f>1000000/(2*PI()*C21*C15)</f>
        <v>370.79723326929576</v>
      </c>
      <c r="D24" s="117">
        <f>1000000/(2*PI()*D21*D15)</f>
        <v>373.51355741832344</v>
      </c>
      <c r="E24" s="117">
        <f>1000000/(2*PI()*E21*E15)</f>
        <v>374.90159535452801</v>
      </c>
      <c r="F24" s="113" t="s">
        <v>83</v>
      </c>
      <c r="G24" s="115"/>
      <c r="H24" s="113"/>
      <c r="J24" s="83" t="s">
        <v>262</v>
      </c>
      <c r="K24" s="92">
        <f>K17/K18*K21/K22*K23</f>
        <v>83.4</v>
      </c>
      <c r="L24" s="83" t="s">
        <v>28</v>
      </c>
      <c r="M24" s="76"/>
      <c r="N24" s="215" t="s">
        <v>158</v>
      </c>
      <c r="O24" s="70">
        <v>66</v>
      </c>
      <c r="P24" s="69" t="s">
        <v>159</v>
      </c>
      <c r="Q24" s="76"/>
      <c r="R24" s="75" t="s">
        <v>214</v>
      </c>
      <c r="S24" s="77">
        <v>1.75</v>
      </c>
      <c r="T24" s="75" t="s">
        <v>215</v>
      </c>
      <c r="U24" s="76"/>
      <c r="V24" s="143" t="s">
        <v>483</v>
      </c>
      <c r="W24" s="113">
        <v>0.48</v>
      </c>
      <c r="X24" s="113" t="s">
        <v>479</v>
      </c>
    </row>
    <row r="25" spans="2:24" ht="16.5" x14ac:dyDescent="0.15">
      <c r="B25" s="113" t="s">
        <v>68</v>
      </c>
      <c r="C25" s="117">
        <f>C22/C20</f>
        <v>27.037895902036773</v>
      </c>
      <c r="D25" s="117">
        <f>D22/D20</f>
        <v>21.630316721629416</v>
      </c>
      <c r="E25" s="117">
        <f>E22/E20</f>
        <v>12.617684754283827</v>
      </c>
      <c r="F25" s="113" t="s">
        <v>83</v>
      </c>
      <c r="G25" s="115"/>
      <c r="H25" s="113"/>
      <c r="J25" s="83" t="s">
        <v>232</v>
      </c>
      <c r="K25" s="85">
        <f>K19*K22</f>
        <v>1250</v>
      </c>
      <c r="L25" s="83" t="s">
        <v>0</v>
      </c>
      <c r="M25" s="76"/>
      <c r="N25" s="215" t="s">
        <v>162</v>
      </c>
      <c r="O25" s="70">
        <v>2</v>
      </c>
      <c r="P25" s="69"/>
      <c r="Q25" s="76"/>
      <c r="R25" s="75" t="s">
        <v>216</v>
      </c>
      <c r="S25" s="78">
        <v>3.8999999999999998E-3</v>
      </c>
      <c r="T25" s="75" t="s">
        <v>217</v>
      </c>
      <c r="U25" s="76"/>
      <c r="V25" s="83" t="s">
        <v>484</v>
      </c>
      <c r="W25" s="128">
        <v>5</v>
      </c>
      <c r="X25" s="113" t="s">
        <v>328</v>
      </c>
    </row>
    <row r="26" spans="2:24" ht="16.5" x14ac:dyDescent="0.15">
      <c r="B26" s="113" t="s">
        <v>85</v>
      </c>
      <c r="C26" s="117">
        <f>(C25^2+(C23-C24)^2)^0.5</f>
        <v>31.229460337510702</v>
      </c>
      <c r="D26" s="117">
        <f>(D25^2+(D23-D24)^2)^0.5</f>
        <v>23.87274665981559</v>
      </c>
      <c r="E26" s="117">
        <f>(E25^2+(E23-E24)^2)^0.5</f>
        <v>14.573748157505065</v>
      </c>
      <c r="F26" s="113" t="s">
        <v>83</v>
      </c>
      <c r="G26" s="115"/>
      <c r="H26" s="113"/>
      <c r="J26" s="83" t="s">
        <v>233</v>
      </c>
      <c r="K26" s="85">
        <f>K20*(K21/K18)*K23</f>
        <v>3600</v>
      </c>
      <c r="L26" s="83" t="s">
        <v>2</v>
      </c>
      <c r="M26" s="76"/>
      <c r="N26" s="215" t="s">
        <v>165</v>
      </c>
      <c r="O26" s="71">
        <f>O23*O24*O25*2</f>
        <v>5808</v>
      </c>
      <c r="P26" s="69" t="s">
        <v>155</v>
      </c>
      <c r="Q26" s="76"/>
      <c r="R26" s="75" t="s">
        <v>218</v>
      </c>
      <c r="S26" s="79">
        <v>45</v>
      </c>
      <c r="T26" s="75" t="s">
        <v>48</v>
      </c>
      <c r="U26" s="76"/>
      <c r="V26" s="83" t="s">
        <v>485</v>
      </c>
      <c r="W26" s="142">
        <f>W24*W25</f>
        <v>2.4</v>
      </c>
      <c r="X26" s="113" t="s">
        <v>479</v>
      </c>
    </row>
    <row r="27" spans="2:24" ht="16.5" x14ac:dyDescent="0.15">
      <c r="B27" s="113"/>
      <c r="C27" s="119"/>
      <c r="D27" s="119"/>
      <c r="E27" s="119"/>
      <c r="F27" s="113"/>
      <c r="G27" s="115"/>
      <c r="H27" s="113"/>
      <c r="J27" s="83" t="s">
        <v>47</v>
      </c>
      <c r="K27" s="85">
        <f>K25*K26/1000</f>
        <v>4500</v>
      </c>
      <c r="L27" s="83" t="s">
        <v>47</v>
      </c>
      <c r="M27" s="76"/>
      <c r="N27" s="215" t="s">
        <v>168</v>
      </c>
      <c r="O27" s="70">
        <v>20</v>
      </c>
      <c r="P27" s="69" t="s">
        <v>169</v>
      </c>
      <c r="Q27" s="76"/>
      <c r="R27" s="75" t="s">
        <v>219</v>
      </c>
      <c r="S27" s="78">
        <f>S24*(1+S25*(S26-20))</f>
        <v>1.9206249999999998</v>
      </c>
      <c r="T27" s="75" t="s">
        <v>215</v>
      </c>
      <c r="U27" s="76"/>
      <c r="V27" s="83"/>
      <c r="W27" s="113"/>
      <c r="X27" s="113"/>
    </row>
    <row r="28" spans="2:24" ht="16.5" x14ac:dyDescent="0.15">
      <c r="B28" s="113" t="s">
        <v>105</v>
      </c>
      <c r="C28" s="120">
        <f>(C3*1000000/C25)^0.5</f>
        <v>1359.8736428703394</v>
      </c>
      <c r="D28" s="120">
        <f>(D3*1000000/D25)^0.5</f>
        <v>1520.3849531341757</v>
      </c>
      <c r="E28" s="120">
        <f>(E3*1000000/E25)^0.5</f>
        <v>1990.6511809169278</v>
      </c>
      <c r="F28" s="113" t="s">
        <v>2</v>
      </c>
      <c r="G28" s="115"/>
      <c r="H28" s="121" t="s">
        <v>269</v>
      </c>
      <c r="J28" s="76"/>
      <c r="K28" s="76"/>
      <c r="L28" s="76"/>
      <c r="M28" s="76"/>
      <c r="N28" s="215" t="s">
        <v>170</v>
      </c>
      <c r="O28" s="70">
        <v>300</v>
      </c>
      <c r="P28" s="69" t="s">
        <v>171</v>
      </c>
      <c r="Q28" s="76"/>
      <c r="R28" s="75" t="s">
        <v>220</v>
      </c>
      <c r="S28" s="80">
        <f>1/(S27/100000000)</f>
        <v>52066384.64041654</v>
      </c>
      <c r="T28" s="75" t="s">
        <v>221</v>
      </c>
      <c r="U28" s="76"/>
      <c r="V28" s="143" t="s">
        <v>483</v>
      </c>
      <c r="W28" s="113">
        <v>0.4133</v>
      </c>
      <c r="X28" s="113" t="s">
        <v>479</v>
      </c>
    </row>
    <row r="29" spans="2:24" ht="16.5" x14ac:dyDescent="0.15">
      <c r="B29" s="113" t="s">
        <v>103</v>
      </c>
      <c r="C29" s="117">
        <f>C28*C25/1000</f>
        <v>36.768121995851772</v>
      </c>
      <c r="D29" s="117">
        <f>D28*D25/1000</f>
        <v>32.886408075091914</v>
      </c>
      <c r="E29" s="117">
        <f>E28*E25/1000</f>
        <v>25.117409056552617</v>
      </c>
      <c r="F29" s="113" t="s">
        <v>0</v>
      </c>
      <c r="G29" s="115"/>
      <c r="H29" s="113"/>
      <c r="J29" s="221" t="s">
        <v>237</v>
      </c>
      <c r="K29" s="221"/>
      <c r="L29" s="221"/>
      <c r="M29" s="76"/>
      <c r="N29" s="215" t="s">
        <v>172</v>
      </c>
      <c r="O29" s="70">
        <v>1</v>
      </c>
      <c r="P29" s="69" t="s">
        <v>173</v>
      </c>
      <c r="Q29" s="76"/>
      <c r="R29" s="75" t="s">
        <v>222</v>
      </c>
      <c r="S29" s="67">
        <v>1</v>
      </c>
      <c r="T29" s="75" t="s">
        <v>223</v>
      </c>
      <c r="U29" s="76"/>
      <c r="V29" s="83" t="s">
        <v>484</v>
      </c>
      <c r="W29" s="128">
        <v>3</v>
      </c>
      <c r="X29" s="113" t="s">
        <v>328</v>
      </c>
    </row>
    <row r="30" spans="2:24" ht="16.5" x14ac:dyDescent="0.15">
      <c r="B30" s="113" t="s">
        <v>307</v>
      </c>
      <c r="C30" s="120">
        <f>C28/(2*3.14159*C21*1000*C15/1000000)</f>
        <v>504.23781028361805</v>
      </c>
      <c r="D30" s="120">
        <f>D28/(2*3.14159*D21*1000*D15/1000000)</f>
        <v>567.88487216226804</v>
      </c>
      <c r="E30" s="120">
        <f>E28/(2*3.14159*E21*1000*E15/1000000)</f>
        <v>746.2989338918735</v>
      </c>
      <c r="F30" s="113" t="s">
        <v>0</v>
      </c>
      <c r="G30" s="115"/>
      <c r="H30" s="121" t="s">
        <v>71</v>
      </c>
      <c r="J30" s="215" t="s">
        <v>37</v>
      </c>
      <c r="K30" s="70">
        <v>8080</v>
      </c>
      <c r="L30" s="215" t="s">
        <v>25</v>
      </c>
      <c r="M30" s="76"/>
      <c r="N30" s="215" t="s">
        <v>174</v>
      </c>
      <c r="O30" s="71">
        <f>O28*O29</f>
        <v>300</v>
      </c>
      <c r="P30" s="69" t="s">
        <v>171</v>
      </c>
      <c r="Q30" s="76"/>
      <c r="R30" s="75" t="s">
        <v>37</v>
      </c>
      <c r="S30" s="81">
        <v>3000</v>
      </c>
      <c r="T30" s="75" t="s">
        <v>224</v>
      </c>
      <c r="U30" s="76"/>
      <c r="V30" s="83" t="s">
        <v>485</v>
      </c>
      <c r="W30" s="142">
        <f>W28*W29</f>
        <v>1.2399</v>
      </c>
      <c r="X30" s="113" t="s">
        <v>479</v>
      </c>
    </row>
    <row r="31" spans="2:24" ht="16.5" x14ac:dyDescent="0.15">
      <c r="B31" s="113" t="s">
        <v>104</v>
      </c>
      <c r="C31" s="117">
        <f>C28*C26/1000</f>
        <v>42.468119994045452</v>
      </c>
      <c r="D31" s="117">
        <f>D28*D26/1000</f>
        <v>36.295764811567771</v>
      </c>
      <c r="E31" s="117">
        <f>E28*E26/1000</f>
        <v>29.011248980123362</v>
      </c>
      <c r="F31" s="113" t="s">
        <v>0</v>
      </c>
      <c r="G31" s="115"/>
      <c r="H31" s="113"/>
      <c r="J31" s="215" t="s">
        <v>52</v>
      </c>
      <c r="K31" s="70">
        <v>20</v>
      </c>
      <c r="L31" s="215" t="s">
        <v>28</v>
      </c>
      <c r="M31" s="76"/>
      <c r="N31" s="69"/>
      <c r="O31" s="69"/>
      <c r="P31" s="69"/>
      <c r="Q31" s="76"/>
      <c r="R31" s="75" t="s">
        <v>254</v>
      </c>
      <c r="S31" s="94">
        <f>503.3*SQRT((S27/100000000)/(S29*S30))*1000</f>
        <v>1.2734666964710277</v>
      </c>
      <c r="T31" s="75" t="s">
        <v>225</v>
      </c>
      <c r="U31" s="76"/>
      <c r="V31" s="76"/>
    </row>
    <row r="32" spans="2:24" ht="16.5" x14ac:dyDescent="0.1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3"/>
      <c r="G32" s="115"/>
      <c r="H32" s="113"/>
      <c r="J32" s="215" t="s">
        <v>53</v>
      </c>
      <c r="K32" s="70">
        <v>54</v>
      </c>
      <c r="L32" s="215" t="s">
        <v>2</v>
      </c>
      <c r="M32" s="76"/>
      <c r="N32" s="72" t="s">
        <v>175</v>
      </c>
      <c r="O32" s="222" t="s">
        <v>176</v>
      </c>
      <c r="P32" s="222"/>
      <c r="Q32" s="76"/>
      <c r="R32" s="75" t="s">
        <v>255</v>
      </c>
      <c r="S32" s="88">
        <v>6126</v>
      </c>
      <c r="T32" s="75" t="s">
        <v>225</v>
      </c>
      <c r="U32" s="76"/>
      <c r="V32" s="220" t="s">
        <v>493</v>
      </c>
      <c r="W32" s="220"/>
      <c r="X32" s="220"/>
    </row>
    <row r="33" spans="2:25" ht="16.5" x14ac:dyDescent="0.15">
      <c r="B33" s="113" t="s">
        <v>101</v>
      </c>
      <c r="C33" s="122">
        <f>C30/(C25*C28/1000)</f>
        <v>13.713994158866935</v>
      </c>
      <c r="D33" s="122">
        <f>D30/(D25*D28/1000)</f>
        <v>17.268072294960746</v>
      </c>
      <c r="E33" s="122">
        <f>E30/(E25*E28/1000)</f>
        <v>29.712417081378042</v>
      </c>
      <c r="F33" s="113"/>
      <c r="G33" s="115"/>
      <c r="H33" s="121" t="s">
        <v>267</v>
      </c>
      <c r="J33" s="215" t="s">
        <v>54</v>
      </c>
      <c r="K33" s="70">
        <v>20</v>
      </c>
      <c r="L33" s="215" t="s">
        <v>1</v>
      </c>
      <c r="M33" s="76"/>
      <c r="N33" s="215" t="s">
        <v>177</v>
      </c>
      <c r="O33" s="70">
        <v>30</v>
      </c>
      <c r="P33" s="69" t="s">
        <v>178</v>
      </c>
      <c r="Q33" s="76"/>
      <c r="R33" s="75" t="s">
        <v>279</v>
      </c>
      <c r="S33" s="88">
        <v>1.2</v>
      </c>
      <c r="T33" s="75" t="s">
        <v>225</v>
      </c>
      <c r="U33" s="76"/>
      <c r="V33" s="69" t="s">
        <v>494</v>
      </c>
      <c r="W33" s="70">
        <v>380</v>
      </c>
      <c r="X33" s="69" t="s">
        <v>0</v>
      </c>
    </row>
    <row r="34" spans="2:25" ht="16.5" x14ac:dyDescent="0.15">
      <c r="B34" s="113" t="s">
        <v>308</v>
      </c>
      <c r="C34" s="120">
        <f>C30+C28*C18*C25/1000</f>
        <v>525.48978479722041</v>
      </c>
      <c r="D34" s="120">
        <f>D30+D28*D18*D25/1000</f>
        <v>583.24282473333596</v>
      </c>
      <c r="E34" s="120">
        <f>E30+E28*E18*E25/1000</f>
        <v>760.81679632656096</v>
      </c>
      <c r="F34" s="113" t="s">
        <v>0</v>
      </c>
      <c r="G34" s="115"/>
      <c r="H34" s="121" t="s">
        <v>266</v>
      </c>
      <c r="J34" s="215" t="s">
        <v>286</v>
      </c>
      <c r="K34" s="70">
        <v>6</v>
      </c>
      <c r="L34" s="215" t="s">
        <v>42</v>
      </c>
      <c r="M34" s="76"/>
      <c r="N34" s="215" t="s">
        <v>179</v>
      </c>
      <c r="O34" s="73">
        <f>O28*SQRT(2)*SIN(O33*PI()/180)</f>
        <v>212.13203435596424</v>
      </c>
      <c r="P34" s="69" t="s">
        <v>180</v>
      </c>
      <c r="Q34" s="76"/>
      <c r="R34" s="75" t="s">
        <v>278</v>
      </c>
      <c r="S34" s="89">
        <f>MIN(S31,S33)</f>
        <v>1.2</v>
      </c>
      <c r="T34" s="75" t="s">
        <v>225</v>
      </c>
      <c r="U34" s="76"/>
      <c r="V34" s="69" t="s">
        <v>64</v>
      </c>
      <c r="W34" s="70">
        <v>150</v>
      </c>
      <c r="X34" s="69" t="s">
        <v>2</v>
      </c>
    </row>
    <row r="35" spans="2:25" ht="16.5" x14ac:dyDescent="0.15">
      <c r="B35" s="113" t="s">
        <v>86</v>
      </c>
      <c r="C35" s="117">
        <v>1</v>
      </c>
      <c r="D35" s="117">
        <v>1</v>
      </c>
      <c r="E35" s="117">
        <v>1</v>
      </c>
      <c r="F35" s="113"/>
      <c r="G35" s="115"/>
      <c r="H35" s="113" t="s">
        <v>87</v>
      </c>
      <c r="J35" s="215" t="s">
        <v>55</v>
      </c>
      <c r="K35" s="71">
        <f>(K32*K34)/(2*3.1415*K30*(K31/1000000))</f>
        <v>319.10719322767858</v>
      </c>
      <c r="L35" s="215" t="s">
        <v>56</v>
      </c>
      <c r="M35" s="76"/>
      <c r="N35" s="215" t="s">
        <v>181</v>
      </c>
      <c r="O35" s="86">
        <f>O22*O26/O34</f>
        <v>18617.838705929324</v>
      </c>
      <c r="P35" s="69" t="s">
        <v>182</v>
      </c>
      <c r="Q35" s="76"/>
      <c r="R35" s="75" t="s">
        <v>258</v>
      </c>
      <c r="S35" s="88">
        <v>7.9</v>
      </c>
      <c r="T35" s="75" t="s">
        <v>225</v>
      </c>
      <c r="U35" s="76"/>
      <c r="V35" s="69" t="s">
        <v>497</v>
      </c>
      <c r="W35" s="87">
        <f>W33</f>
        <v>380</v>
      </c>
      <c r="X35" s="69" t="s">
        <v>495</v>
      </c>
    </row>
    <row r="36" spans="2:25" ht="16.5" x14ac:dyDescent="0.1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3" t="s">
        <v>0</v>
      </c>
      <c r="G36" s="115"/>
      <c r="H36" s="113" t="s">
        <v>246</v>
      </c>
      <c r="J36" s="215" t="s">
        <v>57</v>
      </c>
      <c r="K36" s="71">
        <f>K32*K34</f>
        <v>324</v>
      </c>
      <c r="L36" s="215"/>
      <c r="M36" s="76"/>
      <c r="N36" s="69"/>
      <c r="O36" s="69"/>
      <c r="P36" s="69"/>
      <c r="Q36" s="76"/>
      <c r="R36" s="75" t="s">
        <v>277</v>
      </c>
      <c r="S36" s="94">
        <f>(PI()*(S35/2)^2)-(PI()*(S35/2-S34)^2)</f>
        <v>25.258404934861939</v>
      </c>
      <c r="T36" s="75" t="s">
        <v>251</v>
      </c>
      <c r="U36" s="76"/>
      <c r="V36" s="69" t="s">
        <v>498</v>
      </c>
      <c r="W36" s="87">
        <f>W34*1.25</f>
        <v>187.5</v>
      </c>
      <c r="X36" s="69" t="s">
        <v>496</v>
      </c>
    </row>
    <row r="37" spans="2:25" ht="16.5" x14ac:dyDescent="0.15">
      <c r="B37" s="113" t="s">
        <v>88</v>
      </c>
      <c r="C37" s="173">
        <v>12</v>
      </c>
      <c r="D37" s="173">
        <v>12</v>
      </c>
      <c r="E37" s="173">
        <v>12</v>
      </c>
      <c r="F37" s="113" t="s">
        <v>42</v>
      </c>
      <c r="G37" s="115">
        <v>7</v>
      </c>
      <c r="H37" s="116" t="s">
        <v>274</v>
      </c>
      <c r="J37" s="215" t="s">
        <v>502</v>
      </c>
      <c r="K37" s="71">
        <f>K35*K36/1000</f>
        <v>103.39073060576787</v>
      </c>
      <c r="L37" s="215" t="s">
        <v>502</v>
      </c>
      <c r="M37" s="76"/>
      <c r="N37" s="72" t="s">
        <v>183</v>
      </c>
      <c r="O37" s="215"/>
      <c r="P37" s="215"/>
      <c r="Q37" s="76"/>
      <c r="R37" s="75" t="s">
        <v>256</v>
      </c>
      <c r="S37" s="88">
        <v>280</v>
      </c>
      <c r="T37" s="68" t="s">
        <v>252</v>
      </c>
      <c r="U37" s="76"/>
      <c r="V37" s="76"/>
    </row>
    <row r="38" spans="2:25" ht="16.5" x14ac:dyDescent="0.15">
      <c r="B38" s="113" t="s">
        <v>89</v>
      </c>
      <c r="C38" s="117">
        <f>ROUND(C36/C37,1)</f>
        <v>43.4</v>
      </c>
      <c r="D38" s="117">
        <f>ROUND(D36/D37,1)</f>
        <v>43.4</v>
      </c>
      <c r="E38" s="117">
        <f>ROUND(E36/E37,1)</f>
        <v>43.4</v>
      </c>
      <c r="F38" s="113" t="s">
        <v>0</v>
      </c>
      <c r="G38" s="115"/>
      <c r="H38" s="113" t="s">
        <v>310</v>
      </c>
      <c r="J38" s="215" t="s">
        <v>41</v>
      </c>
      <c r="K38" s="87">
        <f>K37/K33</f>
        <v>5.1695365302883935</v>
      </c>
      <c r="L38" s="215"/>
      <c r="M38" s="76"/>
      <c r="N38" s="215" t="s">
        <v>184</v>
      </c>
      <c r="O38" s="73">
        <f>O22*O26/O27/1000</f>
        <v>197.47200000000001</v>
      </c>
      <c r="P38" s="69" t="s">
        <v>180</v>
      </c>
      <c r="Q38" s="76"/>
      <c r="R38" s="75" t="s">
        <v>491</v>
      </c>
      <c r="S38" s="90">
        <f>S37/S36</f>
        <v>11.085418921823555</v>
      </c>
      <c r="T38" s="68" t="s">
        <v>252</v>
      </c>
      <c r="U38" s="76"/>
      <c r="V38" s="220" t="s">
        <v>500</v>
      </c>
      <c r="W38" s="220"/>
      <c r="X38" s="220"/>
    </row>
    <row r="39" spans="2:25" ht="16.5" x14ac:dyDescent="0.15">
      <c r="B39" s="113"/>
      <c r="C39" s="119"/>
      <c r="D39" s="119"/>
      <c r="E39" s="119"/>
      <c r="F39" s="113"/>
      <c r="G39" s="115"/>
      <c r="H39" s="113"/>
      <c r="J39" s="76"/>
      <c r="K39" s="76"/>
      <c r="L39" s="76"/>
      <c r="M39" s="76"/>
      <c r="N39" s="215" t="s">
        <v>185</v>
      </c>
      <c r="O39" s="73">
        <f>O38/SIN(O33*PI()/180)/SQRT(2)</f>
        <v>279.26758058893984</v>
      </c>
      <c r="P39" s="69" t="s">
        <v>171</v>
      </c>
      <c r="Q39" s="76"/>
      <c r="R39" s="75" t="s">
        <v>257</v>
      </c>
      <c r="S39" s="90">
        <f>S27/100000000*(S37^2)/(S36/1000000)*S32/1000</f>
        <v>365.19911070348115</v>
      </c>
      <c r="T39" s="68" t="s">
        <v>253</v>
      </c>
      <c r="U39" s="76"/>
      <c r="V39" s="69" t="s">
        <v>27</v>
      </c>
      <c r="W39" s="70">
        <v>0.52800000000000002</v>
      </c>
      <c r="X39" s="69" t="s">
        <v>28</v>
      </c>
    </row>
    <row r="40" spans="2:25" ht="16.5" x14ac:dyDescent="0.15">
      <c r="B40" s="113" t="s">
        <v>72</v>
      </c>
      <c r="C40" s="122">
        <f>C31/C38*100</f>
        <v>97.852811046187682</v>
      </c>
      <c r="D40" s="122">
        <f>D31/D38*100</f>
        <v>83.630794496699934</v>
      </c>
      <c r="E40" s="122">
        <f>E31/E38*100</f>
        <v>66.846195806735864</v>
      </c>
      <c r="F40" s="113" t="s">
        <v>7</v>
      </c>
      <c r="G40" s="115"/>
      <c r="H40" s="123" t="s">
        <v>273</v>
      </c>
      <c r="J40" s="221" t="s">
        <v>238</v>
      </c>
      <c r="K40" s="221"/>
      <c r="L40" s="221"/>
      <c r="M40" s="76"/>
      <c r="N40" s="215" t="s">
        <v>174</v>
      </c>
      <c r="O40" s="86">
        <f>O39*O29</f>
        <v>279.26758058893984</v>
      </c>
      <c r="P40" s="69" t="s">
        <v>171</v>
      </c>
      <c r="Q40" s="76"/>
      <c r="R40" s="76"/>
      <c r="S40" s="76"/>
      <c r="T40" s="76"/>
      <c r="U40" s="76"/>
      <c r="V40" s="69" t="s">
        <v>29</v>
      </c>
      <c r="W40" s="70">
        <v>0.27</v>
      </c>
      <c r="X40" s="69" t="s">
        <v>15</v>
      </c>
    </row>
    <row r="41" spans="2:25" ht="16.5" x14ac:dyDescent="0.15">
      <c r="B41" s="113"/>
      <c r="C41" s="119"/>
      <c r="D41" s="119"/>
      <c r="E41" s="119"/>
      <c r="F41" s="113"/>
      <c r="G41" s="115"/>
      <c r="H41" s="113"/>
      <c r="J41" s="83" t="s">
        <v>18</v>
      </c>
      <c r="K41" s="84">
        <v>40</v>
      </c>
      <c r="L41" s="83" t="s">
        <v>263</v>
      </c>
      <c r="M41" s="76"/>
      <c r="N41" s="215" t="s">
        <v>186</v>
      </c>
      <c r="O41" s="73">
        <f>O40/O30*100</f>
        <v>93.089193529646607</v>
      </c>
      <c r="P41" s="74" t="s">
        <v>187</v>
      </c>
      <c r="Q41" s="76"/>
      <c r="R41" s="220" t="s">
        <v>490</v>
      </c>
      <c r="S41" s="220"/>
      <c r="T41" s="220"/>
      <c r="U41" s="76"/>
      <c r="V41" s="69" t="s">
        <v>30</v>
      </c>
      <c r="W41" s="87">
        <f>1/(2*3.14*SQRT((W39/1000000)*(W40/1000000)))</f>
        <v>421736.81406829093</v>
      </c>
      <c r="X41" s="69" t="s">
        <v>31</v>
      </c>
    </row>
    <row r="42" spans="2:25" ht="16.5" x14ac:dyDescent="0.15">
      <c r="B42" s="113" t="s">
        <v>90</v>
      </c>
      <c r="C42" s="120">
        <f>C28/C37</f>
        <v>113.32280357252829</v>
      </c>
      <c r="D42" s="120">
        <f>D28/D37</f>
        <v>126.69874609451465</v>
      </c>
      <c r="E42" s="120">
        <f>E28/E37</f>
        <v>165.88759840974399</v>
      </c>
      <c r="F42" s="113" t="s">
        <v>2</v>
      </c>
      <c r="G42" s="115"/>
      <c r="H42" s="121" t="s">
        <v>268</v>
      </c>
      <c r="J42" s="83" t="s">
        <v>100</v>
      </c>
      <c r="K42" s="84">
        <v>127</v>
      </c>
      <c r="L42" s="83" t="s">
        <v>2</v>
      </c>
      <c r="M42" s="76"/>
      <c r="N42" s="215" t="s">
        <v>188</v>
      </c>
      <c r="O42" s="73">
        <f>O41*O41/100</f>
        <v>86.655979520000002</v>
      </c>
      <c r="P42" s="74" t="s">
        <v>187</v>
      </c>
      <c r="Q42" s="76"/>
      <c r="R42" s="69" t="s">
        <v>212</v>
      </c>
      <c r="S42" s="67" t="s">
        <v>213</v>
      </c>
      <c r="T42" s="67"/>
      <c r="U42" s="76"/>
      <c r="V42" s="76"/>
    </row>
    <row r="43" spans="2:25" ht="16.5" x14ac:dyDescent="0.15">
      <c r="B43" s="113" t="s">
        <v>91</v>
      </c>
      <c r="C43" s="117">
        <f>ROUND(C42*2^0.5*2/PI(),0)</f>
        <v>102</v>
      </c>
      <c r="D43" s="117">
        <f>ROUND(D42*2^0.5*2/PI(),0)</f>
        <v>114</v>
      </c>
      <c r="E43" s="117">
        <f>ROUND(E42*2^0.5*2/PI(),0)</f>
        <v>149</v>
      </c>
      <c r="F43" s="113" t="s">
        <v>2</v>
      </c>
      <c r="G43" s="115"/>
      <c r="H43" s="113"/>
      <c r="J43" s="83" t="s">
        <v>44</v>
      </c>
      <c r="K43" s="84">
        <v>401</v>
      </c>
      <c r="L43" s="83" t="s">
        <v>0</v>
      </c>
      <c r="M43" s="76"/>
      <c r="N43" s="76"/>
      <c r="O43" s="76"/>
      <c r="P43" s="76"/>
      <c r="Q43" s="76"/>
      <c r="R43" s="75" t="s">
        <v>214</v>
      </c>
      <c r="S43" s="77">
        <v>1.75</v>
      </c>
      <c r="T43" s="75" t="s">
        <v>215</v>
      </c>
      <c r="U43" s="76"/>
      <c r="V43" s="220" t="s">
        <v>241</v>
      </c>
      <c r="W43" s="220"/>
      <c r="X43" s="220"/>
      <c r="Y43" s="2" t="s">
        <v>576</v>
      </c>
    </row>
    <row r="44" spans="2:25" ht="16.5" x14ac:dyDescent="0.15">
      <c r="B44" s="113" t="s">
        <v>92</v>
      </c>
      <c r="C44" s="117">
        <f>C43/C35</f>
        <v>102</v>
      </c>
      <c r="D44" s="117">
        <f>D43/D35</f>
        <v>114</v>
      </c>
      <c r="E44" s="117">
        <f>E43/E35</f>
        <v>149</v>
      </c>
      <c r="F44" s="113" t="s">
        <v>2</v>
      </c>
      <c r="G44" s="115"/>
      <c r="H44" s="113"/>
      <c r="J44" s="83" t="s">
        <v>466</v>
      </c>
      <c r="K44" s="84">
        <v>1</v>
      </c>
      <c r="L44" s="83"/>
      <c r="M44" s="76"/>
      <c r="N44" s="220" t="s">
        <v>250</v>
      </c>
      <c r="O44" s="220"/>
      <c r="P44" s="220"/>
      <c r="Q44" s="76"/>
      <c r="R44" s="75" t="s">
        <v>216</v>
      </c>
      <c r="S44" s="78">
        <v>3.8999999999999998E-3</v>
      </c>
      <c r="T44" s="75" t="s">
        <v>217</v>
      </c>
      <c r="U44" s="76"/>
      <c r="V44" s="69" t="s">
        <v>20</v>
      </c>
      <c r="W44" s="70">
        <v>500</v>
      </c>
      <c r="X44" s="69" t="s">
        <v>0</v>
      </c>
    </row>
    <row r="45" spans="2:25" ht="16.5" x14ac:dyDescent="0.15">
      <c r="B45" s="113" t="s">
        <v>93</v>
      </c>
      <c r="C45" s="117">
        <f>ROUND(C44/C11,3)</f>
        <v>1.181</v>
      </c>
      <c r="D45" s="117">
        <f>ROUND(D44/D11,3)</f>
        <v>1.319</v>
      </c>
      <c r="E45" s="117">
        <f>ROUND(E44/E11,3)</f>
        <v>1.7250000000000001</v>
      </c>
      <c r="F45" s="113"/>
      <c r="G45" s="115"/>
      <c r="H45" s="113"/>
      <c r="J45" s="83" t="s">
        <v>56</v>
      </c>
      <c r="K45" s="85">
        <f>K43*0.9/K44</f>
        <v>360.90000000000003</v>
      </c>
      <c r="L45" s="83" t="s">
        <v>0</v>
      </c>
      <c r="M45" s="76"/>
      <c r="N45" s="215" t="s">
        <v>156</v>
      </c>
      <c r="O45" s="70">
        <v>5808</v>
      </c>
      <c r="P45" s="215" t="s">
        <v>157</v>
      </c>
      <c r="Q45" s="76"/>
      <c r="R45" s="75" t="s">
        <v>218</v>
      </c>
      <c r="S45" s="79">
        <v>45</v>
      </c>
      <c r="T45" s="75" t="s">
        <v>48</v>
      </c>
      <c r="U45" s="76"/>
      <c r="V45" s="69" t="s">
        <v>21</v>
      </c>
      <c r="W45" s="70">
        <v>0.57999999999999996</v>
      </c>
      <c r="X45" s="69" t="s">
        <v>19</v>
      </c>
    </row>
    <row r="46" spans="2:25" ht="16.5" x14ac:dyDescent="0.15">
      <c r="J46" s="83" t="s">
        <v>264</v>
      </c>
      <c r="K46" s="85">
        <f>(K41*1000)/(K42*K43*0.9/K44)</f>
        <v>0.87270886650390644</v>
      </c>
      <c r="L46" s="83"/>
      <c r="M46" s="76"/>
      <c r="N46" s="215" t="s">
        <v>160</v>
      </c>
      <c r="O46" s="70">
        <v>680</v>
      </c>
      <c r="P46" s="215" t="s">
        <v>161</v>
      </c>
      <c r="Q46" s="76"/>
      <c r="R46" s="75" t="s">
        <v>219</v>
      </c>
      <c r="S46" s="78">
        <f>S43*(1+S44*(S45-20))</f>
        <v>1.9206249999999998</v>
      </c>
      <c r="T46" s="75" t="s">
        <v>215</v>
      </c>
      <c r="U46" s="76"/>
      <c r="V46" s="69" t="s">
        <v>22</v>
      </c>
      <c r="W46" s="70">
        <v>75</v>
      </c>
      <c r="X46" s="69" t="s">
        <v>23</v>
      </c>
    </row>
    <row r="47" spans="2:25" ht="16.5" x14ac:dyDescent="0.15">
      <c r="B47" s="111" t="s">
        <v>313</v>
      </c>
      <c r="J47" s="83" t="s">
        <v>265</v>
      </c>
      <c r="K47" s="91">
        <f>DEGREES(ACOS(K46))</f>
        <v>29.225030363895115</v>
      </c>
      <c r="L47" s="83"/>
      <c r="M47" s="76"/>
      <c r="N47" s="215" t="s">
        <v>163</v>
      </c>
      <c r="O47" s="70">
        <v>300</v>
      </c>
      <c r="P47" s="215" t="s">
        <v>164</v>
      </c>
      <c r="Q47" s="76"/>
      <c r="R47" s="75" t="s">
        <v>220</v>
      </c>
      <c r="S47" s="80">
        <f>1/(S46/100000000)</f>
        <v>52066384.64041654</v>
      </c>
      <c r="T47" s="75" t="s">
        <v>221</v>
      </c>
      <c r="U47" s="76"/>
      <c r="V47" s="69" t="s">
        <v>24</v>
      </c>
      <c r="W47" s="70">
        <v>3000</v>
      </c>
      <c r="X47" s="69" t="s">
        <v>25</v>
      </c>
    </row>
    <row r="48" spans="2:25" ht="16.5" x14ac:dyDescent="0.3">
      <c r="B48" s="95" t="s">
        <v>297</v>
      </c>
      <c r="C48" s="97">
        <v>1</v>
      </c>
      <c r="D48" s="97">
        <v>1</v>
      </c>
      <c r="E48" s="97">
        <v>1</v>
      </c>
      <c r="F48" s="95" t="s">
        <v>49</v>
      </c>
      <c r="G48" s="115">
        <v>8</v>
      </c>
      <c r="H48" s="98" t="s">
        <v>301</v>
      </c>
      <c r="J48" s="76"/>
      <c r="K48" s="76"/>
      <c r="L48" s="76"/>
      <c r="M48" s="76"/>
      <c r="N48" s="215" t="s">
        <v>166</v>
      </c>
      <c r="O48" s="87">
        <f>O45*O46/O47</f>
        <v>13164.8</v>
      </c>
      <c r="P48" s="215" t="s">
        <v>167</v>
      </c>
      <c r="Q48" s="76"/>
      <c r="R48" s="75" t="s">
        <v>222</v>
      </c>
      <c r="S48" s="67">
        <v>1</v>
      </c>
      <c r="T48" s="75" t="s">
        <v>223</v>
      </c>
      <c r="U48" s="76"/>
      <c r="V48" s="69" t="s">
        <v>26</v>
      </c>
      <c r="W48" s="87">
        <f>(5000*W44)/(W45*W46*W47)</f>
        <v>19.157088122605366</v>
      </c>
      <c r="X48" s="69" t="s">
        <v>242</v>
      </c>
    </row>
    <row r="49" spans="2:22" ht="16.5" x14ac:dyDescent="0.3">
      <c r="B49" s="95" t="s">
        <v>114</v>
      </c>
      <c r="C49" s="126">
        <f>C42/C48</f>
        <v>113.32280357252829</v>
      </c>
      <c r="D49" s="126">
        <f>D42/D48</f>
        <v>126.69874609451465</v>
      </c>
      <c r="E49" s="126">
        <f>E42/E48</f>
        <v>165.88759840974399</v>
      </c>
      <c r="F49" s="95" t="s">
        <v>2</v>
      </c>
      <c r="G49" s="115"/>
      <c r="H49" s="95" t="s">
        <v>300</v>
      </c>
      <c r="J49" s="221" t="s">
        <v>288</v>
      </c>
      <c r="K49" s="221"/>
      <c r="L49" s="221"/>
      <c r="M49" s="76"/>
      <c r="N49" s="76"/>
      <c r="O49" s="76"/>
      <c r="P49" s="76"/>
      <c r="Q49" s="76"/>
      <c r="R49" s="75" t="s">
        <v>37</v>
      </c>
      <c r="S49" s="81">
        <v>3000</v>
      </c>
      <c r="T49" s="75" t="s">
        <v>224</v>
      </c>
      <c r="U49" s="76"/>
      <c r="V49" s="76"/>
    </row>
    <row r="50" spans="2:22" ht="16.5" x14ac:dyDescent="0.3">
      <c r="B50" s="95" t="s">
        <v>8</v>
      </c>
      <c r="C50" s="103">
        <v>0</v>
      </c>
      <c r="D50" s="103">
        <v>0</v>
      </c>
      <c r="E50" s="103">
        <v>0</v>
      </c>
      <c r="F50" s="95" t="s">
        <v>45</v>
      </c>
      <c r="G50" s="115">
        <v>9</v>
      </c>
      <c r="H50" s="98" t="s">
        <v>117</v>
      </c>
      <c r="J50" s="95" t="s">
        <v>317</v>
      </c>
      <c r="K50" s="96">
        <v>300</v>
      </c>
      <c r="L50" s="95" t="s">
        <v>13</v>
      </c>
      <c r="M50" s="76"/>
      <c r="N50" s="220" t="s">
        <v>329</v>
      </c>
      <c r="O50" s="220"/>
      <c r="P50" s="220"/>
      <c r="Q50" s="76"/>
      <c r="R50" s="75" t="s">
        <v>254</v>
      </c>
      <c r="S50" s="94">
        <f>503.3*SQRT((S46/100000000)/(S48*S49))*1000</f>
        <v>1.2734666964710277</v>
      </c>
      <c r="T50" s="75" t="s">
        <v>225</v>
      </c>
      <c r="U50" s="76"/>
      <c r="V50" s="76"/>
    </row>
    <row r="51" spans="2:22" ht="16.5" x14ac:dyDescent="0.3">
      <c r="B51" s="95" t="s">
        <v>118</v>
      </c>
      <c r="C51" s="103">
        <v>20</v>
      </c>
      <c r="D51" s="103">
        <v>20</v>
      </c>
      <c r="E51" s="103">
        <v>20</v>
      </c>
      <c r="F51" s="95" t="s">
        <v>0</v>
      </c>
      <c r="G51" s="115">
        <v>10</v>
      </c>
      <c r="H51" s="98" t="s">
        <v>119</v>
      </c>
      <c r="J51" s="95" t="s">
        <v>38</v>
      </c>
      <c r="K51" s="96">
        <v>1</v>
      </c>
      <c r="L51" s="95" t="s">
        <v>13</v>
      </c>
      <c r="M51" s="76"/>
      <c r="N51" s="83" t="s">
        <v>320</v>
      </c>
      <c r="O51" s="84">
        <v>15.4</v>
      </c>
      <c r="P51" s="83" t="s">
        <v>13</v>
      </c>
      <c r="Q51" s="76"/>
      <c r="R51" s="75" t="s">
        <v>255</v>
      </c>
      <c r="S51" s="88">
        <v>6000</v>
      </c>
      <c r="T51" s="75" t="s">
        <v>225</v>
      </c>
      <c r="U51" s="76"/>
      <c r="V51" s="76"/>
    </row>
    <row r="52" spans="2:22" ht="16.5" x14ac:dyDescent="0.3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95" t="s">
        <v>6</v>
      </c>
      <c r="G52" s="115"/>
      <c r="H52" s="95"/>
      <c r="J52" s="95" t="s">
        <v>39</v>
      </c>
      <c r="K52" s="96">
        <v>100</v>
      </c>
      <c r="L52" s="95" t="s">
        <v>13</v>
      </c>
      <c r="M52" s="76"/>
      <c r="N52" s="83" t="s">
        <v>321</v>
      </c>
      <c r="O52" s="84">
        <v>2</v>
      </c>
      <c r="P52" s="83" t="s">
        <v>13</v>
      </c>
      <c r="Q52" s="76"/>
      <c r="R52" s="75" t="s">
        <v>279</v>
      </c>
      <c r="S52" s="88">
        <v>1.5</v>
      </c>
      <c r="T52" s="75" t="s">
        <v>225</v>
      </c>
      <c r="U52" s="76"/>
      <c r="V52" s="76"/>
    </row>
    <row r="53" spans="2:22" ht="16.5" x14ac:dyDescent="0.3">
      <c r="B53" s="95" t="s">
        <v>116</v>
      </c>
      <c r="C53" s="126">
        <f>C21</f>
        <v>5.1465665861535967</v>
      </c>
      <c r="D53" s="126">
        <f>D21</f>
        <v>5.1091389136504235</v>
      </c>
      <c r="E53" s="126">
        <f>E21</f>
        <v>5.0902228068070281</v>
      </c>
      <c r="F53" s="95" t="s">
        <v>4</v>
      </c>
      <c r="G53" s="115"/>
      <c r="H53" s="95" t="s">
        <v>115</v>
      </c>
      <c r="J53" s="95" t="s">
        <v>75</v>
      </c>
      <c r="K53" s="101">
        <f>12.5*(K51/10)*(K52/10)/(K50/10)</f>
        <v>0.41666666666666669</v>
      </c>
      <c r="L53" s="95" t="s">
        <v>40</v>
      </c>
      <c r="M53" s="76"/>
      <c r="N53" s="83" t="s">
        <v>322</v>
      </c>
      <c r="O53" s="85">
        <f>O51+O52*2</f>
        <v>19.399999999999999</v>
      </c>
      <c r="P53" s="83" t="s">
        <v>13</v>
      </c>
      <c r="Q53" s="76"/>
      <c r="R53" s="75" t="s">
        <v>278</v>
      </c>
      <c r="S53" s="89">
        <f>MIN(S50,S52)</f>
        <v>1.2734666964710277</v>
      </c>
      <c r="T53" s="75" t="s">
        <v>225</v>
      </c>
      <c r="U53" s="76"/>
      <c r="V53" s="76"/>
    </row>
    <row r="54" spans="2:22" ht="16.5" x14ac:dyDescent="0.3">
      <c r="B54" s="95" t="s">
        <v>296</v>
      </c>
      <c r="C54" s="106">
        <f>C49*1.414</f>
        <v>160.23844425155499</v>
      </c>
      <c r="D54" s="106">
        <f>D49*1.414</f>
        <v>179.15202697764371</v>
      </c>
      <c r="E54" s="106">
        <f>E49*1.414</f>
        <v>234.56506415137798</v>
      </c>
      <c r="F54" s="95" t="s">
        <v>2</v>
      </c>
      <c r="G54" s="115"/>
      <c r="H54" s="95" t="s">
        <v>302</v>
      </c>
      <c r="N54" s="130" t="s">
        <v>323</v>
      </c>
      <c r="O54" s="131">
        <v>8.8539999999999992E-12</v>
      </c>
      <c r="P54" s="113"/>
      <c r="R54" s="75" t="s">
        <v>259</v>
      </c>
      <c r="S54" s="88">
        <v>8</v>
      </c>
      <c r="T54" s="75" t="s">
        <v>225</v>
      </c>
    </row>
    <row r="55" spans="2:22" ht="16.5" x14ac:dyDescent="0.3">
      <c r="B55" s="95" t="s">
        <v>120</v>
      </c>
      <c r="C55" s="103">
        <v>0</v>
      </c>
      <c r="D55" s="103">
        <v>0</v>
      </c>
      <c r="E55" s="103">
        <v>0</v>
      </c>
      <c r="F55" s="95" t="s">
        <v>5</v>
      </c>
      <c r="G55" s="115">
        <v>11</v>
      </c>
      <c r="H55" s="98" t="s">
        <v>121</v>
      </c>
      <c r="J55" s="221" t="s">
        <v>314</v>
      </c>
      <c r="K55" s="221"/>
      <c r="L55" s="221"/>
      <c r="N55" s="130" t="s">
        <v>324</v>
      </c>
      <c r="O55" s="128">
        <v>2.1</v>
      </c>
      <c r="P55" s="113" t="s">
        <v>319</v>
      </c>
      <c r="R55" s="75" t="s">
        <v>260</v>
      </c>
      <c r="S55" s="88">
        <v>12</v>
      </c>
      <c r="T55" s="75" t="s">
        <v>225</v>
      </c>
    </row>
    <row r="56" spans="2:22" ht="16.5" x14ac:dyDescent="0.3">
      <c r="B56" s="95" t="s">
        <v>122</v>
      </c>
      <c r="C56" s="107">
        <v>0</v>
      </c>
      <c r="D56" s="107">
        <v>0</v>
      </c>
      <c r="E56" s="107">
        <v>0</v>
      </c>
      <c r="F56" s="95" t="s">
        <v>5</v>
      </c>
      <c r="G56" s="115"/>
      <c r="H56" s="95"/>
      <c r="J56" s="95" t="s">
        <v>315</v>
      </c>
      <c r="K56" s="96">
        <v>3000</v>
      </c>
      <c r="L56" s="95" t="s">
        <v>50</v>
      </c>
      <c r="N56" s="113" t="s">
        <v>325</v>
      </c>
      <c r="O56" s="131">
        <f>2*PI()*O54*O55/(LN(O53/O51))*1000000000</f>
        <v>0.50594615125588516</v>
      </c>
      <c r="P56" s="113" t="s">
        <v>318</v>
      </c>
      <c r="R56" s="75" t="s">
        <v>275</v>
      </c>
      <c r="S56" s="94">
        <f>(S54*S55)-((S54-2*S53)*(S55-2*S53))</f>
        <v>44.451798150757774</v>
      </c>
      <c r="T56" s="75" t="s">
        <v>251</v>
      </c>
    </row>
    <row r="57" spans="2:22" ht="16.5" x14ac:dyDescent="0.3">
      <c r="B57" s="95" t="s">
        <v>123</v>
      </c>
      <c r="C57" s="107">
        <v>0</v>
      </c>
      <c r="D57" s="107">
        <v>0</v>
      </c>
      <c r="E57" s="107">
        <v>0</v>
      </c>
      <c r="F57" s="95" t="s">
        <v>5</v>
      </c>
      <c r="G57" s="115"/>
      <c r="H57" s="95"/>
      <c r="J57" s="95" t="s">
        <v>38</v>
      </c>
      <c r="K57" s="96">
        <v>1</v>
      </c>
      <c r="L57" s="95" t="s">
        <v>13</v>
      </c>
      <c r="N57" s="113" t="s">
        <v>326</v>
      </c>
      <c r="O57" s="128">
        <v>10</v>
      </c>
      <c r="P57" s="113" t="s">
        <v>328</v>
      </c>
      <c r="R57" s="75" t="s">
        <v>256</v>
      </c>
      <c r="S57" s="88">
        <v>900</v>
      </c>
      <c r="T57" s="68" t="s">
        <v>252</v>
      </c>
    </row>
    <row r="58" spans="2:22" ht="16.5" x14ac:dyDescent="0.3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95" t="s">
        <v>6</v>
      </c>
      <c r="G58" s="115"/>
      <c r="H58" s="95"/>
      <c r="J58" s="95" t="s">
        <v>316</v>
      </c>
      <c r="K58" s="96">
        <v>2.1</v>
      </c>
      <c r="L58" s="95" t="s">
        <v>319</v>
      </c>
      <c r="M58" s="2"/>
      <c r="N58" s="113" t="s">
        <v>327</v>
      </c>
      <c r="O58" s="132">
        <f>O56*O57</f>
        <v>5.0594615125588511</v>
      </c>
      <c r="P58" s="113" t="s">
        <v>318</v>
      </c>
      <c r="R58" s="75" t="s">
        <v>491</v>
      </c>
      <c r="S58" s="90">
        <f>S57/S56</f>
        <v>20.246650021842989</v>
      </c>
      <c r="T58" s="68" t="s">
        <v>252</v>
      </c>
    </row>
    <row r="59" spans="2:22" ht="16.5" x14ac:dyDescent="0.3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95" t="s">
        <v>6</v>
      </c>
      <c r="G59" s="115"/>
      <c r="H59" s="95"/>
      <c r="J59" s="95" t="s">
        <v>76</v>
      </c>
      <c r="K59" s="101">
        <f>8.854/1000000000000*K58*(K56/1000000)/(K57/1000)*1000000000</f>
        <v>5.5780200000000002E-2</v>
      </c>
      <c r="L59" s="95" t="s">
        <v>318</v>
      </c>
      <c r="R59" s="75" t="s">
        <v>257</v>
      </c>
      <c r="S59" s="90">
        <f>S46/100000000*(S57^2)/(S56/1000000)*S51/1000</f>
        <v>2099.855998702918</v>
      </c>
      <c r="T59" s="68" t="s">
        <v>253</v>
      </c>
    </row>
    <row r="60" spans="2:22" ht="16.5" x14ac:dyDescent="0.3">
      <c r="B60" s="95" t="s">
        <v>126</v>
      </c>
      <c r="C60" s="103">
        <v>100</v>
      </c>
      <c r="D60" s="103">
        <v>100</v>
      </c>
      <c r="E60" s="103">
        <v>100</v>
      </c>
      <c r="F60" s="95" t="s">
        <v>7</v>
      </c>
      <c r="G60" s="115">
        <v>12</v>
      </c>
      <c r="H60" s="98" t="s">
        <v>127</v>
      </c>
    </row>
    <row r="61" spans="2:22" ht="16.5" x14ac:dyDescent="0.3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95" t="s">
        <v>6</v>
      </c>
      <c r="G61" s="115"/>
      <c r="H61" s="95"/>
      <c r="J61" s="219" t="s">
        <v>467</v>
      </c>
      <c r="K61" s="219"/>
      <c r="L61" s="219"/>
      <c r="M61"/>
      <c r="R61" s="220" t="s">
        <v>487</v>
      </c>
      <c r="S61" s="220"/>
      <c r="T61" s="220"/>
    </row>
    <row r="62" spans="2:22" ht="16.5" x14ac:dyDescent="0.3">
      <c r="B62" s="95" t="s">
        <v>129</v>
      </c>
      <c r="C62" s="106">
        <f>C49*0.9</f>
        <v>101.99052321527546</v>
      </c>
      <c r="D62" s="106">
        <f>D49*0.9</f>
        <v>114.02887148506318</v>
      </c>
      <c r="E62" s="106">
        <f>E49*0.9</f>
        <v>149.29883856876958</v>
      </c>
      <c r="F62" s="95" t="s">
        <v>2</v>
      </c>
      <c r="G62" s="115"/>
      <c r="H62" s="95"/>
      <c r="J62" s="138"/>
      <c r="K62" s="139" t="s">
        <v>460</v>
      </c>
      <c r="L62" s="139" t="s">
        <v>461</v>
      </c>
      <c r="M62" s="139" t="s">
        <v>462</v>
      </c>
      <c r="R62" s="69" t="s">
        <v>212</v>
      </c>
      <c r="S62" s="67" t="s">
        <v>213</v>
      </c>
      <c r="T62" s="67"/>
    </row>
    <row r="63" spans="2:22" ht="16.5" x14ac:dyDescent="0.3">
      <c r="B63" s="95" t="s">
        <v>130</v>
      </c>
      <c r="C63" s="218">
        <v>0</v>
      </c>
      <c r="D63" s="218">
        <v>0</v>
      </c>
      <c r="E63" s="218">
        <v>0</v>
      </c>
      <c r="F63" s="95" t="s">
        <v>44</v>
      </c>
      <c r="G63" s="115">
        <v>13</v>
      </c>
      <c r="H63" s="98" t="s">
        <v>131</v>
      </c>
      <c r="J63" s="139" t="s">
        <v>459</v>
      </c>
      <c r="K63" s="139" t="s">
        <v>465</v>
      </c>
      <c r="L63" s="139" t="s">
        <v>463</v>
      </c>
      <c r="M63" s="139" t="s">
        <v>464</v>
      </c>
      <c r="R63" s="75" t="s">
        <v>214</v>
      </c>
      <c r="S63" s="77">
        <v>1.75</v>
      </c>
      <c r="T63" s="75" t="s">
        <v>215</v>
      </c>
    </row>
    <row r="64" spans="2:22" ht="16.5" x14ac:dyDescent="0.3">
      <c r="B64" s="95" t="s">
        <v>132</v>
      </c>
      <c r="C64" s="218">
        <v>0</v>
      </c>
      <c r="D64" s="218">
        <v>0</v>
      </c>
      <c r="E64" s="218">
        <v>0</v>
      </c>
      <c r="F64" s="95" t="s">
        <v>44</v>
      </c>
      <c r="G64" s="115">
        <v>14</v>
      </c>
      <c r="H64" s="98" t="s">
        <v>133</v>
      </c>
      <c r="J64" s="137">
        <v>0.5</v>
      </c>
      <c r="K64" s="137"/>
      <c r="L64" s="137">
        <v>2.5</v>
      </c>
      <c r="M64" s="137"/>
      <c r="R64" s="75" t="s">
        <v>216</v>
      </c>
      <c r="S64" s="78">
        <v>3.8999999999999998E-3</v>
      </c>
      <c r="T64" s="75" t="s">
        <v>217</v>
      </c>
    </row>
    <row r="65" spans="2:20" ht="16.5" x14ac:dyDescent="0.3">
      <c r="B65" s="95" t="s">
        <v>72</v>
      </c>
      <c r="C65" s="107">
        <f>C40</f>
        <v>97.852811046187682</v>
      </c>
      <c r="D65" s="107">
        <f>D40</f>
        <v>83.630794496699934</v>
      </c>
      <c r="E65" s="107">
        <f>E40</f>
        <v>66.846195806735864</v>
      </c>
      <c r="F65" s="95" t="s">
        <v>7</v>
      </c>
      <c r="G65" s="115"/>
      <c r="H65" s="98"/>
      <c r="J65" s="137">
        <v>0.8</v>
      </c>
      <c r="K65" s="137">
        <v>2</v>
      </c>
      <c r="L65" s="137">
        <v>1.42</v>
      </c>
      <c r="M65" s="137"/>
      <c r="R65" s="75" t="s">
        <v>218</v>
      </c>
      <c r="S65" s="79">
        <v>45</v>
      </c>
      <c r="T65" s="75" t="s">
        <v>48</v>
      </c>
    </row>
    <row r="66" spans="2:20" ht="16.5" x14ac:dyDescent="0.3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95" t="s">
        <v>624</v>
      </c>
      <c r="G66" s="115"/>
      <c r="H66" s="95"/>
      <c r="J66" s="137">
        <v>1</v>
      </c>
      <c r="K66" s="137">
        <v>2</v>
      </c>
      <c r="L66" s="137">
        <v>1.4</v>
      </c>
      <c r="M66" s="137"/>
      <c r="R66" s="75" t="s">
        <v>219</v>
      </c>
      <c r="S66" s="78">
        <f>S63*(1+S64*(S65-20))</f>
        <v>1.9206249999999998</v>
      </c>
      <c r="T66" s="75" t="s">
        <v>215</v>
      </c>
    </row>
    <row r="67" spans="2:20" ht="16.5" x14ac:dyDescent="0.3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95" t="s">
        <v>6</v>
      </c>
      <c r="G67" s="115"/>
      <c r="H67" s="95"/>
      <c r="J67" s="137">
        <v>1.2</v>
      </c>
      <c r="K67" s="137"/>
      <c r="L67" s="137">
        <v>1.04</v>
      </c>
      <c r="M67" s="137"/>
      <c r="R67" s="75" t="s">
        <v>220</v>
      </c>
      <c r="S67" s="80">
        <f>1/(S66/100000000)</f>
        <v>52066384.64041654</v>
      </c>
      <c r="T67" s="75" t="s">
        <v>221</v>
      </c>
    </row>
    <row r="68" spans="2:20" ht="16.5" x14ac:dyDescent="0.3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95" t="s">
        <v>6</v>
      </c>
      <c r="G68" s="115"/>
      <c r="H68" s="95"/>
      <c r="J68" s="137">
        <v>2</v>
      </c>
      <c r="K68" s="137">
        <v>1.1200000000000001</v>
      </c>
      <c r="L68" s="137">
        <v>0.75</v>
      </c>
      <c r="M68" s="137"/>
      <c r="R68" s="75" t="s">
        <v>222</v>
      </c>
      <c r="S68" s="67">
        <v>1</v>
      </c>
      <c r="T68" s="75" t="s">
        <v>223</v>
      </c>
    </row>
    <row r="69" spans="2:20" ht="16.5" x14ac:dyDescent="0.3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95" t="s">
        <v>6</v>
      </c>
      <c r="G69" s="115"/>
      <c r="H69" s="95"/>
      <c r="J69" s="137">
        <v>3</v>
      </c>
      <c r="K69" s="137">
        <v>0.71</v>
      </c>
      <c r="L69" s="137">
        <v>0.57999999999999996</v>
      </c>
      <c r="M69" s="137"/>
      <c r="R69" s="75" t="s">
        <v>255</v>
      </c>
      <c r="S69" s="88">
        <v>6126</v>
      </c>
      <c r="T69" s="75" t="s">
        <v>225</v>
      </c>
    </row>
    <row r="70" spans="2:20" ht="16.5" x14ac:dyDescent="0.3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95" t="s">
        <v>6</v>
      </c>
      <c r="G70" s="115"/>
      <c r="H70" s="95"/>
      <c r="J70" s="137">
        <v>5</v>
      </c>
      <c r="K70" s="137">
        <v>0.43</v>
      </c>
      <c r="L70" s="137">
        <v>0.36</v>
      </c>
      <c r="M70" s="137"/>
      <c r="R70" s="75" t="s">
        <v>280</v>
      </c>
      <c r="S70" s="88">
        <v>2</v>
      </c>
      <c r="T70" s="75" t="s">
        <v>225</v>
      </c>
    </row>
    <row r="71" spans="2:20" ht="16.5" x14ac:dyDescent="0.3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95" t="s">
        <v>6</v>
      </c>
      <c r="G71" s="115"/>
      <c r="H71" s="95"/>
      <c r="J71" s="137">
        <v>6</v>
      </c>
      <c r="K71" s="137"/>
      <c r="L71" s="137">
        <v>0.34</v>
      </c>
      <c r="M71" s="137">
        <v>0.62</v>
      </c>
      <c r="R71" s="75" t="s">
        <v>276</v>
      </c>
      <c r="S71" s="88">
        <v>60</v>
      </c>
      <c r="T71" s="75" t="s">
        <v>225</v>
      </c>
    </row>
    <row r="72" spans="2:20" ht="16.5" x14ac:dyDescent="0.3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95" t="s">
        <v>6</v>
      </c>
      <c r="G72" s="115"/>
      <c r="H72" s="95"/>
      <c r="J72" s="137">
        <v>8</v>
      </c>
      <c r="K72" s="137">
        <v>0.3</v>
      </c>
      <c r="L72" s="137">
        <v>0.25</v>
      </c>
      <c r="M72" s="137"/>
      <c r="R72" s="75" t="s">
        <v>275</v>
      </c>
      <c r="S72" s="94">
        <f>S70*S71</f>
        <v>120</v>
      </c>
      <c r="T72" s="75" t="s">
        <v>251</v>
      </c>
    </row>
    <row r="73" spans="2:20" ht="16.5" x14ac:dyDescent="0.3">
      <c r="B73" s="95" t="s">
        <v>137</v>
      </c>
      <c r="C73" s="174">
        <v>2</v>
      </c>
      <c r="D73" s="174">
        <v>2</v>
      </c>
      <c r="E73" s="174">
        <v>2</v>
      </c>
      <c r="F73" s="95"/>
      <c r="G73" s="115">
        <v>15</v>
      </c>
      <c r="H73" s="98" t="s">
        <v>305</v>
      </c>
      <c r="J73" s="137">
        <v>10</v>
      </c>
      <c r="K73" s="137"/>
      <c r="L73" s="137"/>
      <c r="M73" s="137">
        <v>0.45</v>
      </c>
      <c r="R73" s="75" t="s">
        <v>256</v>
      </c>
      <c r="S73" s="88">
        <v>850</v>
      </c>
      <c r="T73" s="68" t="s">
        <v>252</v>
      </c>
    </row>
    <row r="74" spans="2:20" ht="16.5" x14ac:dyDescent="0.3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95" t="s">
        <v>46</v>
      </c>
      <c r="G74" s="115"/>
      <c r="H74" s="95"/>
      <c r="J74" s="137">
        <v>15</v>
      </c>
      <c r="K74" s="137"/>
      <c r="L74" s="137"/>
      <c r="M74" s="137">
        <v>0.4</v>
      </c>
      <c r="R74" s="75" t="s">
        <v>491</v>
      </c>
      <c r="S74" s="90">
        <f>S73/S72</f>
        <v>7.083333333333333</v>
      </c>
      <c r="T74" s="68" t="s">
        <v>252</v>
      </c>
    </row>
    <row r="75" spans="2:20" ht="16.5" x14ac:dyDescent="0.3">
      <c r="B75" s="95" t="s">
        <v>43</v>
      </c>
      <c r="C75" s="110">
        <v>2400</v>
      </c>
      <c r="D75" s="110">
        <v>2400</v>
      </c>
      <c r="E75" s="110">
        <v>2400</v>
      </c>
      <c r="F75" s="95" t="s">
        <v>6</v>
      </c>
      <c r="G75" s="115">
        <v>16</v>
      </c>
      <c r="H75" s="98" t="s">
        <v>117</v>
      </c>
      <c r="J75" s="137">
        <v>20</v>
      </c>
      <c r="K75" s="137"/>
      <c r="L75" s="137"/>
      <c r="M75" s="137">
        <v>0.35</v>
      </c>
      <c r="R75" s="75" t="s">
        <v>257</v>
      </c>
      <c r="S75" s="90">
        <f>S66/100000000*(S73^2)/(S72/1000000)*S69/1000</f>
        <v>708.39612265624987</v>
      </c>
      <c r="T75" s="68" t="s">
        <v>253</v>
      </c>
    </row>
    <row r="76" spans="2:20" ht="16.5" x14ac:dyDescent="0.3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95" t="s">
        <v>7</v>
      </c>
      <c r="G76" s="115"/>
      <c r="H76" s="98" t="s">
        <v>304</v>
      </c>
      <c r="J76" s="137">
        <v>30</v>
      </c>
      <c r="K76" s="137"/>
      <c r="L76" s="137"/>
      <c r="M76" s="137">
        <v>0.28939999999999999</v>
      </c>
    </row>
    <row r="77" spans="2:20" ht="16.5" x14ac:dyDescent="0.3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95" t="s">
        <v>58</v>
      </c>
      <c r="G77" s="115">
        <v>17</v>
      </c>
      <c r="H77" s="124" t="s">
        <v>117</v>
      </c>
      <c r="J77" s="137">
        <v>50</v>
      </c>
      <c r="K77" s="137"/>
      <c r="L77" s="137"/>
      <c r="M77" s="137">
        <v>0.224</v>
      </c>
    </row>
    <row r="78" spans="2:20" ht="16.5" x14ac:dyDescent="0.3">
      <c r="B78" s="95" t="s">
        <v>287</v>
      </c>
      <c r="C78" s="133">
        <v>0.11</v>
      </c>
      <c r="D78" s="133">
        <v>0.15</v>
      </c>
      <c r="E78" s="133">
        <v>0.15</v>
      </c>
      <c r="F78" s="95" t="s">
        <v>58</v>
      </c>
      <c r="G78" s="115">
        <v>18</v>
      </c>
      <c r="H78" s="124" t="s">
        <v>117</v>
      </c>
      <c r="J78" s="137">
        <v>100</v>
      </c>
      <c r="K78" s="137"/>
      <c r="L78" s="137"/>
      <c r="M78" s="137">
        <v>0.161</v>
      </c>
    </row>
    <row r="79" spans="2:20" ht="16.5" x14ac:dyDescent="0.3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100" t="s">
        <v>59</v>
      </c>
      <c r="G79" s="115"/>
      <c r="H79" s="98" t="s">
        <v>140</v>
      </c>
      <c r="J79" s="137">
        <v>200</v>
      </c>
      <c r="K79" s="137"/>
      <c r="L79" s="137"/>
      <c r="M79" s="137">
        <v>7.7600000000000002E-2</v>
      </c>
    </row>
    <row r="80" spans="2:20" ht="16.5" x14ac:dyDescent="0.3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00" t="s">
        <v>59</v>
      </c>
      <c r="G80" s="115"/>
      <c r="H80" s="95"/>
      <c r="J80" s="137">
        <v>300</v>
      </c>
      <c r="K80" s="137"/>
      <c r="L80" s="137"/>
      <c r="M80" s="137">
        <v>5.2400000000000002E-2</v>
      </c>
    </row>
    <row r="81" spans="2:12" ht="16.5" x14ac:dyDescent="0.3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00" t="s">
        <v>59</v>
      </c>
      <c r="G81" s="115"/>
      <c r="H81" s="95"/>
    </row>
    <row r="82" spans="2:12" ht="16.5" x14ac:dyDescent="0.3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00" t="s">
        <v>59</v>
      </c>
      <c r="G82" s="115"/>
      <c r="H82" s="95"/>
      <c r="J82" s="219" t="s">
        <v>478</v>
      </c>
      <c r="K82" s="219"/>
      <c r="L82" s="219"/>
    </row>
    <row r="83" spans="2:12" ht="16.5" x14ac:dyDescent="0.3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95" t="s">
        <v>58</v>
      </c>
      <c r="G83" s="115">
        <v>19</v>
      </c>
      <c r="H83" s="95" t="s">
        <v>117</v>
      </c>
      <c r="J83" s="140" t="s">
        <v>470</v>
      </c>
      <c r="K83" s="140" t="s">
        <v>476</v>
      </c>
      <c r="L83" s="140"/>
    </row>
    <row r="84" spans="2:12" ht="16.5" x14ac:dyDescent="0.3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95" t="s">
        <v>58</v>
      </c>
      <c r="G84" s="115">
        <v>20</v>
      </c>
      <c r="H84" s="95" t="s">
        <v>117</v>
      </c>
      <c r="J84" s="113" t="s">
        <v>468</v>
      </c>
      <c r="K84" s="113">
        <v>183</v>
      </c>
      <c r="L84" s="113" t="s">
        <v>471</v>
      </c>
    </row>
    <row r="85" spans="2:12" ht="16.5" x14ac:dyDescent="0.3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00" t="s">
        <v>59</v>
      </c>
      <c r="G85" s="115"/>
      <c r="H85" s="95" t="s">
        <v>140</v>
      </c>
      <c r="J85" s="113" t="s">
        <v>469</v>
      </c>
      <c r="K85" s="113">
        <v>75</v>
      </c>
      <c r="L85" s="113" t="s">
        <v>471</v>
      </c>
    </row>
    <row r="86" spans="2:12" ht="16.5" x14ac:dyDescent="0.3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00" t="s">
        <v>59</v>
      </c>
      <c r="G86" s="115"/>
      <c r="H86" s="95"/>
      <c r="J86" s="113" t="s">
        <v>472</v>
      </c>
      <c r="K86" s="113">
        <v>9</v>
      </c>
      <c r="L86" s="113" t="s">
        <v>471</v>
      </c>
    </row>
    <row r="87" spans="2:12" ht="16.5" x14ac:dyDescent="0.3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00" t="s">
        <v>59</v>
      </c>
      <c r="G87" s="115"/>
      <c r="H87" s="95"/>
      <c r="J87" s="113" t="s">
        <v>473</v>
      </c>
      <c r="K87" s="113">
        <v>6</v>
      </c>
      <c r="L87" s="113" t="s">
        <v>471</v>
      </c>
    </row>
    <row r="88" spans="2:12" ht="16.5" x14ac:dyDescent="0.3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00" t="s">
        <v>59</v>
      </c>
      <c r="G88" s="115"/>
      <c r="H88" s="95"/>
      <c r="J88" s="113" t="s">
        <v>474</v>
      </c>
      <c r="K88" s="113">
        <v>12</v>
      </c>
      <c r="L88" s="113" t="s">
        <v>471</v>
      </c>
    </row>
    <row r="89" spans="2:12" ht="16.5" x14ac:dyDescent="0.3">
      <c r="B89" s="95" t="s">
        <v>60</v>
      </c>
      <c r="C89" s="126">
        <v>60</v>
      </c>
      <c r="D89" s="126">
        <v>60</v>
      </c>
      <c r="E89" s="126">
        <v>60</v>
      </c>
      <c r="F89" s="100" t="s">
        <v>59</v>
      </c>
      <c r="G89" s="115"/>
      <c r="H89" s="95" t="s">
        <v>150</v>
      </c>
      <c r="J89" s="113" t="s">
        <v>475</v>
      </c>
      <c r="K89" s="113">
        <v>78.540000000000006</v>
      </c>
      <c r="L89" s="113" t="s">
        <v>471</v>
      </c>
    </row>
    <row r="90" spans="2:12" ht="16.5" x14ac:dyDescent="0.3">
      <c r="B90" s="95" t="s">
        <v>61</v>
      </c>
      <c r="C90" s="125">
        <v>8</v>
      </c>
      <c r="D90" s="125">
        <v>8</v>
      </c>
      <c r="E90" s="125">
        <v>8</v>
      </c>
      <c r="F90" s="100" t="s">
        <v>62</v>
      </c>
      <c r="G90" s="115"/>
      <c r="H90" s="95" t="s">
        <v>151</v>
      </c>
    </row>
    <row r="91" spans="2:12" ht="16.5" x14ac:dyDescent="0.3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0" t="s">
        <v>59</v>
      </c>
      <c r="G91" s="115"/>
      <c r="H91" s="95"/>
    </row>
  </sheetData>
  <mergeCells count="26">
    <mergeCell ref="V3:X3"/>
    <mergeCell ref="N10:P10"/>
    <mergeCell ref="V10:X10"/>
    <mergeCell ref="J29:L29"/>
    <mergeCell ref="C2:E2"/>
    <mergeCell ref="J3:L3"/>
    <mergeCell ref="N3:P3"/>
    <mergeCell ref="R3:T3"/>
    <mergeCell ref="N15:P15"/>
    <mergeCell ref="J16:L16"/>
    <mergeCell ref="V19:X19"/>
    <mergeCell ref="N21:P21"/>
    <mergeCell ref="R22:T22"/>
    <mergeCell ref="R61:T61"/>
    <mergeCell ref="O32:P32"/>
    <mergeCell ref="V32:X32"/>
    <mergeCell ref="V38:X38"/>
    <mergeCell ref="J40:L40"/>
    <mergeCell ref="R41:T41"/>
    <mergeCell ref="V43:X43"/>
    <mergeCell ref="J82:L82"/>
    <mergeCell ref="N44:P44"/>
    <mergeCell ref="J49:L49"/>
    <mergeCell ref="N50:P50"/>
    <mergeCell ref="J55:L55"/>
    <mergeCell ref="J61:L6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/>
  </sheetViews>
  <sheetFormatPr defaultRowHeight="13.5" x14ac:dyDescent="0.1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 x14ac:dyDescent="0.2"/>
    <row r="3" spans="2:4" ht="14.25" thickBot="1" x14ac:dyDescent="0.2">
      <c r="B3" s="193" t="s">
        <v>577</v>
      </c>
      <c r="C3" s="194" t="s">
        <v>633</v>
      </c>
      <c r="D3" s="194" t="s">
        <v>578</v>
      </c>
    </row>
    <row r="4" spans="2:4" ht="14.25" thickBot="1" x14ac:dyDescent="0.2">
      <c r="B4" s="195" t="s">
        <v>579</v>
      </c>
      <c r="C4" s="203" t="s">
        <v>648</v>
      </c>
      <c r="D4" s="203"/>
    </row>
    <row r="5" spans="2:4" x14ac:dyDescent="0.15">
      <c r="B5" s="196" t="s">
        <v>580</v>
      </c>
      <c r="C5" s="204" t="s">
        <v>632</v>
      </c>
      <c r="D5" s="204"/>
    </row>
    <row r="6" spans="2:4" x14ac:dyDescent="0.15">
      <c r="B6" s="196" t="s">
        <v>581</v>
      </c>
      <c r="C6" s="204" t="s">
        <v>631</v>
      </c>
      <c r="D6" s="204"/>
    </row>
    <row r="7" spans="2:4" x14ac:dyDescent="0.15">
      <c r="B7" s="196" t="s">
        <v>582</v>
      </c>
      <c r="C7" s="205" t="s">
        <v>650</v>
      </c>
      <c r="D7" s="204"/>
    </row>
    <row r="8" spans="2:4" x14ac:dyDescent="0.15">
      <c r="B8" s="196" t="s">
        <v>652</v>
      </c>
      <c r="C8" s="204" t="s">
        <v>654</v>
      </c>
      <c r="D8" s="204"/>
    </row>
    <row r="9" spans="2:4" x14ac:dyDescent="0.15">
      <c r="B9" s="196" t="s">
        <v>630</v>
      </c>
      <c r="C9" s="204" t="s">
        <v>653</v>
      </c>
      <c r="D9" s="205"/>
    </row>
    <row r="10" spans="2:4" x14ac:dyDescent="0.15">
      <c r="B10" s="196" t="s">
        <v>651</v>
      </c>
      <c r="C10" s="205" t="s">
        <v>636</v>
      </c>
      <c r="D10" s="205"/>
    </row>
    <row r="11" spans="2:4" x14ac:dyDescent="0.15">
      <c r="B11" s="196" t="s">
        <v>583</v>
      </c>
      <c r="C11" s="205" t="s">
        <v>635</v>
      </c>
      <c r="D11" s="205"/>
    </row>
    <row r="12" spans="2:4" x14ac:dyDescent="0.15">
      <c r="B12" s="196" t="s">
        <v>584</v>
      </c>
      <c r="C12" s="206" t="s">
        <v>628</v>
      </c>
      <c r="D12" s="206" t="s">
        <v>627</v>
      </c>
    </row>
    <row r="13" spans="2:4" x14ac:dyDescent="0.15">
      <c r="B13" s="196" t="s">
        <v>585</v>
      </c>
      <c r="C13" s="206" t="s">
        <v>634</v>
      </c>
      <c r="D13" s="206"/>
    </row>
    <row r="14" spans="2:4" x14ac:dyDescent="0.15">
      <c r="B14" s="196" t="s">
        <v>586</v>
      </c>
      <c r="C14" s="205" t="s">
        <v>637</v>
      </c>
      <c r="D14" s="205"/>
    </row>
    <row r="15" spans="2:4" x14ac:dyDescent="0.15">
      <c r="B15" s="196" t="s">
        <v>587</v>
      </c>
      <c r="C15" s="206" t="s">
        <v>625</v>
      </c>
      <c r="D15" s="197" t="s">
        <v>588</v>
      </c>
    </row>
    <row r="16" spans="2:4" x14ac:dyDescent="0.15">
      <c r="B16" s="196" t="s">
        <v>589</v>
      </c>
      <c r="C16" s="198" t="s">
        <v>610</v>
      </c>
      <c r="D16" s="206"/>
    </row>
    <row r="17" spans="2:4" x14ac:dyDescent="0.15">
      <c r="B17" s="196" t="s">
        <v>590</v>
      </c>
      <c r="C17" s="199" t="s">
        <v>638</v>
      </c>
      <c r="D17" s="198"/>
    </row>
    <row r="18" spans="2:4" x14ac:dyDescent="0.15">
      <c r="B18" s="196" t="s">
        <v>591</v>
      </c>
      <c r="C18" s="197" t="s">
        <v>592</v>
      </c>
      <c r="D18" s="198"/>
    </row>
    <row r="19" spans="2:4" ht="63.75" customHeight="1" x14ac:dyDescent="0.15">
      <c r="B19" s="196" t="s">
        <v>593</v>
      </c>
      <c r="C19" s="206" t="s">
        <v>655</v>
      </c>
      <c r="D19" s="206" t="s">
        <v>647</v>
      </c>
    </row>
    <row r="20" spans="2:4" x14ac:dyDescent="0.15">
      <c r="B20" s="196" t="s">
        <v>594</v>
      </c>
      <c r="C20" s="206" t="s">
        <v>656</v>
      </c>
      <c r="D20" s="198"/>
    </row>
    <row r="21" spans="2:4" x14ac:dyDescent="0.15">
      <c r="B21" s="196" t="s">
        <v>595</v>
      </c>
      <c r="C21" s="206" t="s">
        <v>657</v>
      </c>
      <c r="D21" s="198"/>
    </row>
    <row r="22" spans="2:4" x14ac:dyDescent="0.15">
      <c r="B22" s="196" t="s">
        <v>596</v>
      </c>
      <c r="C22" s="198" t="s">
        <v>592</v>
      </c>
      <c r="D22" s="198"/>
    </row>
    <row r="23" spans="2:4" x14ac:dyDescent="0.15">
      <c r="B23" s="200" t="s">
        <v>597</v>
      </c>
      <c r="C23" s="206" t="s">
        <v>639</v>
      </c>
      <c r="D23" s="198"/>
    </row>
    <row r="24" spans="2:4" x14ac:dyDescent="0.15">
      <c r="B24" s="196" t="s">
        <v>598</v>
      </c>
      <c r="C24" s="197"/>
      <c r="D24" s="197"/>
    </row>
    <row r="25" spans="2:4" x14ac:dyDescent="0.15">
      <c r="B25" s="196" t="s">
        <v>599</v>
      </c>
      <c r="C25" s="196" t="s">
        <v>661</v>
      </c>
      <c r="D25" s="196"/>
    </row>
    <row r="26" spans="2:4" x14ac:dyDescent="0.15">
      <c r="B26" s="196" t="s">
        <v>600</v>
      </c>
      <c r="C26" s="196" t="s">
        <v>640</v>
      </c>
      <c r="D26" s="196"/>
    </row>
    <row r="27" spans="2:4" x14ac:dyDescent="0.15">
      <c r="B27" s="196" t="s">
        <v>601</v>
      </c>
      <c r="C27" s="196" t="s">
        <v>641</v>
      </c>
      <c r="D27" s="196"/>
    </row>
    <row r="28" spans="2:4" x14ac:dyDescent="0.15">
      <c r="B28" s="196" t="s">
        <v>602</v>
      </c>
      <c r="C28" s="196" t="s">
        <v>660</v>
      </c>
      <c r="D28" s="196"/>
    </row>
    <row r="29" spans="2:4" x14ac:dyDescent="0.15">
      <c r="B29" s="201" t="s">
        <v>603</v>
      </c>
      <c r="C29" s="196" t="s">
        <v>658</v>
      </c>
      <c r="D29" s="196"/>
    </row>
    <row r="30" spans="2:4" x14ac:dyDescent="0.15">
      <c r="B30" s="201" t="s">
        <v>604</v>
      </c>
      <c r="C30" s="196" t="s">
        <v>659</v>
      </c>
      <c r="D30" s="201"/>
    </row>
    <row r="31" spans="2:4" x14ac:dyDescent="0.15">
      <c r="B31" s="196" t="s">
        <v>605</v>
      </c>
      <c r="C31" s="197" t="s">
        <v>626</v>
      </c>
      <c r="D31" s="197"/>
    </row>
    <row r="32" spans="2:4" x14ac:dyDescent="0.15">
      <c r="B32" s="201" t="s">
        <v>606</v>
      </c>
      <c r="C32" s="207" t="s">
        <v>642</v>
      </c>
      <c r="D32" s="201"/>
    </row>
    <row r="33" spans="2:4" x14ac:dyDescent="0.15">
      <c r="B33" s="201" t="s">
        <v>607</v>
      </c>
      <c r="C33" s="201" t="s">
        <v>592</v>
      </c>
      <c r="D33" s="201"/>
    </row>
    <row r="34" spans="2:4" x14ac:dyDescent="0.15">
      <c r="B34" s="201" t="s">
        <v>608</v>
      </c>
      <c r="C34" s="201" t="s">
        <v>592</v>
      </c>
      <c r="D34" s="201"/>
    </row>
    <row r="35" spans="2:4" ht="14.25" thickBot="1" x14ac:dyDescent="0.2">
      <c r="B35" s="202" t="s">
        <v>609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25" workbookViewId="0">
      <selection activeCell="K22" sqref="K22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28" t="s">
        <v>504</v>
      </c>
      <c r="D2" s="229"/>
      <c r="E2" s="229"/>
      <c r="F2" s="229"/>
      <c r="G2" s="230"/>
    </row>
    <row r="3" spans="3:7" ht="20.25" x14ac:dyDescent="0.15">
      <c r="C3" s="231" t="s">
        <v>505</v>
      </c>
      <c r="D3" s="231"/>
      <c r="E3" s="225" t="s">
        <v>649</v>
      </c>
      <c r="F3" s="226"/>
      <c r="G3" s="227"/>
    </row>
    <row r="4" spans="3:7" ht="20.25" x14ac:dyDescent="0.15">
      <c r="C4" s="176" t="s">
        <v>506</v>
      </c>
      <c r="D4" s="217" t="s">
        <v>663</v>
      </c>
      <c r="E4" s="135" t="s">
        <v>457</v>
      </c>
      <c r="F4" s="232" t="s">
        <v>644</v>
      </c>
      <c r="G4" s="233"/>
    </row>
    <row r="5" spans="3:7" ht="20.25" x14ac:dyDescent="0.15">
      <c r="C5" s="177" t="s">
        <v>507</v>
      </c>
      <c r="D5" s="178"/>
      <c r="E5" s="135" t="s">
        <v>458</v>
      </c>
      <c r="F5" s="225" t="s">
        <v>645</v>
      </c>
      <c r="G5" s="227"/>
    </row>
    <row r="6" spans="3:7" ht="20.25" x14ac:dyDescent="0.15">
      <c r="C6" s="225" t="s">
        <v>508</v>
      </c>
      <c r="D6" s="226"/>
      <c r="E6" s="226"/>
      <c r="F6" s="226"/>
      <c r="G6" s="227"/>
    </row>
    <row r="7" spans="3:7" ht="16.5" x14ac:dyDescent="0.1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 x14ac:dyDescent="0.15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 x14ac:dyDescent="0.15">
      <c r="C9" s="182"/>
      <c r="D9" s="182"/>
      <c r="E9" s="183" t="s">
        <v>513</v>
      </c>
      <c r="F9" s="209">
        <v>10000000</v>
      </c>
      <c r="G9" s="184"/>
    </row>
    <row r="10" spans="3:7" ht="16.5" hidden="1" customHeight="1" x14ac:dyDescent="0.15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 x14ac:dyDescent="0.15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 x14ac:dyDescent="0.15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 x14ac:dyDescent="0.15">
      <c r="C13" s="234">
        <v>2</v>
      </c>
      <c r="D13" s="236" t="s">
        <v>517</v>
      </c>
      <c r="E13" s="180" t="s">
        <v>518</v>
      </c>
      <c r="F13" s="208">
        <v>50</v>
      </c>
      <c r="G13" s="69" t="s">
        <v>519</v>
      </c>
    </row>
    <row r="14" spans="3:7" ht="16.5" x14ac:dyDescent="0.15">
      <c r="C14" s="235"/>
      <c r="D14" s="237"/>
      <c r="E14" s="180" t="s">
        <v>520</v>
      </c>
      <c r="F14" s="211">
        <v>5</v>
      </c>
      <c r="G14" s="69" t="s">
        <v>519</v>
      </c>
    </row>
    <row r="15" spans="3:7" ht="16.5" x14ac:dyDescent="0.15">
      <c r="C15" s="234">
        <v>3</v>
      </c>
      <c r="D15" s="236" t="s">
        <v>521</v>
      </c>
      <c r="E15" s="180" t="s">
        <v>521</v>
      </c>
      <c r="F15" s="208">
        <v>440</v>
      </c>
      <c r="G15" s="69" t="s">
        <v>522</v>
      </c>
    </row>
    <row r="16" spans="3:7" ht="16.5" x14ac:dyDescent="0.15">
      <c r="C16" s="238"/>
      <c r="D16" s="239"/>
      <c r="E16" s="185" t="s">
        <v>523</v>
      </c>
      <c r="F16" s="208">
        <v>763</v>
      </c>
      <c r="G16" s="69" t="s">
        <v>161</v>
      </c>
    </row>
    <row r="17" spans="3:8" ht="16.5" x14ac:dyDescent="0.15">
      <c r="C17" s="238"/>
      <c r="D17" s="239"/>
      <c r="E17" s="185" t="s">
        <v>524</v>
      </c>
      <c r="F17" s="208">
        <v>400</v>
      </c>
      <c r="G17" s="69" t="s">
        <v>161</v>
      </c>
    </row>
    <row r="18" spans="3:8" ht="16.5" x14ac:dyDescent="0.15">
      <c r="C18" s="235"/>
      <c r="D18" s="237"/>
      <c r="E18" s="185" t="s">
        <v>525</v>
      </c>
      <c r="F18" s="208">
        <v>350</v>
      </c>
      <c r="G18" s="69" t="s">
        <v>161</v>
      </c>
    </row>
    <row r="19" spans="3:8" ht="16.5" x14ac:dyDescent="0.15">
      <c r="C19" s="234">
        <v>4</v>
      </c>
      <c r="D19" s="236" t="s">
        <v>526</v>
      </c>
      <c r="E19" s="180" t="s">
        <v>527</v>
      </c>
      <c r="F19" s="208">
        <v>150</v>
      </c>
      <c r="G19" s="69" t="s">
        <v>528</v>
      </c>
    </row>
    <row r="20" spans="3:8" ht="16.5" x14ac:dyDescent="0.15">
      <c r="C20" s="235"/>
      <c r="D20" s="237"/>
      <c r="E20" s="185" t="s">
        <v>529</v>
      </c>
      <c r="F20" s="208">
        <v>150</v>
      </c>
      <c r="G20" s="69" t="s">
        <v>164</v>
      </c>
    </row>
    <row r="21" spans="3:8" ht="16.5" x14ac:dyDescent="0.15">
      <c r="C21" s="234">
        <v>5</v>
      </c>
      <c r="D21" s="236" t="s">
        <v>530</v>
      </c>
      <c r="E21" s="186" t="s">
        <v>531</v>
      </c>
      <c r="F21" s="211">
        <v>6.8</v>
      </c>
      <c r="G21" s="67" t="s">
        <v>532</v>
      </c>
    </row>
    <row r="22" spans="3:8" ht="16.5" x14ac:dyDescent="0.15">
      <c r="C22" s="238"/>
      <c r="D22" s="239"/>
      <c r="E22" s="186" t="s">
        <v>533</v>
      </c>
      <c r="F22" s="208">
        <v>6</v>
      </c>
      <c r="G22" s="67" t="s">
        <v>534</v>
      </c>
    </row>
    <row r="23" spans="3:8" ht="16.5" customHeight="1" x14ac:dyDescent="0.15">
      <c r="C23" s="238"/>
      <c r="D23" s="239"/>
      <c r="E23" s="186" t="s">
        <v>535</v>
      </c>
      <c r="F23" s="208">
        <v>100</v>
      </c>
      <c r="G23" s="67" t="s">
        <v>536</v>
      </c>
    </row>
    <row r="24" spans="3:8" ht="16.5" x14ac:dyDescent="0.15">
      <c r="C24" s="238"/>
      <c r="D24" s="239"/>
      <c r="E24" s="186" t="s">
        <v>537</v>
      </c>
      <c r="F24" s="208">
        <v>170</v>
      </c>
      <c r="G24" s="67" t="s">
        <v>164</v>
      </c>
      <c r="H24" t="s">
        <v>662</v>
      </c>
    </row>
    <row r="25" spans="3:8" ht="16.5" x14ac:dyDescent="0.15">
      <c r="C25" s="238"/>
      <c r="D25" s="239"/>
      <c r="E25" s="215" t="s">
        <v>538</v>
      </c>
      <c r="F25" s="209">
        <f>(3/(F21/F22))*F23</f>
        <v>264.70588235294116</v>
      </c>
      <c r="G25" s="67" t="s">
        <v>164</v>
      </c>
    </row>
    <row r="26" spans="3:8" ht="16.5" x14ac:dyDescent="0.15">
      <c r="C26" s="238"/>
      <c r="D26" s="239"/>
      <c r="E26" s="215" t="s">
        <v>539</v>
      </c>
      <c r="F26" s="209">
        <f>F25*1.11</f>
        <v>293.8235294117647</v>
      </c>
      <c r="G26" s="67" t="s">
        <v>164</v>
      </c>
    </row>
    <row r="27" spans="3:8" ht="16.5" x14ac:dyDescent="0.15">
      <c r="C27" s="235"/>
      <c r="D27" s="237"/>
      <c r="E27" s="187" t="s">
        <v>540</v>
      </c>
      <c r="F27" s="208">
        <v>170</v>
      </c>
      <c r="G27" s="67" t="s">
        <v>164</v>
      </c>
    </row>
    <row r="28" spans="3:8" ht="16.5" customHeight="1" x14ac:dyDescent="0.15">
      <c r="C28" s="234">
        <v>6</v>
      </c>
      <c r="D28" s="240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 x14ac:dyDescent="0.15">
      <c r="C29" s="235"/>
      <c r="D29" s="237"/>
      <c r="E29" s="187" t="s">
        <v>520</v>
      </c>
      <c r="F29" s="211">
        <v>5</v>
      </c>
      <c r="G29" s="102" t="s">
        <v>542</v>
      </c>
    </row>
    <row r="30" spans="3:8" ht="16.5" x14ac:dyDescent="0.15">
      <c r="C30" s="234">
        <v>7</v>
      </c>
      <c r="D30" s="236" t="s">
        <v>543</v>
      </c>
      <c r="E30" s="187" t="s">
        <v>518</v>
      </c>
      <c r="F30" s="208"/>
      <c r="G30" s="102" t="s">
        <v>542</v>
      </c>
    </row>
    <row r="31" spans="3:8" ht="16.5" x14ac:dyDescent="0.15">
      <c r="C31" s="235"/>
      <c r="D31" s="237"/>
      <c r="E31" s="187" t="s">
        <v>520</v>
      </c>
      <c r="F31" s="210"/>
      <c r="G31" s="102" t="s">
        <v>542</v>
      </c>
    </row>
    <row r="32" spans="3:8" ht="16.5" x14ac:dyDescent="0.15">
      <c r="C32" s="234">
        <v>8</v>
      </c>
      <c r="D32" s="236" t="s">
        <v>544</v>
      </c>
      <c r="E32" s="187" t="s">
        <v>518</v>
      </c>
      <c r="F32" s="208"/>
      <c r="G32" s="102" t="s">
        <v>545</v>
      </c>
    </row>
    <row r="33" spans="3:8" ht="16.5" x14ac:dyDescent="0.15">
      <c r="C33" s="235"/>
      <c r="D33" s="237"/>
      <c r="E33" s="187" t="s">
        <v>520</v>
      </c>
      <c r="F33" s="208"/>
      <c r="G33" s="102" t="s">
        <v>545</v>
      </c>
    </row>
    <row r="34" spans="3:8" ht="16.5" x14ac:dyDescent="0.15">
      <c r="C34" s="234">
        <v>9</v>
      </c>
      <c r="D34" s="236" t="s">
        <v>546</v>
      </c>
      <c r="E34" s="187" t="s">
        <v>547</v>
      </c>
      <c r="F34" s="211">
        <v>83.4</v>
      </c>
      <c r="G34" s="102" t="s">
        <v>548</v>
      </c>
    </row>
    <row r="35" spans="3:8" ht="16.5" x14ac:dyDescent="0.15">
      <c r="C35" s="238"/>
      <c r="D35" s="239"/>
      <c r="E35" s="187" t="s">
        <v>549</v>
      </c>
      <c r="F35" s="208">
        <v>1250</v>
      </c>
      <c r="G35" s="102" t="s">
        <v>161</v>
      </c>
    </row>
    <row r="36" spans="3:8" ht="16.5" x14ac:dyDescent="0.15">
      <c r="C36" s="235"/>
      <c r="D36" s="237"/>
      <c r="E36" s="187" t="s">
        <v>550</v>
      </c>
      <c r="F36" s="208">
        <v>1000</v>
      </c>
      <c r="G36" s="102" t="s">
        <v>161</v>
      </c>
    </row>
    <row r="37" spans="3:8" ht="16.5" x14ac:dyDescent="0.15">
      <c r="C37" s="179">
        <v>10</v>
      </c>
      <c r="D37" s="69" t="s">
        <v>551</v>
      </c>
      <c r="E37" s="187" t="s">
        <v>552</v>
      </c>
      <c r="F37" s="211">
        <v>12</v>
      </c>
      <c r="G37" s="67" t="s">
        <v>536</v>
      </c>
    </row>
    <row r="38" spans="3:8" ht="16.5" x14ac:dyDescent="0.15">
      <c r="C38" s="234">
        <v>11</v>
      </c>
      <c r="D38" s="236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 x14ac:dyDescent="0.15">
      <c r="C39" s="238"/>
      <c r="D39" s="239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 x14ac:dyDescent="0.15">
      <c r="C40" s="238"/>
      <c r="D40" s="239"/>
      <c r="E40" s="187" t="s">
        <v>555</v>
      </c>
      <c r="F40" s="208">
        <v>9000</v>
      </c>
      <c r="G40" s="67" t="s">
        <v>545</v>
      </c>
    </row>
    <row r="41" spans="3:8" ht="16.5" x14ac:dyDescent="0.15">
      <c r="C41" s="235"/>
      <c r="D41" s="237"/>
      <c r="E41" s="187" t="s">
        <v>556</v>
      </c>
      <c r="F41" s="210">
        <v>8000</v>
      </c>
      <c r="G41" s="67" t="s">
        <v>545</v>
      </c>
    </row>
    <row r="42" spans="3:8" ht="16.5" x14ac:dyDescent="0.1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 x14ac:dyDescent="0.15">
      <c r="C43" s="234">
        <v>13</v>
      </c>
      <c r="D43" s="236" t="s">
        <v>559</v>
      </c>
      <c r="E43" s="187" t="s">
        <v>560</v>
      </c>
      <c r="F43" s="212" t="s">
        <v>611</v>
      </c>
      <c r="G43" s="190" t="s">
        <v>561</v>
      </c>
    </row>
    <row r="44" spans="3:8" ht="16.5" x14ac:dyDescent="0.15">
      <c r="C44" s="238"/>
      <c r="D44" s="239"/>
      <c r="E44" s="187" t="s">
        <v>562</v>
      </c>
      <c r="F44" s="212" t="s">
        <v>612</v>
      </c>
      <c r="G44" s="190" t="s">
        <v>561</v>
      </c>
    </row>
    <row r="45" spans="3:8" ht="16.5" x14ac:dyDescent="0.15">
      <c r="C45" s="238"/>
      <c r="D45" s="239"/>
      <c r="E45" s="187" t="s">
        <v>563</v>
      </c>
      <c r="F45" s="212" t="s">
        <v>613</v>
      </c>
      <c r="G45" s="190" t="s">
        <v>561</v>
      </c>
    </row>
    <row r="46" spans="3:8" ht="16.5" x14ac:dyDescent="0.15">
      <c r="C46" s="238"/>
      <c r="D46" s="239"/>
      <c r="E46" s="187" t="s">
        <v>564</v>
      </c>
      <c r="F46" s="212" t="s">
        <v>614</v>
      </c>
      <c r="G46" s="190" t="s">
        <v>561</v>
      </c>
    </row>
    <row r="47" spans="3:8" ht="16.5" x14ac:dyDescent="0.15">
      <c r="C47" s="238"/>
      <c r="D47" s="239"/>
      <c r="E47" s="187" t="s">
        <v>565</v>
      </c>
      <c r="F47" s="212" t="s">
        <v>615</v>
      </c>
      <c r="G47" s="190" t="s">
        <v>561</v>
      </c>
    </row>
    <row r="48" spans="3:8" ht="16.5" x14ac:dyDescent="0.15">
      <c r="C48" s="238"/>
      <c r="D48" s="239"/>
      <c r="E48" s="187" t="s">
        <v>566</v>
      </c>
      <c r="F48" s="212" t="s">
        <v>616</v>
      </c>
      <c r="G48" s="190" t="s">
        <v>567</v>
      </c>
    </row>
    <row r="49" spans="3:7" ht="16.5" x14ac:dyDescent="0.15">
      <c r="C49" s="238"/>
      <c r="D49" s="239"/>
      <c r="E49" s="187" t="s">
        <v>568</v>
      </c>
      <c r="F49" s="212" t="s">
        <v>617</v>
      </c>
      <c r="G49" s="190" t="s">
        <v>561</v>
      </c>
    </row>
    <row r="50" spans="3:7" ht="33" x14ac:dyDescent="0.15">
      <c r="C50" s="238"/>
      <c r="D50" s="239"/>
      <c r="E50" s="187" t="s">
        <v>569</v>
      </c>
      <c r="F50" s="214" t="s">
        <v>618</v>
      </c>
      <c r="G50" s="190" t="s">
        <v>570</v>
      </c>
    </row>
    <row r="51" spans="3:7" ht="16.5" x14ac:dyDescent="0.15">
      <c r="C51" s="238"/>
      <c r="D51" s="239"/>
      <c r="E51" s="187" t="s">
        <v>571</v>
      </c>
      <c r="F51" s="212" t="s">
        <v>619</v>
      </c>
      <c r="G51" s="190" t="s">
        <v>561</v>
      </c>
    </row>
    <row r="52" spans="3:7" ht="37.5" customHeight="1" x14ac:dyDescent="0.15">
      <c r="C52" s="238"/>
      <c r="D52" s="239"/>
      <c r="E52" s="187" t="s">
        <v>572</v>
      </c>
      <c r="F52" s="213" t="s">
        <v>616</v>
      </c>
      <c r="G52" s="190" t="s">
        <v>646</v>
      </c>
    </row>
    <row r="53" spans="3:7" ht="16.5" x14ac:dyDescent="0.15">
      <c r="C53" s="238"/>
      <c r="D53" s="239"/>
      <c r="E53" s="187"/>
      <c r="F53" s="213" t="s">
        <v>620</v>
      </c>
      <c r="G53" s="190" t="s">
        <v>561</v>
      </c>
    </row>
    <row r="54" spans="3:7" ht="16.5" x14ac:dyDescent="0.15">
      <c r="C54" s="238"/>
      <c r="D54" s="239"/>
      <c r="E54" s="187"/>
      <c r="F54" s="213" t="s">
        <v>621</v>
      </c>
      <c r="G54" s="190" t="s">
        <v>561</v>
      </c>
    </row>
    <row r="55" spans="3:7" ht="16.5" x14ac:dyDescent="0.15">
      <c r="C55" s="235"/>
      <c r="D55" s="239"/>
      <c r="E55" s="187"/>
      <c r="F55" s="213" t="s">
        <v>622</v>
      </c>
      <c r="G55" s="190" t="s">
        <v>561</v>
      </c>
    </row>
    <row r="56" spans="3:7" ht="16.5" x14ac:dyDescent="0.15">
      <c r="C56" s="179">
        <v>14</v>
      </c>
      <c r="D56" s="191" t="s">
        <v>573</v>
      </c>
      <c r="E56" s="244" t="s">
        <v>629</v>
      </c>
      <c r="F56" s="245"/>
      <c r="G56" s="246"/>
    </row>
    <row r="57" spans="3:7" ht="16.5" x14ac:dyDescent="0.15">
      <c r="C57" s="179">
        <v>15</v>
      </c>
      <c r="D57" s="191" t="s">
        <v>574</v>
      </c>
      <c r="E57" s="244" t="s">
        <v>623</v>
      </c>
      <c r="F57" s="245"/>
      <c r="G57" s="246"/>
    </row>
    <row r="58" spans="3:7" x14ac:dyDescent="0.15">
      <c r="C58" s="3"/>
      <c r="D58" s="3"/>
      <c r="E58" s="3"/>
      <c r="F58" s="134"/>
      <c r="G58" s="3"/>
    </row>
    <row r="59" spans="3:7" ht="99.75" customHeight="1" x14ac:dyDescent="0.15">
      <c r="C59" s="136" t="s">
        <v>575</v>
      </c>
      <c r="D59" s="241"/>
      <c r="E59" s="242"/>
      <c r="F59" s="242"/>
      <c r="G59" s="243"/>
    </row>
    <row r="61" spans="3:7" ht="100.5" customHeight="1" x14ac:dyDescent="0.15"/>
  </sheetData>
  <mergeCells count="29"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49" t="s">
        <v>330</v>
      </c>
      <c r="B2" s="251" t="s">
        <v>331</v>
      </c>
      <c r="C2" s="251" t="s">
        <v>332</v>
      </c>
      <c r="D2" s="251" t="s">
        <v>333</v>
      </c>
      <c r="E2" s="251" t="s">
        <v>334</v>
      </c>
      <c r="F2" s="247" t="s">
        <v>335</v>
      </c>
      <c r="G2" s="253" t="s">
        <v>336</v>
      </c>
      <c r="H2" s="251" t="s">
        <v>337</v>
      </c>
      <c r="I2" s="253" t="s">
        <v>338</v>
      </c>
      <c r="J2" s="255" t="s">
        <v>339</v>
      </c>
      <c r="K2" s="251" t="s">
        <v>340</v>
      </c>
      <c r="L2" s="247" t="s">
        <v>341</v>
      </c>
      <c r="M2" s="251" t="s">
        <v>342</v>
      </c>
      <c r="N2" s="251" t="s">
        <v>343</v>
      </c>
      <c r="O2" s="247" t="s">
        <v>344</v>
      </c>
      <c r="P2" s="251" t="s">
        <v>345</v>
      </c>
      <c r="Q2" s="251" t="s">
        <v>346</v>
      </c>
      <c r="R2" s="251"/>
      <c r="S2" s="253" t="s">
        <v>347</v>
      </c>
      <c r="T2" s="259" t="s">
        <v>348</v>
      </c>
      <c r="U2" s="261" t="s">
        <v>349</v>
      </c>
      <c r="V2" s="261" t="s">
        <v>350</v>
      </c>
    </row>
    <row r="3" spans="1:22" ht="17.25" thickBot="1" x14ac:dyDescent="0.2">
      <c r="A3" s="250"/>
      <c r="B3" s="252"/>
      <c r="C3" s="252"/>
      <c r="D3" s="252"/>
      <c r="E3" s="252"/>
      <c r="F3" s="248"/>
      <c r="G3" s="254"/>
      <c r="H3" s="252"/>
      <c r="I3" s="254"/>
      <c r="J3" s="256"/>
      <c r="K3" s="252"/>
      <c r="L3" s="248"/>
      <c r="M3" s="252"/>
      <c r="N3" s="252"/>
      <c r="O3" s="248"/>
      <c r="P3" s="252"/>
      <c r="Q3" s="144" t="s">
        <v>351</v>
      </c>
      <c r="R3" s="144" t="s">
        <v>352</v>
      </c>
      <c r="S3" s="254"/>
      <c r="T3" s="260"/>
      <c r="U3" s="262"/>
      <c r="V3" s="262"/>
    </row>
    <row r="4" spans="1:22" ht="17.25" thickTop="1" x14ac:dyDescent="0.3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 x14ac:dyDescent="0.3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 x14ac:dyDescent="0.3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 x14ac:dyDescent="0.3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 x14ac:dyDescent="0.3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 x14ac:dyDescent="0.3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 x14ac:dyDescent="0.3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57" t="s">
        <v>375</v>
      </c>
      <c r="V10" s="258"/>
    </row>
    <row r="11" spans="1:22" ht="16.5" x14ac:dyDescent="0.3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 x14ac:dyDescent="0.3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 x14ac:dyDescent="0.3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57" t="s">
        <v>375</v>
      </c>
      <c r="V13" s="258"/>
    </row>
    <row r="14" spans="1:22" ht="16.5" x14ac:dyDescent="0.3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57" t="s">
        <v>375</v>
      </c>
      <c r="V14" s="258"/>
    </row>
    <row r="15" spans="1:22" ht="16.5" x14ac:dyDescent="0.3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57" t="s">
        <v>375</v>
      </c>
      <c r="V15" s="258"/>
    </row>
    <row r="16" spans="1:22" ht="16.5" x14ac:dyDescent="0.3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57" t="s">
        <v>375</v>
      </c>
      <c r="V16" s="258"/>
    </row>
    <row r="17" spans="1:22" ht="16.5" x14ac:dyDescent="0.3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57" t="s">
        <v>375</v>
      </c>
      <c r="V17" s="258"/>
    </row>
    <row r="18" spans="1:22" ht="16.5" x14ac:dyDescent="0.3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57" t="s">
        <v>375</v>
      </c>
      <c r="V18" s="258"/>
    </row>
    <row r="19" spans="1:22" ht="16.5" x14ac:dyDescent="0.3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57" t="s">
        <v>375</v>
      </c>
      <c r="V19" s="258"/>
    </row>
    <row r="20" spans="1:22" ht="16.5" x14ac:dyDescent="0.3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57" t="s">
        <v>375</v>
      </c>
      <c r="V20" s="258"/>
    </row>
    <row r="21" spans="1:22" ht="16.5" x14ac:dyDescent="0.3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57" t="s">
        <v>375</v>
      </c>
      <c r="V21" s="258"/>
    </row>
    <row r="22" spans="1:22" ht="16.5" x14ac:dyDescent="0.3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57" t="s">
        <v>375</v>
      </c>
      <c r="V22" s="258"/>
    </row>
    <row r="23" spans="1:22" ht="16.5" x14ac:dyDescent="0.3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57" t="s">
        <v>375</v>
      </c>
      <c r="V23" s="258"/>
    </row>
    <row r="24" spans="1:22" ht="16.5" x14ac:dyDescent="0.3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57" t="s">
        <v>375</v>
      </c>
      <c r="V24" s="258"/>
    </row>
    <row r="25" spans="1:22" ht="16.5" x14ac:dyDescent="0.3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57" t="s">
        <v>375</v>
      </c>
      <c r="V25" s="258"/>
    </row>
    <row r="26" spans="1:22" ht="16.5" x14ac:dyDescent="0.3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57" t="s">
        <v>375</v>
      </c>
      <c r="V26" s="258"/>
    </row>
    <row r="27" spans="1:22" ht="16.5" x14ac:dyDescent="0.3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57" t="s">
        <v>375</v>
      </c>
      <c r="V27" s="258"/>
    </row>
    <row r="28" spans="1:22" ht="16.5" x14ac:dyDescent="0.3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57" t="s">
        <v>375</v>
      </c>
      <c r="V28" s="258"/>
    </row>
    <row r="29" spans="1:22" ht="16.5" x14ac:dyDescent="0.3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57" t="s">
        <v>375</v>
      </c>
      <c r="V29" s="258"/>
    </row>
    <row r="30" spans="1:22" ht="16.5" x14ac:dyDescent="0.3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57" t="s">
        <v>375</v>
      </c>
      <c r="V30" s="258"/>
    </row>
    <row r="31" spans="1:22" ht="16.5" x14ac:dyDescent="0.3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57" t="s">
        <v>375</v>
      </c>
      <c r="V31" s="258"/>
    </row>
    <row r="32" spans="1:22" ht="16.5" x14ac:dyDescent="0.3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 x14ac:dyDescent="0.3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 x14ac:dyDescent="0.3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 x14ac:dyDescent="0.3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 x14ac:dyDescent="0.3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 x14ac:dyDescent="0.3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 x14ac:dyDescent="0.3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 x14ac:dyDescent="0.3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 x14ac:dyDescent="0.3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 x14ac:dyDescent="0.3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 x14ac:dyDescent="0.3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 x14ac:dyDescent="0.3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 x14ac:dyDescent="0.3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 x14ac:dyDescent="0.3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 x14ac:dyDescent="0.3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 x14ac:dyDescent="0.35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63" t="s">
        <v>189</v>
      </c>
      <c r="C2" s="265" t="s">
        <v>190</v>
      </c>
      <c r="D2" s="265"/>
      <c r="E2" s="265"/>
      <c r="F2" s="265"/>
      <c r="G2" s="265"/>
      <c r="H2" s="265"/>
      <c r="I2" s="265"/>
      <c r="J2" s="265"/>
      <c r="K2" s="265"/>
      <c r="L2" s="266" t="s">
        <v>191</v>
      </c>
      <c r="M2" s="266"/>
      <c r="N2" s="266"/>
      <c r="O2" s="267" t="s">
        <v>192</v>
      </c>
      <c r="P2" s="267"/>
      <c r="Q2" s="267"/>
      <c r="R2" s="268" t="s">
        <v>193</v>
      </c>
      <c r="S2" s="268"/>
      <c r="T2" s="269"/>
    </row>
    <row r="3" spans="2:20" ht="16.5" x14ac:dyDescent="0.15">
      <c r="B3" s="26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2021-03-06T07:15:50Z</dcterms:modified>
</cp:coreProperties>
</file>