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업무\1.업체폴더\2021_13_PSA01Y21-0013_디엠스시_샤프트 열처리_125kW_15kHz\전장설계\"/>
    </mc:Choice>
  </mc:AlternateContent>
  <bookViews>
    <workbookView xWindow="0" yWindow="0" windowWidth="20055" windowHeight="10800" tabRatio="821" activeTab="1"/>
  </bookViews>
  <sheets>
    <sheet name="직렬공진_PAM,PWM_30kHz" sheetId="53" r:id="rId1"/>
    <sheet name="설계 결과표" sheetId="47" r:id="rId2"/>
    <sheet name="SW 요청자료" sheetId="46" r:id="rId3"/>
    <sheet name="입력정류부" sheetId="45" r:id="rId4"/>
    <sheet name="LCD 데이터를 이용한 듀티계산" sheetId="40" r:id="rId5"/>
  </sheets>
  <calcPr calcId="152511"/>
</workbook>
</file>

<file path=xl/calcChain.xml><?xml version="1.0" encoding="utf-8"?>
<calcChain xmlns="http://schemas.openxmlformats.org/spreadsheetml/2006/main">
  <c r="E17" i="46" l="1"/>
  <c r="E18" i="46" s="1"/>
  <c r="F33" i="53" l="1"/>
  <c r="F18" i="53"/>
  <c r="F16" i="53"/>
  <c r="F22" i="53" s="1"/>
  <c r="F25" i="53" s="1"/>
  <c r="F26" i="53" s="1"/>
  <c r="F10" i="53"/>
  <c r="F38" i="53" s="1"/>
  <c r="F40" i="53" s="1"/>
  <c r="F6" i="53"/>
  <c r="F8" i="53" s="1"/>
  <c r="D6" i="53"/>
  <c r="D8" i="53" s="1"/>
  <c r="E6" i="53"/>
  <c r="E8" i="53" s="1"/>
  <c r="D10" i="53"/>
  <c r="D11" i="53" s="1"/>
  <c r="E10" i="53"/>
  <c r="E11" i="53" s="1"/>
  <c r="D16" i="53"/>
  <c r="E16" i="53"/>
  <c r="E22" i="53" s="1"/>
  <c r="E25" i="53" s="1"/>
  <c r="E26" i="53" s="1"/>
  <c r="D18" i="53"/>
  <c r="E18" i="53"/>
  <c r="D22" i="53"/>
  <c r="D25" i="53" s="1"/>
  <c r="D26" i="53" s="1"/>
  <c r="D33" i="53"/>
  <c r="E33" i="53"/>
  <c r="E38" i="53" l="1"/>
  <c r="E40" i="53" s="1"/>
  <c r="D38" i="53"/>
  <c r="D40" i="53" s="1"/>
  <c r="D21" i="53"/>
  <c r="D23" i="53" s="1"/>
  <c r="E21" i="53"/>
  <c r="E23" i="53" s="1"/>
  <c r="F29" i="53"/>
  <c r="F21" i="53"/>
  <c r="F11" i="53"/>
  <c r="E29" i="53"/>
  <c r="D29" i="53"/>
  <c r="T73" i="53"/>
  <c r="T75" i="53" s="1"/>
  <c r="F68" i="53"/>
  <c r="E68" i="53"/>
  <c r="D68" i="53"/>
  <c r="C68" i="53"/>
  <c r="T67" i="53"/>
  <c r="P61" i="53"/>
  <c r="P64" i="53" s="1"/>
  <c r="P66" i="53" s="1"/>
  <c r="L60" i="53"/>
  <c r="P56" i="53"/>
  <c r="L54" i="53"/>
  <c r="T47" i="53"/>
  <c r="L47" i="53"/>
  <c r="L48" i="53" s="1"/>
  <c r="L46" i="53"/>
  <c r="X42" i="53"/>
  <c r="P42" i="53"/>
  <c r="P38" i="53"/>
  <c r="X37" i="53"/>
  <c r="L37" i="53"/>
  <c r="X36" i="53"/>
  <c r="L36" i="53"/>
  <c r="P34" i="53"/>
  <c r="P46" i="53" s="1"/>
  <c r="P47" i="53" s="1"/>
  <c r="P48" i="53" s="1"/>
  <c r="P49" i="53" s="1"/>
  <c r="P50" i="53" s="1"/>
  <c r="C33" i="53"/>
  <c r="X31" i="53"/>
  <c r="T28" i="53"/>
  <c r="T29" i="53" s="1"/>
  <c r="X27" i="53"/>
  <c r="P27" i="53"/>
  <c r="L27" i="53"/>
  <c r="L25" i="53"/>
  <c r="L24" i="53"/>
  <c r="X22" i="53"/>
  <c r="P20" i="53"/>
  <c r="C18" i="53"/>
  <c r="C16" i="53"/>
  <c r="C22" i="53" s="1"/>
  <c r="C25" i="53" s="1"/>
  <c r="C26" i="53" s="1"/>
  <c r="X15" i="53"/>
  <c r="X16" i="53" s="1"/>
  <c r="X17" i="53" s="1"/>
  <c r="P15" i="53"/>
  <c r="C10" i="53"/>
  <c r="C38" i="53" s="1"/>
  <c r="C40" i="53" s="1"/>
  <c r="X8" i="53"/>
  <c r="T8" i="53"/>
  <c r="P8" i="53"/>
  <c r="L7" i="53"/>
  <c r="L9" i="53" s="1"/>
  <c r="L14" i="53" s="1"/>
  <c r="C6" i="53"/>
  <c r="C8" i="53" s="1"/>
  <c r="E24" i="53" l="1"/>
  <c r="E27" i="53" s="1"/>
  <c r="E32" i="53" s="1"/>
  <c r="E42" i="53" s="1"/>
  <c r="D24" i="53"/>
  <c r="D27" i="53" s="1"/>
  <c r="D32" i="53" s="1"/>
  <c r="D42" i="53" s="1"/>
  <c r="L38" i="53"/>
  <c r="L39" i="53" s="1"/>
  <c r="P43" i="53"/>
  <c r="T76" i="53"/>
  <c r="F24" i="53"/>
  <c r="F23" i="53"/>
  <c r="F44" i="53"/>
  <c r="F45" i="53" s="1"/>
  <c r="F46" i="53" s="1"/>
  <c r="F47" i="53" s="1"/>
  <c r="F31" i="53"/>
  <c r="F30" i="53"/>
  <c r="D31" i="53"/>
  <c r="D44" i="53"/>
  <c r="D45" i="53" s="1"/>
  <c r="D46" i="53" s="1"/>
  <c r="D47" i="53" s="1"/>
  <c r="D30" i="53"/>
  <c r="E31" i="53"/>
  <c r="E44" i="53"/>
  <c r="E45" i="53" s="1"/>
  <c r="E46" i="53" s="1"/>
  <c r="E47" i="53" s="1"/>
  <c r="E30" i="53"/>
  <c r="L28" i="53"/>
  <c r="C29" i="53"/>
  <c r="T9" i="53"/>
  <c r="T12" i="53"/>
  <c r="T15" i="53" s="1"/>
  <c r="T17" i="53" s="1"/>
  <c r="T19" i="53" s="1"/>
  <c r="C11" i="53"/>
  <c r="D55" i="53"/>
  <c r="T32" i="53"/>
  <c r="T35" i="53" s="1"/>
  <c r="T37" i="53" s="1"/>
  <c r="T39" i="53" s="1"/>
  <c r="T51" i="53"/>
  <c r="T54" i="53" s="1"/>
  <c r="T57" i="53" s="1"/>
  <c r="T59" i="53" s="1"/>
  <c r="C21" i="53"/>
  <c r="T48" i="53"/>
  <c r="T68" i="53"/>
  <c r="F27" i="53" l="1"/>
  <c r="F32" i="53" s="1"/>
  <c r="F42" i="53" s="1"/>
  <c r="F35" i="53"/>
  <c r="F34" i="53"/>
  <c r="E35" i="53"/>
  <c r="E34" i="53"/>
  <c r="D35" i="53"/>
  <c r="D34" i="53"/>
  <c r="T40" i="53"/>
  <c r="D67" i="53"/>
  <c r="C55" i="53"/>
  <c r="C23" i="53"/>
  <c r="C24" i="53"/>
  <c r="T20" i="53"/>
  <c r="E55" i="53"/>
  <c r="E67" i="53"/>
  <c r="F55" i="53"/>
  <c r="T60" i="53"/>
  <c r="D60" i="53"/>
  <c r="D63" i="53" s="1"/>
  <c r="D61" i="53"/>
  <c r="D54" i="53"/>
  <c r="E51" i="53"/>
  <c r="C44" i="53"/>
  <c r="C31" i="53"/>
  <c r="C30" i="53"/>
  <c r="D51" i="53"/>
  <c r="D64" i="53" l="1"/>
  <c r="D56" i="53"/>
  <c r="F67" i="53"/>
  <c r="C35" i="53"/>
  <c r="C34" i="53"/>
  <c r="F61" i="53"/>
  <c r="F60" i="53"/>
  <c r="F63" i="53" s="1"/>
  <c r="F54" i="53"/>
  <c r="C27" i="53"/>
  <c r="C32" i="53" s="1"/>
  <c r="C42" i="53" s="1"/>
  <c r="C67" i="53" s="1"/>
  <c r="C51" i="53"/>
  <c r="C45" i="53"/>
  <c r="C46" i="53" s="1"/>
  <c r="C47" i="53" s="1"/>
  <c r="E64" i="53"/>
  <c r="E56" i="53"/>
  <c r="E54" i="53"/>
  <c r="E61" i="53"/>
  <c r="E60" i="53"/>
  <c r="E63" i="53" s="1"/>
  <c r="C60" i="53"/>
  <c r="C63" i="53" s="1"/>
  <c r="C54" i="53"/>
  <c r="C61" i="53"/>
  <c r="E71" i="53" l="1"/>
  <c r="E74" i="53" s="1"/>
  <c r="E76" i="53" s="1"/>
  <c r="E70" i="53"/>
  <c r="E73" i="53" s="1"/>
  <c r="E69" i="53"/>
  <c r="E72" i="53" s="1"/>
  <c r="C56" i="53"/>
  <c r="C64" i="53"/>
  <c r="F51" i="53"/>
  <c r="D71" i="53"/>
  <c r="D74" i="53" s="1"/>
  <c r="D76" i="53" s="1"/>
  <c r="D70" i="53"/>
  <c r="D73" i="53" s="1"/>
  <c r="D69" i="53"/>
  <c r="D72" i="53" s="1"/>
  <c r="E89" i="53" l="1"/>
  <c r="E83" i="53"/>
  <c r="E81" i="53"/>
  <c r="E87" i="53" s="1"/>
  <c r="D90" i="53"/>
  <c r="D84" i="53"/>
  <c r="D82" i="53"/>
  <c r="D88" i="53" s="1"/>
  <c r="E93" i="53"/>
  <c r="E78" i="53"/>
  <c r="E90" i="53"/>
  <c r="E84" i="53"/>
  <c r="E82" i="53"/>
  <c r="E88" i="53" s="1"/>
  <c r="D93" i="53"/>
  <c r="D78" i="53"/>
  <c r="C71" i="53"/>
  <c r="C74" i="53" s="1"/>
  <c r="C76" i="53" s="1"/>
  <c r="C70" i="53"/>
  <c r="C73" i="53" s="1"/>
  <c r="C69" i="53"/>
  <c r="C72" i="53" s="1"/>
  <c r="F56" i="53"/>
  <c r="F64" i="53"/>
  <c r="D89" i="53"/>
  <c r="D83" i="53"/>
  <c r="D81" i="53"/>
  <c r="D87" i="53" s="1"/>
  <c r="C89" i="53" l="1"/>
  <c r="C83" i="53"/>
  <c r="C81" i="53"/>
  <c r="C87" i="53" s="1"/>
  <c r="C90" i="53"/>
  <c r="C84" i="53"/>
  <c r="C82" i="53"/>
  <c r="C88" i="53" s="1"/>
  <c r="C93" i="53"/>
  <c r="C78" i="53"/>
  <c r="F71" i="53"/>
  <c r="F74" i="53" s="1"/>
  <c r="F76" i="53" s="1"/>
  <c r="F70" i="53"/>
  <c r="F73" i="53" s="1"/>
  <c r="F69" i="53"/>
  <c r="F72" i="53" s="1"/>
  <c r="F93" i="53" l="1"/>
  <c r="F78" i="53"/>
  <c r="F89" i="53"/>
  <c r="F83" i="53"/>
  <c r="F81" i="53"/>
  <c r="F87" i="53" s="1"/>
  <c r="F90" i="53"/>
  <c r="F84" i="53"/>
  <c r="F82" i="53"/>
  <c r="F88" i="53" s="1"/>
  <c r="J41" i="45" l="1"/>
  <c r="D41" i="45"/>
  <c r="E41" i="45"/>
  <c r="C41" i="45"/>
  <c r="F41" i="45" s="1"/>
  <c r="G41" i="45"/>
  <c r="O41" i="45"/>
  <c r="J47" i="45"/>
  <c r="D47" i="45"/>
  <c r="E47" i="45"/>
  <c r="C47" i="45"/>
  <c r="F47" i="45" s="1"/>
  <c r="J46" i="45"/>
  <c r="F46" i="45"/>
  <c r="D46" i="45"/>
  <c r="E46" i="45" s="1"/>
  <c r="C46" i="45"/>
  <c r="J45" i="45"/>
  <c r="D45" i="45"/>
  <c r="E45" i="45" s="1"/>
  <c r="C45" i="45"/>
  <c r="J44" i="45"/>
  <c r="F44" i="45"/>
  <c r="D44" i="45"/>
  <c r="E44" i="45" s="1"/>
  <c r="C44" i="45"/>
  <c r="O44" i="45"/>
  <c r="J43" i="45"/>
  <c r="D43" i="45"/>
  <c r="E43" i="45"/>
  <c r="C43" i="45"/>
  <c r="F43" i="45" s="1"/>
  <c r="J42" i="45"/>
  <c r="D42" i="45"/>
  <c r="E42" i="45"/>
  <c r="C42" i="45"/>
  <c r="F42" i="45" s="1"/>
  <c r="J40" i="45"/>
  <c r="D40" i="45"/>
  <c r="E40" i="45" s="1"/>
  <c r="C40" i="45"/>
  <c r="J39" i="45"/>
  <c r="F39" i="45"/>
  <c r="D39" i="45"/>
  <c r="E39" i="45" s="1"/>
  <c r="C39" i="45"/>
  <c r="O39" i="45"/>
  <c r="J38" i="45"/>
  <c r="D38" i="45"/>
  <c r="E38" i="45"/>
  <c r="C38" i="45"/>
  <c r="F38" i="45" s="1"/>
  <c r="J37" i="45"/>
  <c r="D37" i="45"/>
  <c r="E37" i="45"/>
  <c r="C37" i="45"/>
  <c r="F37" i="45" s="1"/>
  <c r="J36" i="45"/>
  <c r="D36" i="45"/>
  <c r="E36" i="45" s="1"/>
  <c r="C36" i="45"/>
  <c r="J35" i="45"/>
  <c r="F35" i="45"/>
  <c r="D35" i="45"/>
  <c r="E35" i="45" s="1"/>
  <c r="C35" i="45"/>
  <c r="G35" i="45" s="1"/>
  <c r="O35" i="45"/>
  <c r="J34" i="45"/>
  <c r="D34" i="45"/>
  <c r="E34" i="45"/>
  <c r="C34" i="45"/>
  <c r="F34" i="45" s="1"/>
  <c r="J33" i="45"/>
  <c r="D33" i="45"/>
  <c r="E33" i="45"/>
  <c r="C33" i="45"/>
  <c r="F33" i="45" s="1"/>
  <c r="J32" i="45"/>
  <c r="G32" i="45"/>
  <c r="D32" i="45"/>
  <c r="E32" i="45" s="1"/>
  <c r="C32" i="45"/>
  <c r="J31" i="45"/>
  <c r="D31" i="45"/>
  <c r="E31" i="45"/>
  <c r="C31" i="45"/>
  <c r="F31" i="45" s="1"/>
  <c r="J30" i="45"/>
  <c r="G30" i="45"/>
  <c r="D30" i="45"/>
  <c r="E30" i="45" s="1"/>
  <c r="C30" i="45"/>
  <c r="O30" i="45" s="1"/>
  <c r="J29" i="45"/>
  <c r="D29" i="45"/>
  <c r="E29" i="45" s="1"/>
  <c r="C29" i="45"/>
  <c r="O29" i="45" s="1"/>
  <c r="J28" i="45"/>
  <c r="D28" i="45"/>
  <c r="E28" i="45" s="1"/>
  <c r="C28" i="45"/>
  <c r="F28" i="45" s="1"/>
  <c r="O28" i="45"/>
  <c r="J27" i="45"/>
  <c r="D27" i="45"/>
  <c r="E27" i="45" s="1"/>
  <c r="C27" i="45"/>
  <c r="F27" i="45" s="1"/>
  <c r="J26" i="45"/>
  <c r="F26" i="45"/>
  <c r="D26" i="45"/>
  <c r="E26" i="45" s="1"/>
  <c r="C26" i="45"/>
  <c r="J25" i="45"/>
  <c r="D25" i="45"/>
  <c r="E25" i="45" s="1"/>
  <c r="C25" i="45"/>
  <c r="J24" i="45"/>
  <c r="D24" i="45"/>
  <c r="E24" i="45"/>
  <c r="C24" i="45"/>
  <c r="G24" i="45" s="1"/>
  <c r="J23" i="45"/>
  <c r="F23" i="45"/>
  <c r="E23" i="45"/>
  <c r="D23" i="45"/>
  <c r="C23" i="45"/>
  <c r="O23" i="45" s="1"/>
  <c r="G23" i="45"/>
  <c r="J22" i="45"/>
  <c r="D22" i="45"/>
  <c r="E22" i="45"/>
  <c r="C22" i="45"/>
  <c r="F22" i="45" s="1"/>
  <c r="J21" i="45"/>
  <c r="D21" i="45"/>
  <c r="E21" i="45"/>
  <c r="C21" i="45"/>
  <c r="J20" i="45"/>
  <c r="F20" i="45"/>
  <c r="D20" i="45"/>
  <c r="E20" i="45" s="1"/>
  <c r="C20" i="45"/>
  <c r="O20" i="45"/>
  <c r="J19" i="45"/>
  <c r="D19" i="45"/>
  <c r="E19" i="45" s="1"/>
  <c r="C19" i="45"/>
  <c r="F19" i="45" s="1"/>
  <c r="J18" i="45"/>
  <c r="F18" i="45"/>
  <c r="E18" i="45"/>
  <c r="D18" i="45"/>
  <c r="C18" i="45"/>
  <c r="O18" i="45" s="1"/>
  <c r="G18" i="45"/>
  <c r="J17" i="45"/>
  <c r="D17" i="45"/>
  <c r="E17" i="45"/>
  <c r="C17" i="45"/>
  <c r="G17" i="45" s="1"/>
  <c r="J16" i="45"/>
  <c r="D16" i="45"/>
  <c r="E16" i="45" s="1"/>
  <c r="C16" i="45"/>
  <c r="O16" i="45" s="1"/>
  <c r="J15" i="45"/>
  <c r="D15" i="45"/>
  <c r="E15" i="45" s="1"/>
  <c r="C15" i="45"/>
  <c r="O15" i="45" s="1"/>
  <c r="J14" i="45"/>
  <c r="D14" i="45"/>
  <c r="E14" i="45" s="1"/>
  <c r="C14" i="45"/>
  <c r="F14" i="45" s="1"/>
  <c r="J13" i="45"/>
  <c r="D13" i="45"/>
  <c r="E13" i="45" s="1"/>
  <c r="C13" i="45"/>
  <c r="F13" i="45" s="1"/>
  <c r="J12" i="45"/>
  <c r="D12" i="45"/>
  <c r="E12" i="45" s="1"/>
  <c r="C12" i="45"/>
  <c r="O12" i="45" s="1"/>
  <c r="J11" i="45"/>
  <c r="D11" i="45"/>
  <c r="E11" i="45" s="1"/>
  <c r="C11" i="45"/>
  <c r="F11" i="45" s="1"/>
  <c r="J10" i="45"/>
  <c r="D10" i="45"/>
  <c r="E10" i="45" s="1"/>
  <c r="C10" i="45"/>
  <c r="O10" i="45" s="1"/>
  <c r="J9" i="45"/>
  <c r="D9" i="45"/>
  <c r="E9" i="45" s="1"/>
  <c r="C9" i="45"/>
  <c r="F9" i="45" s="1"/>
  <c r="J8" i="45"/>
  <c r="D8" i="45"/>
  <c r="E8" i="45" s="1"/>
  <c r="C8" i="45"/>
  <c r="O8" i="45" s="1"/>
  <c r="J7" i="45"/>
  <c r="F7" i="45"/>
  <c r="E7" i="45"/>
  <c r="D7" i="45"/>
  <c r="C7" i="45"/>
  <c r="O7" i="45" s="1"/>
  <c r="G7" i="45"/>
  <c r="J6" i="45"/>
  <c r="D6" i="45"/>
  <c r="E6" i="45"/>
  <c r="C6" i="45"/>
  <c r="F6" i="45" s="1"/>
  <c r="J5" i="45"/>
  <c r="D5" i="45"/>
  <c r="E5" i="45"/>
  <c r="C5" i="45"/>
  <c r="G5" i="45" s="1"/>
  <c r="J4" i="45"/>
  <c r="D4" i="45"/>
  <c r="E4" i="45" s="1"/>
  <c r="C4" i="45"/>
  <c r="G4" i="45" s="1"/>
  <c r="P18" i="40"/>
  <c r="S18" i="40"/>
  <c r="T18" i="40"/>
  <c r="M18" i="40"/>
  <c r="N18" i="40"/>
  <c r="J18" i="40"/>
  <c r="K18" i="40"/>
  <c r="P17" i="40"/>
  <c r="M17" i="40"/>
  <c r="J17" i="40"/>
  <c r="K17" i="40" s="1"/>
  <c r="P16" i="40"/>
  <c r="S16" i="40"/>
  <c r="T16" i="40" s="1"/>
  <c r="M16" i="40"/>
  <c r="N16" i="40" s="1"/>
  <c r="J16" i="40"/>
  <c r="K16" i="40" s="1"/>
  <c r="P15" i="40"/>
  <c r="S15" i="40"/>
  <c r="T15" i="40"/>
  <c r="M15" i="40"/>
  <c r="N15" i="40" s="1"/>
  <c r="J15" i="40"/>
  <c r="Q15" i="40" s="1"/>
  <c r="K15" i="40"/>
  <c r="P14" i="40"/>
  <c r="M14" i="40"/>
  <c r="N14" i="40" s="1"/>
  <c r="J14" i="40"/>
  <c r="K14" i="40" s="1"/>
  <c r="P13" i="40"/>
  <c r="Q13" i="40" s="1"/>
  <c r="S13" i="40"/>
  <c r="T13" i="40"/>
  <c r="M13" i="40"/>
  <c r="N13" i="40" s="1"/>
  <c r="J13" i="40"/>
  <c r="K13" i="40"/>
  <c r="P12" i="40"/>
  <c r="S12" i="40"/>
  <c r="M12" i="40"/>
  <c r="N12" i="40" s="1"/>
  <c r="J12" i="40"/>
  <c r="T12" i="40" s="1"/>
  <c r="P11" i="40"/>
  <c r="M11" i="40"/>
  <c r="N11" i="40" s="1"/>
  <c r="J11" i="40"/>
  <c r="Q11" i="40" s="1"/>
  <c r="P10" i="40"/>
  <c r="S10" i="40"/>
  <c r="T10" i="40"/>
  <c r="M10" i="40"/>
  <c r="N10" i="40" s="1"/>
  <c r="J10" i="40"/>
  <c r="K10" i="40"/>
  <c r="P9" i="40"/>
  <c r="Q9" i="40" s="1"/>
  <c r="M9" i="40"/>
  <c r="J9" i="40"/>
  <c r="K9" i="40"/>
  <c r="P8" i="40"/>
  <c r="Q8" i="40" s="1"/>
  <c r="N8" i="40"/>
  <c r="M8" i="40"/>
  <c r="J8" i="40"/>
  <c r="K8" i="40"/>
  <c r="P7" i="40"/>
  <c r="S7" i="40" s="1"/>
  <c r="T7" i="40" s="1"/>
  <c r="M7" i="40"/>
  <c r="N7" i="40" s="1"/>
  <c r="J7" i="40"/>
  <c r="K7" i="40"/>
  <c r="P6" i="40"/>
  <c r="S6" i="40" s="1"/>
  <c r="T6" i="40" s="1"/>
  <c r="N6" i="40"/>
  <c r="M6" i="40"/>
  <c r="J6" i="40"/>
  <c r="K6" i="40"/>
  <c r="P5" i="40"/>
  <c r="S5" i="40" s="1"/>
  <c r="T5" i="40" s="1"/>
  <c r="M5" i="40"/>
  <c r="N5" i="40" s="1"/>
  <c r="J5" i="40"/>
  <c r="K5" i="40"/>
  <c r="P4" i="40"/>
  <c r="Q4" i="40" s="1"/>
  <c r="S4" i="40"/>
  <c r="T4" i="40" s="1"/>
  <c r="M4" i="40"/>
  <c r="J4" i="40"/>
  <c r="N4" i="40" s="1"/>
  <c r="K4" i="40"/>
  <c r="Q10" i="40"/>
  <c r="Q12" i="40"/>
  <c r="Q18" i="40"/>
  <c r="F25" i="45"/>
  <c r="O25" i="45"/>
  <c r="G20" i="45"/>
  <c r="F29" i="45"/>
  <c r="F12" i="45"/>
  <c r="F17" i="45"/>
  <c r="O17" i="45"/>
  <c r="G25" i="45"/>
  <c r="F32" i="45"/>
  <c r="O32" i="45"/>
  <c r="G40" i="45"/>
  <c r="G12" i="45"/>
  <c r="G13" i="45"/>
  <c r="G28" i="45"/>
  <c r="G36" i="45"/>
  <c r="G45" i="45"/>
  <c r="O45" i="45"/>
  <c r="G39" i="45"/>
  <c r="G44" i="45"/>
  <c r="K11" i="40"/>
  <c r="F8" i="45"/>
  <c r="N9" i="40"/>
  <c r="S17" i="40"/>
  <c r="T17" i="40" s="1"/>
  <c r="G26" i="45"/>
  <c r="O26" i="45"/>
  <c r="Q6" i="40"/>
  <c r="S9" i="40"/>
  <c r="T9" i="40" s="1"/>
  <c r="S14" i="40"/>
  <c r="T14" i="40"/>
  <c r="F36" i="45"/>
  <c r="O36" i="45"/>
  <c r="F40" i="45"/>
  <c r="O40" i="45"/>
  <c r="F21" i="45"/>
  <c r="G21" i="45"/>
  <c r="O21" i="45"/>
  <c r="G33" i="45"/>
  <c r="O33" i="45"/>
  <c r="G37" i="45"/>
  <c r="O37" i="45"/>
  <c r="G42" i="45"/>
  <c r="O42" i="45"/>
  <c r="G46" i="45"/>
  <c r="O46" i="45"/>
  <c r="G6" i="45"/>
  <c r="O27" i="45"/>
  <c r="O34" i="45"/>
  <c r="S11" i="40"/>
  <c r="T11" i="40"/>
  <c r="G34" i="45"/>
  <c r="G38" i="45"/>
  <c r="Q16" i="40" l="1"/>
  <c r="N17" i="40"/>
  <c r="O47" i="45"/>
  <c r="G27" i="45"/>
  <c r="O43" i="45"/>
  <c r="O22" i="45"/>
  <c r="Q17" i="40"/>
  <c r="O13" i="45"/>
  <c r="Q7" i="40"/>
  <c r="S8" i="40"/>
  <c r="T8" i="40" s="1"/>
  <c r="G43" i="45"/>
  <c r="G22" i="45"/>
  <c r="O38" i="45"/>
  <c r="G19" i="45"/>
  <c r="Q14" i="40"/>
  <c r="G47" i="45"/>
  <c r="G31" i="45"/>
  <c r="G29" i="45"/>
  <c r="Q5" i="40"/>
  <c r="K12" i="40"/>
  <c r="O4" i="45"/>
  <c r="G15" i="45"/>
  <c r="O19" i="45"/>
  <c r="O24" i="45"/>
  <c r="F24" i="45"/>
  <c r="O31" i="45"/>
  <c r="F4" i="45"/>
  <c r="F15" i="45"/>
  <c r="O5" i="45"/>
  <c r="F10" i="45"/>
  <c r="F5" i="45"/>
  <c r="G10" i="45"/>
  <c r="G8" i="45"/>
  <c r="F16" i="45"/>
  <c r="G16" i="45"/>
  <c r="G9" i="45"/>
  <c r="O9" i="45"/>
  <c r="G14" i="45"/>
  <c r="G11" i="45"/>
  <c r="O6" i="45"/>
  <c r="O11" i="45"/>
  <c r="O14" i="45"/>
</calcChain>
</file>

<file path=xl/sharedStrings.xml><?xml version="1.0" encoding="utf-8"?>
<sst xmlns="http://schemas.openxmlformats.org/spreadsheetml/2006/main" count="1158" uniqueCount="619">
  <si>
    <t>V</t>
    <phoneticPr fontId="2" type="noConversion"/>
  </si>
  <si>
    <t>kW</t>
    <phoneticPr fontId="2" type="noConversion"/>
  </si>
  <si>
    <t>A</t>
    <phoneticPr fontId="2" type="noConversion"/>
  </si>
  <si>
    <t>㎟</t>
  </si>
  <si>
    <t>kHz</t>
    <phoneticPr fontId="2" type="noConversion"/>
  </si>
  <si>
    <t>mJ</t>
    <phoneticPr fontId="2" type="noConversion"/>
  </si>
  <si>
    <t>W</t>
    <phoneticPr fontId="2" type="noConversion"/>
  </si>
  <si>
    <t>%</t>
    <phoneticPr fontId="2" type="noConversion"/>
  </si>
  <si>
    <t>Total Gate Charge</t>
    <phoneticPr fontId="2" type="noConversion"/>
  </si>
  <si>
    <t>게이트 구동손실</t>
    <phoneticPr fontId="2" type="noConversion"/>
  </si>
  <si>
    <t>코일턴수</t>
    <phoneticPr fontId="2" type="noConversion"/>
  </si>
  <si>
    <t>Turns</t>
    <phoneticPr fontId="2" type="noConversion"/>
  </si>
  <si>
    <t>내부직경</t>
    <phoneticPr fontId="2" type="noConversion"/>
  </si>
  <si>
    <t>mm</t>
    <phoneticPr fontId="2" type="noConversion"/>
  </si>
  <si>
    <t>높이</t>
    <phoneticPr fontId="2" type="noConversion"/>
  </si>
  <si>
    <t>uH</t>
    <phoneticPr fontId="2" type="noConversion"/>
  </si>
  <si>
    <t>Vdc</t>
    <phoneticPr fontId="2" type="noConversion"/>
  </si>
  <si>
    <t>Idc</t>
    <phoneticPr fontId="2" type="noConversion"/>
  </si>
  <si>
    <t>Po</t>
    <phoneticPr fontId="2" type="noConversion"/>
  </si>
  <si>
    <t>Tesla</t>
    <phoneticPr fontId="2" type="noConversion"/>
  </si>
  <si>
    <t>일차 최대전압</t>
    <phoneticPr fontId="2" type="noConversion"/>
  </si>
  <si>
    <t>최대자속밀도</t>
    <phoneticPr fontId="2" type="noConversion"/>
  </si>
  <si>
    <t>중족단면적</t>
    <phoneticPr fontId="2" type="noConversion"/>
  </si>
  <si>
    <t>cmSq</t>
    <phoneticPr fontId="2" type="noConversion"/>
  </si>
  <si>
    <t>스위칭주파수</t>
    <phoneticPr fontId="2" type="noConversion"/>
  </si>
  <si>
    <t>Hz</t>
    <phoneticPr fontId="2" type="noConversion"/>
  </si>
  <si>
    <t>최소 일차턴수</t>
    <phoneticPr fontId="2" type="noConversion"/>
  </si>
  <si>
    <t>공진콘덴서</t>
    <phoneticPr fontId="2" type="noConversion"/>
  </si>
  <si>
    <t>uF</t>
    <phoneticPr fontId="2" type="noConversion"/>
  </si>
  <si>
    <t>공진인덕터</t>
    <phoneticPr fontId="2" type="noConversion"/>
  </si>
  <si>
    <t>공진주파수</t>
    <phoneticPr fontId="2" type="noConversion"/>
  </si>
  <si>
    <t>Hz (결과)</t>
    <phoneticPr fontId="2" type="noConversion"/>
  </si>
  <si>
    <t>콘덴서</t>
    <phoneticPr fontId="2" type="noConversion"/>
  </si>
  <si>
    <t>uF</t>
  </si>
  <si>
    <t>인가주파수</t>
    <phoneticPr fontId="2" type="noConversion"/>
  </si>
  <si>
    <t>통전전류</t>
    <phoneticPr fontId="2" type="noConversion"/>
  </si>
  <si>
    <t>콘덴서전압</t>
    <phoneticPr fontId="2" type="noConversion"/>
  </si>
  <si>
    <t>주파수</t>
    <phoneticPr fontId="2" type="noConversion"/>
  </si>
  <si>
    <t>판사이거리</t>
    <phoneticPr fontId="2" type="noConversion"/>
  </si>
  <si>
    <t>판길이</t>
    <phoneticPr fontId="2" type="noConversion"/>
  </si>
  <si>
    <t>nH</t>
    <phoneticPr fontId="2" type="noConversion"/>
  </si>
  <si>
    <t>Q</t>
    <phoneticPr fontId="2" type="noConversion"/>
  </si>
  <si>
    <t>:1</t>
    <phoneticPr fontId="2" type="noConversion"/>
  </si>
  <si>
    <t>Ptot / IGBT CASE</t>
    <phoneticPr fontId="2" type="noConversion"/>
  </si>
  <si>
    <t>VDC</t>
    <phoneticPr fontId="2" type="noConversion"/>
  </si>
  <si>
    <t>uC</t>
    <phoneticPr fontId="2" type="noConversion"/>
  </si>
  <si>
    <t>W MAX</t>
    <phoneticPr fontId="2" type="noConversion"/>
  </si>
  <si>
    <t>KVA</t>
    <phoneticPr fontId="2" type="noConversion"/>
  </si>
  <si>
    <t>℃</t>
  </si>
  <si>
    <t>EA</t>
    <phoneticPr fontId="2" type="noConversion"/>
  </si>
  <si>
    <t>mm^2</t>
    <phoneticPr fontId="2" type="noConversion"/>
  </si>
  <si>
    <t>Current Density</t>
    <phoneticPr fontId="2" type="noConversion"/>
  </si>
  <si>
    <t>콘덴서값</t>
    <phoneticPr fontId="2" type="noConversion"/>
  </si>
  <si>
    <t>1차 공진전류</t>
    <phoneticPr fontId="2" type="noConversion"/>
  </si>
  <si>
    <t>입력전력</t>
    <phoneticPr fontId="2" type="noConversion"/>
  </si>
  <si>
    <t>공진전압</t>
    <phoneticPr fontId="2" type="noConversion"/>
  </si>
  <si>
    <t>VAC</t>
    <phoneticPr fontId="2" type="noConversion"/>
  </si>
  <si>
    <t>2차공진전류</t>
    <phoneticPr fontId="2" type="noConversion"/>
  </si>
  <si>
    <t>K/W</t>
    <phoneticPr fontId="2" type="noConversion"/>
  </si>
  <si>
    <t>℃</t>
    <phoneticPr fontId="2" type="noConversion"/>
  </si>
  <si>
    <t>냉각수 출수 온도</t>
    <phoneticPr fontId="2" type="noConversion"/>
  </si>
  <si>
    <t>냉각수 유량</t>
    <phoneticPr fontId="2" type="noConversion"/>
  </si>
  <si>
    <t>lpm</t>
    <phoneticPr fontId="2" type="noConversion"/>
  </si>
  <si>
    <t>냉각수 입수 온도 최대</t>
    <phoneticPr fontId="2" type="noConversion"/>
  </si>
  <si>
    <t>입력선전류</t>
    <phoneticPr fontId="2" type="noConversion"/>
  </si>
  <si>
    <t>입력선 단면적</t>
    <phoneticPr fontId="2" type="noConversion"/>
  </si>
  <si>
    <t>병렬</t>
    <phoneticPr fontId="2" type="noConversion"/>
  </si>
  <si>
    <t>직렬</t>
    <phoneticPr fontId="2" type="noConversion"/>
  </si>
  <si>
    <t>R</t>
    <phoneticPr fontId="2" type="noConversion"/>
  </si>
  <si>
    <t>Conduction Loss/Device</t>
    <phoneticPr fontId="2" type="noConversion"/>
  </si>
  <si>
    <t>Total Solid Device Loss</t>
    <phoneticPr fontId="2" type="noConversion"/>
  </si>
  <si>
    <t>공진콘덴서 전압</t>
    <phoneticPr fontId="2" type="noConversion"/>
  </si>
  <si>
    <t>Duty</t>
    <phoneticPr fontId="2" type="noConversion"/>
  </si>
  <si>
    <t>역율</t>
    <phoneticPr fontId="2" type="noConversion"/>
  </si>
  <si>
    <t>A/㎟</t>
    <phoneticPr fontId="2" type="noConversion"/>
  </si>
  <si>
    <t>L</t>
    <phoneticPr fontId="2" type="noConversion"/>
  </si>
  <si>
    <t>C</t>
    <phoneticPr fontId="2" type="noConversion"/>
  </si>
  <si>
    <t>Fr</t>
    <phoneticPr fontId="2" type="noConversion"/>
  </si>
  <si>
    <t>Phase MIN</t>
    <phoneticPr fontId="2" type="noConversion"/>
  </si>
  <si>
    <t>°</t>
    <phoneticPr fontId="2" type="noConversion"/>
  </si>
  <si>
    <t>TAN(Phase MIN)</t>
    <phoneticPr fontId="2" type="noConversion"/>
  </si>
  <si>
    <t>Fs</t>
    <phoneticPr fontId="2" type="noConversion"/>
  </si>
  <si>
    <t>Zl</t>
    <phoneticPr fontId="2" type="noConversion"/>
  </si>
  <si>
    <t>mΩ</t>
    <phoneticPr fontId="2" type="noConversion"/>
  </si>
  <si>
    <t>Zc</t>
    <phoneticPr fontId="2" type="noConversion"/>
  </si>
  <si>
    <t>Z</t>
    <phoneticPr fontId="2" type="noConversion"/>
  </si>
  <si>
    <t>HB/FB</t>
    <phoneticPr fontId="2" type="noConversion"/>
  </si>
  <si>
    <t>Half Bridge = 2, Full Bridge = 1</t>
    <phoneticPr fontId="2" type="noConversion"/>
  </si>
  <si>
    <t>Turn Ratio</t>
    <phoneticPr fontId="2" type="noConversion"/>
  </si>
  <si>
    <t>Vac secondary</t>
    <phoneticPr fontId="2" type="noConversion"/>
  </si>
  <si>
    <t>Ir primary</t>
    <phoneticPr fontId="2" type="noConversion"/>
  </si>
  <si>
    <t>Ir avg</t>
    <phoneticPr fontId="2" type="noConversion"/>
  </si>
  <si>
    <t>Ir avg DC</t>
    <phoneticPr fontId="2" type="noConversion"/>
  </si>
  <si>
    <t>Ir avg DC/Idc</t>
    <phoneticPr fontId="2" type="noConversion"/>
  </si>
  <si>
    <t>출력케이블L값</t>
    <phoneticPr fontId="2" type="noConversion"/>
  </si>
  <si>
    <t>부하 인덕턴스</t>
    <phoneticPr fontId="2" type="noConversion"/>
  </si>
  <si>
    <t>코일 병렬 수</t>
    <phoneticPr fontId="2" type="noConversion"/>
  </si>
  <si>
    <t>무부하 인덕턴스</t>
    <phoneticPr fontId="2" type="noConversion"/>
  </si>
  <si>
    <t>L값 감소율</t>
    <phoneticPr fontId="2" type="noConversion"/>
  </si>
  <si>
    <t>코일 직렬 수</t>
    <phoneticPr fontId="2" type="noConversion"/>
  </si>
  <si>
    <t>IR</t>
    <phoneticPr fontId="2" type="noConversion"/>
  </si>
  <si>
    <t>Qsw-cap</t>
    <phoneticPr fontId="2" type="noConversion"/>
  </si>
  <si>
    <t>COS(Phase MIN)</t>
    <phoneticPr fontId="2" type="noConversion"/>
  </si>
  <si>
    <t>Vac for Irmax at inphase</t>
    <phoneticPr fontId="2" type="noConversion"/>
  </si>
  <si>
    <t>Vac for Irmax with phase</t>
    <phoneticPr fontId="2" type="noConversion"/>
  </si>
  <si>
    <t>Irmax at R</t>
    <phoneticPr fontId="2" type="noConversion"/>
  </si>
  <si>
    <t>코일 L값</t>
    <phoneticPr fontId="2" type="noConversion"/>
  </si>
  <si>
    <t>인버터 출력전류</t>
    <phoneticPr fontId="2" type="noConversion"/>
  </si>
  <si>
    <t>DC LINK C값</t>
    <phoneticPr fontId="2" type="noConversion"/>
  </si>
  <si>
    <t>DC LINK CAP RIPPLE Voltage</t>
    <phoneticPr fontId="2" type="noConversion"/>
  </si>
  <si>
    <t>VDC 평균값</t>
    <phoneticPr fontId="2" type="noConversion"/>
  </si>
  <si>
    <t>DC LINK CAP RIPPLE Current</t>
    <phoneticPr fontId="2" type="noConversion"/>
  </si>
  <si>
    <t>동작주파수</t>
    <phoneticPr fontId="2" type="noConversion"/>
  </si>
  <si>
    <t>DC LINK CAP 리플 함유율(peak to peak)</t>
    <phoneticPr fontId="2" type="noConversion"/>
  </si>
  <si>
    <t>IGBT IC RMS전류</t>
    <phoneticPr fontId="2" type="noConversion"/>
  </si>
  <si>
    <t>파형 및 LCD 확인</t>
    <phoneticPr fontId="2" type="noConversion"/>
  </si>
  <si>
    <t>Switching Frequency</t>
    <phoneticPr fontId="2" type="noConversion"/>
  </si>
  <si>
    <t>DATA SHEET 확인</t>
    <phoneticPr fontId="2" type="noConversion"/>
  </si>
  <si>
    <t>게이트 전압</t>
    <phoneticPr fontId="2" type="noConversion"/>
  </si>
  <si>
    <t>게이트드라이버 전위차(예를 들어 +15V,-10V 일때는 25V)</t>
    <phoneticPr fontId="2" type="noConversion"/>
  </si>
  <si>
    <t>Off Switching Energy</t>
    <phoneticPr fontId="2" type="noConversion"/>
  </si>
  <si>
    <t>DATA SHEET 확인(Switching Current 에 해당하는 Off Switching Energy)</t>
    <phoneticPr fontId="2" type="noConversion"/>
  </si>
  <si>
    <t>On Switching Energy(ZVS)</t>
    <phoneticPr fontId="2" type="noConversion"/>
  </si>
  <si>
    <t>Diode 역방향 회복 Energy(ZVS)</t>
    <phoneticPr fontId="2" type="noConversion"/>
  </si>
  <si>
    <t>IGBT Switching Loss/Device</t>
    <phoneticPr fontId="2" type="noConversion"/>
  </si>
  <si>
    <t>Diode 역방향 회복 손실(ZVS)</t>
    <phoneticPr fontId="2" type="noConversion"/>
  </si>
  <si>
    <t>스너버 손실 비율</t>
  </si>
  <si>
    <t>스너버 없으면 100%, 스너버 최소 손실비율(55% 감소)</t>
    <phoneticPr fontId="2" type="noConversion"/>
  </si>
  <si>
    <t>IGBT Switching Loss/Device_스너버손실비율 포함</t>
    <phoneticPr fontId="2" type="noConversion"/>
  </si>
  <si>
    <t>IC 평균전류</t>
    <phoneticPr fontId="2" type="noConversion"/>
  </si>
  <si>
    <t>IGBT VCE Saturation</t>
    <phoneticPr fontId="2" type="noConversion"/>
  </si>
  <si>
    <t>DATA SHEET 확인(IC 평균전류에 해당하는 Vce saturation 확인)</t>
    <phoneticPr fontId="2" type="noConversion"/>
  </si>
  <si>
    <t>Diode Vf</t>
    <phoneticPr fontId="2" type="noConversion"/>
  </si>
  <si>
    <t>DATA SHEET 확인(IC 평균전류에 해당하는 Diode Vf 확인)</t>
    <phoneticPr fontId="2" type="noConversion"/>
  </si>
  <si>
    <t>위상지연각</t>
    <phoneticPr fontId="2" type="noConversion"/>
  </si>
  <si>
    <t>IGBT Conduction Loss</t>
    <phoneticPr fontId="2" type="noConversion"/>
  </si>
  <si>
    <t>Diode Conduction Loss</t>
    <phoneticPr fontId="2" type="noConversion"/>
  </si>
  <si>
    <t>모듈 Package 당 IGBT(switching device)수량</t>
    <phoneticPr fontId="2" type="noConversion"/>
  </si>
  <si>
    <t>열저항(Junction-Case)-IGBT</t>
    <phoneticPr fontId="2" type="noConversion"/>
  </si>
  <si>
    <t>Case온도(IGBT,Tj=125℃기준)</t>
    <phoneticPr fontId="2" type="noConversion"/>
  </si>
  <si>
    <t>표기된 온도 이상은 사용 불가</t>
    <phoneticPr fontId="2" type="noConversion"/>
  </si>
  <si>
    <t>Case온도(Diode,Tj=125℃기준)</t>
    <phoneticPr fontId="2" type="noConversion"/>
  </si>
  <si>
    <t>Case온도- IGBT  온도차</t>
    <phoneticPr fontId="2" type="noConversion"/>
  </si>
  <si>
    <t>Case온도- Diode 온도차</t>
    <phoneticPr fontId="2" type="noConversion"/>
  </si>
  <si>
    <t>열저항(Case-Heatsink)-IGBT(lPaste = 1 W/(m·K)기준)</t>
    <phoneticPr fontId="2" type="noConversion"/>
  </si>
  <si>
    <t>열저항(Case-Heatsink)-Diode(lPaste = 1 W/(m·K)기준)</t>
    <phoneticPr fontId="2" type="noConversion"/>
  </si>
  <si>
    <t>Heatsink온도-IGBT바닥면 중심</t>
    <phoneticPr fontId="2" type="noConversion"/>
  </si>
  <si>
    <t>Heatsink온도-Diode바닥면 중심</t>
    <phoneticPr fontId="2" type="noConversion"/>
  </si>
  <si>
    <t>Heatsink온도-케이스간 온도차-IGBT</t>
    <phoneticPr fontId="2" type="noConversion"/>
  </si>
  <si>
    <t>Heatsink온도-케이스간 온도차-Diode</t>
    <phoneticPr fontId="2" type="noConversion"/>
  </si>
  <si>
    <t>수냉방열판과의 열저항의 기준이 없어 60℃를 기준으로함</t>
    <phoneticPr fontId="2" type="noConversion"/>
  </si>
  <si>
    <t>유량</t>
    <phoneticPr fontId="2" type="noConversion"/>
  </si>
  <si>
    <t>Vdc 전압</t>
    <phoneticPr fontId="4" type="noConversion"/>
  </si>
  <si>
    <t>Vdc</t>
    <phoneticPr fontId="4" type="noConversion"/>
  </si>
  <si>
    <t>C스너버 개당 C값</t>
    <phoneticPr fontId="4" type="noConversion"/>
  </si>
  <si>
    <t>nF</t>
    <phoneticPr fontId="4" type="noConversion"/>
  </si>
  <si>
    <t>스너버 C값(POLE 기준)</t>
    <phoneticPr fontId="3" type="noConversion"/>
  </si>
  <si>
    <t>nF</t>
    <phoneticPr fontId="3" type="noConversion"/>
  </si>
  <si>
    <t>C스너버 보드당 C갯수</t>
    <phoneticPr fontId="4" type="noConversion"/>
  </si>
  <si>
    <t>개</t>
    <phoneticPr fontId="4" type="noConversion"/>
  </si>
  <si>
    <t>VDC 전압</t>
    <phoneticPr fontId="3" type="noConversion"/>
  </si>
  <si>
    <t>V</t>
    <phoneticPr fontId="3" type="noConversion"/>
  </si>
  <si>
    <t>보드를 겹침 수량</t>
    <phoneticPr fontId="4" type="noConversion"/>
  </si>
  <si>
    <t>스위칭전류</t>
    <phoneticPr fontId="3" type="noConversion"/>
  </si>
  <si>
    <t>A</t>
    <phoneticPr fontId="3" type="noConversion"/>
  </si>
  <si>
    <t>상하 고려</t>
    <phoneticPr fontId="4" type="noConversion"/>
  </si>
  <si>
    <t>스위칭시 전압 상승시간</t>
    <phoneticPr fontId="3" type="noConversion"/>
  </si>
  <si>
    <t>ns</t>
    <phoneticPr fontId="3" type="noConversion"/>
  </si>
  <si>
    <t>상하 데드타임</t>
    <phoneticPr fontId="4" type="noConversion"/>
  </si>
  <si>
    <t>us</t>
    <phoneticPr fontId="4" type="noConversion"/>
  </si>
  <si>
    <t>모듈 출력전류</t>
    <phoneticPr fontId="4" type="noConversion"/>
  </si>
  <si>
    <t>Arms</t>
    <phoneticPr fontId="4" type="noConversion"/>
  </si>
  <si>
    <t>운전 모듈 수량</t>
    <phoneticPr fontId="4" type="noConversion"/>
  </si>
  <si>
    <t>대</t>
    <phoneticPr fontId="4" type="noConversion"/>
  </si>
  <si>
    <t>인버터 출력전류</t>
    <phoneticPr fontId="4" type="noConversion"/>
  </si>
  <si>
    <t>정격전류시 상승시간</t>
    <phoneticPr fontId="4" type="noConversion"/>
  </si>
  <si>
    <t>ON-POLE</t>
    <phoneticPr fontId="4" type="noConversion"/>
  </si>
  <si>
    <t>스위칭각</t>
    <phoneticPr fontId="4" type="noConversion"/>
  </si>
  <si>
    <t>deg</t>
    <phoneticPr fontId="4" type="noConversion"/>
  </si>
  <si>
    <t>스위칭 전류</t>
    <phoneticPr fontId="4" type="noConversion"/>
  </si>
  <si>
    <t>A</t>
    <phoneticPr fontId="4" type="noConversion"/>
  </si>
  <si>
    <t>전압 상승 소요시간</t>
    <phoneticPr fontId="4" type="noConversion"/>
  </si>
  <si>
    <t>nsec</t>
    <phoneticPr fontId="4" type="noConversion"/>
  </si>
  <si>
    <t>데드타임 에 맞추기 위한</t>
    <phoneticPr fontId="4" type="noConversion"/>
  </si>
  <si>
    <t>ZVS 모듈 스위칭 전류</t>
    <phoneticPr fontId="4" type="noConversion"/>
  </si>
  <si>
    <t>ZVS 모듈 전류</t>
    <phoneticPr fontId="4" type="noConversion"/>
  </si>
  <si>
    <t>정격전류 대비 율</t>
    <phoneticPr fontId="4" type="noConversion"/>
  </si>
  <si>
    <t>%</t>
    <phoneticPr fontId="4" type="noConversion"/>
  </si>
  <si>
    <t>정격전력 대비 율</t>
    <phoneticPr fontId="4" type="noConversion"/>
  </si>
  <si>
    <t>날짜</t>
    <phoneticPr fontId="4" type="noConversion"/>
  </si>
  <si>
    <t>운전데이터</t>
    <phoneticPr fontId="4" type="noConversion"/>
  </si>
  <si>
    <t>운전데이터기준_예상데이터</t>
    <phoneticPr fontId="4" type="noConversion"/>
  </si>
  <si>
    <t>운전데이터 기준_탭비변경 예상데이터</t>
    <phoneticPr fontId="4" type="noConversion"/>
  </si>
  <si>
    <t>탭비변경 기준_예상데이터</t>
    <phoneticPr fontId="4" type="noConversion"/>
  </si>
  <si>
    <t>Po[kW]</t>
    <phoneticPr fontId="4" type="noConversion"/>
  </si>
  <si>
    <t>Vo[V]</t>
    <phoneticPr fontId="4" type="noConversion"/>
  </si>
  <si>
    <t>Io[A]</t>
    <phoneticPr fontId="4" type="noConversion"/>
  </si>
  <si>
    <t>Fr[kHz]</t>
    <phoneticPr fontId="4" type="noConversion"/>
  </si>
  <si>
    <t>M/T 탭비</t>
    <phoneticPr fontId="4" type="noConversion"/>
  </si>
  <si>
    <t>Ir[A]</t>
    <phoneticPr fontId="4" type="noConversion"/>
  </si>
  <si>
    <t>위상각</t>
    <phoneticPr fontId="4" type="noConversion"/>
  </si>
  <si>
    <r>
      <t>cos</t>
    </r>
    <r>
      <rPr>
        <b/>
        <sz val="11"/>
        <color indexed="8"/>
        <rFont val="맑은 고딕"/>
        <family val="3"/>
        <charset val="129"/>
      </rPr>
      <t>θ</t>
    </r>
    <phoneticPr fontId="4" type="noConversion"/>
  </si>
  <si>
    <t>Duty</t>
    <phoneticPr fontId="4" type="noConversion"/>
  </si>
  <si>
    <t>예상 Po[kW]</t>
    <phoneticPr fontId="4" type="noConversion"/>
  </si>
  <si>
    <t>예상 Ir</t>
    <phoneticPr fontId="4" type="noConversion"/>
  </si>
  <si>
    <t>예상 Duty</t>
    <phoneticPr fontId="4" type="noConversion"/>
  </si>
  <si>
    <t>변경 탭비</t>
    <phoneticPr fontId="4" type="noConversion"/>
  </si>
  <si>
    <t>변경 Ir[A]</t>
    <phoneticPr fontId="4" type="noConversion"/>
  </si>
  <si>
    <t>변경 Duty</t>
    <phoneticPr fontId="4" type="noConversion"/>
  </si>
  <si>
    <t>예상 Po[kW]</t>
    <phoneticPr fontId="4" type="noConversion"/>
  </si>
  <si>
    <t>예상 Ir</t>
    <phoneticPr fontId="4" type="noConversion"/>
  </si>
  <si>
    <t>예상 Duty</t>
    <phoneticPr fontId="4" type="noConversion"/>
  </si>
  <si>
    <t>사용 재료</t>
    <phoneticPr fontId="4" type="noConversion"/>
  </si>
  <si>
    <t>타프피치 동</t>
    <phoneticPr fontId="4" type="noConversion"/>
  </si>
  <si>
    <t>도체 고유전기저항</t>
    <phoneticPr fontId="2" type="noConversion"/>
  </si>
  <si>
    <t>[Ωm×10E-8]</t>
    <phoneticPr fontId="2" type="noConversion"/>
  </si>
  <si>
    <t>도체의 온도저항계수</t>
    <phoneticPr fontId="2" type="noConversion"/>
  </si>
  <si>
    <t>at 20℃</t>
    <phoneticPr fontId="2" type="noConversion"/>
  </si>
  <si>
    <t>도체의 온도</t>
    <phoneticPr fontId="2" type="noConversion"/>
  </si>
  <si>
    <t xml:space="preserve">도체의 산출저항 </t>
    <phoneticPr fontId="2" type="noConversion"/>
  </si>
  <si>
    <t>도체의 산출 전도도</t>
    <phoneticPr fontId="4" type="noConversion"/>
  </si>
  <si>
    <t>[SIMENS/m]</t>
    <phoneticPr fontId="4" type="noConversion"/>
  </si>
  <si>
    <t>비투자율</t>
    <phoneticPr fontId="2" type="noConversion"/>
  </si>
  <si>
    <t>ui</t>
    <phoneticPr fontId="3" type="noConversion"/>
  </si>
  <si>
    <t>[Hz]</t>
    <phoneticPr fontId="2" type="noConversion"/>
  </si>
  <si>
    <t>[mm]</t>
    <phoneticPr fontId="3" type="noConversion"/>
  </si>
  <si>
    <t>&lt;공진 C 계산 공식&gt;</t>
    <phoneticPr fontId="2" type="noConversion"/>
  </si>
  <si>
    <t>전체 탭</t>
    <phoneticPr fontId="2" type="noConversion"/>
  </si>
  <si>
    <t>사용 탭</t>
    <phoneticPr fontId="2" type="noConversion"/>
  </si>
  <si>
    <t>정격 전압</t>
    <phoneticPr fontId="2" type="noConversion"/>
  </si>
  <si>
    <t>정격 전류</t>
    <phoneticPr fontId="2" type="noConversion"/>
  </si>
  <si>
    <t>단위 C 용량</t>
    <phoneticPr fontId="2" type="noConversion"/>
  </si>
  <si>
    <t>사용가능 전압</t>
    <phoneticPr fontId="2" type="noConversion"/>
  </si>
  <si>
    <t>사용가능 전류</t>
    <phoneticPr fontId="2" type="noConversion"/>
  </si>
  <si>
    <t>탭</t>
    <phoneticPr fontId="2" type="noConversion"/>
  </si>
  <si>
    <t>직렬 연결 수량</t>
    <phoneticPr fontId="2" type="noConversion"/>
  </si>
  <si>
    <t>병렬 연결 수량</t>
    <phoneticPr fontId="2" type="noConversion"/>
  </si>
  <si>
    <t>&lt;Q값 계산 공식 :공진 C 기준&gt;</t>
    <phoneticPr fontId="2" type="noConversion"/>
  </si>
  <si>
    <t>&lt;위상각 계산 공식&gt;</t>
    <phoneticPr fontId="2" type="noConversion"/>
  </si>
  <si>
    <t>인버터 관련</t>
    <phoneticPr fontId="2" type="noConversion"/>
  </si>
  <si>
    <t>정류부 관련</t>
    <phoneticPr fontId="2" type="noConversion"/>
  </si>
  <si>
    <t>&lt;트랜스포머 최소 턴수 계산 공식&gt;</t>
    <phoneticPr fontId="2" type="noConversion"/>
  </si>
  <si>
    <t>turn</t>
    <phoneticPr fontId="2" type="noConversion"/>
  </si>
  <si>
    <t>전력</t>
    <phoneticPr fontId="2" type="noConversion"/>
  </si>
  <si>
    <t>입력 선전압</t>
    <phoneticPr fontId="2" type="noConversion"/>
  </si>
  <si>
    <t xml:space="preserve">비고 </t>
    <phoneticPr fontId="2" type="noConversion"/>
  </si>
  <si>
    <t>M/T 1차 구형파 전압으로 얻을 수 있는 AC 전압의 최대값</t>
    <phoneticPr fontId="2" type="noConversion"/>
  </si>
  <si>
    <t>공진 주파수</t>
    <phoneticPr fontId="2" type="noConversion"/>
  </si>
  <si>
    <t>&lt;콘덴서 내전압 계산 공식&gt;</t>
    <phoneticPr fontId="2" type="noConversion"/>
  </si>
  <si>
    <t>&lt;스너버C 용량 적정성 검토 계산 공식&gt;</t>
    <phoneticPr fontId="2" type="noConversion"/>
  </si>
  <si>
    <t>&lt;Dead Time 계산 공식&gt;</t>
    <phoneticPr fontId="2" type="noConversion"/>
  </si>
  <si>
    <t>[mmSQ]</t>
    <phoneticPr fontId="3" type="noConversion"/>
  </si>
  <si>
    <t>[A]</t>
    <phoneticPr fontId="2" type="noConversion"/>
  </si>
  <si>
    <t>[W]</t>
    <phoneticPr fontId="2" type="noConversion"/>
  </si>
  <si>
    <t>Skin Depth</t>
    <phoneticPr fontId="2" type="noConversion"/>
  </si>
  <si>
    <t>배선길이</t>
    <phoneticPr fontId="2" type="noConversion"/>
  </si>
  <si>
    <t>인가전류</t>
    <phoneticPr fontId="2" type="noConversion"/>
  </si>
  <si>
    <t>발열량</t>
    <phoneticPr fontId="2" type="noConversion"/>
  </si>
  <si>
    <t>파이프 외경</t>
    <phoneticPr fontId="2" type="noConversion"/>
  </si>
  <si>
    <t>가로(외곽)</t>
    <phoneticPr fontId="2" type="noConversion"/>
  </si>
  <si>
    <t>세로(외곽)</t>
    <phoneticPr fontId="2" type="noConversion"/>
  </si>
  <si>
    <t>&lt;Fault 발생시 L에 의한 VDC 상승전압 계산공식&gt;</t>
    <phoneticPr fontId="2" type="noConversion"/>
  </si>
  <si>
    <t>전체 C 용량</t>
    <phoneticPr fontId="2" type="noConversion"/>
  </si>
  <si>
    <t>kw</t>
    <phoneticPr fontId="2" type="noConversion"/>
  </si>
  <si>
    <t>COSθ</t>
    <phoneticPr fontId="2" type="noConversion"/>
  </si>
  <si>
    <t>θ (위상각, Phase)</t>
    <phoneticPr fontId="2" type="noConversion"/>
  </si>
  <si>
    <t>코일 전압(출력케이블 포함)</t>
    <phoneticPr fontId="2" type="noConversion"/>
  </si>
  <si>
    <t>공진콘덴서 기준의 Q값(예상데이터, 측정 및 계산 데이터)</t>
    <phoneticPr fontId="2" type="noConversion"/>
  </si>
  <si>
    <t>M/T 1차 전류(인버터 출력 전류)</t>
    <phoneticPr fontId="2" type="noConversion"/>
  </si>
  <si>
    <t>공진 전류(코일전류, C/T 1차전류)</t>
    <phoneticPr fontId="2" type="noConversion"/>
  </si>
  <si>
    <t>동작 주파수 (Q값 ,위상각 등에 따라 달라짐)</t>
    <phoneticPr fontId="2" type="noConversion"/>
  </si>
  <si>
    <t>&lt;DC LINK CAPACITOR 리플 전압,전류 계산 공식&gt;</t>
    <phoneticPr fontId="2" type="noConversion"/>
  </si>
  <si>
    <t>인버터의 위상각(기준 30° ,상황에 따라 20° 까지 적용)</t>
    <phoneticPr fontId="2" type="noConversion"/>
  </si>
  <si>
    <t>100%이하(98%정도이하),Turn Ratio값을 조정하여 변경</t>
    <phoneticPr fontId="2" type="noConversion"/>
  </si>
  <si>
    <t>Matching Transformer 의 권선비(Duty가 100%넘지 않도록 조정)</t>
    <phoneticPr fontId="2" type="noConversion"/>
  </si>
  <si>
    <t>단면적</t>
    <phoneticPr fontId="2" type="noConversion"/>
  </si>
  <si>
    <t xml:space="preserve">부스바 폭(너비) </t>
    <phoneticPr fontId="2" type="noConversion"/>
  </si>
  <si>
    <t xml:space="preserve">단면적 </t>
    <phoneticPr fontId="2" type="noConversion"/>
  </si>
  <si>
    <t>Min(스킨뎁스,두께)</t>
    <phoneticPr fontId="2" type="noConversion"/>
  </si>
  <si>
    <t>두께 : 파이프</t>
    <phoneticPr fontId="2" type="noConversion"/>
  </si>
  <si>
    <t xml:space="preserve">두께 : 부스바 </t>
    <phoneticPr fontId="2" type="noConversion"/>
  </si>
  <si>
    <t>&lt;코일 인덕턴스 계산 공식, C/T 및 출력케이블포함&gt;</t>
    <phoneticPr fontId="2" type="noConversion"/>
  </si>
  <si>
    <t>C/T권선비</t>
    <phoneticPr fontId="2" type="noConversion"/>
  </si>
  <si>
    <t>C/T1차 인덕턴스</t>
    <phoneticPr fontId="2" type="noConversion"/>
  </si>
  <si>
    <t>VDC (Fault 발생시 상승전압)</t>
    <phoneticPr fontId="2" type="noConversion"/>
  </si>
  <si>
    <t>VDC (동작: RUN 중)</t>
    <phoneticPr fontId="2" type="noConversion"/>
  </si>
  <si>
    <t>트랜스포머 권선비</t>
    <phoneticPr fontId="2" type="noConversion"/>
  </si>
  <si>
    <t>열저항(Junction-Case)-Diode</t>
    <phoneticPr fontId="2" type="noConversion"/>
  </si>
  <si>
    <t>&lt;평판 인덕턴스 계산 공식&gt;</t>
    <phoneticPr fontId="2" type="noConversion"/>
  </si>
  <si>
    <t>코일 혹은 C/T 1차측 L값 (측정값 혹은 설계 값)</t>
    <phoneticPr fontId="2" type="noConversion"/>
  </si>
  <si>
    <t>코일의 Q값 (예상값 범위를 입력)</t>
    <phoneticPr fontId="2" type="noConversion"/>
  </si>
  <si>
    <t>공진 콘덴서 총 C값 (Fs 및 Fr을 원하는 주파수에 맞게 C값을 조정)</t>
    <phoneticPr fontId="2" type="noConversion"/>
  </si>
  <si>
    <t>Vdc 전압</t>
    <phoneticPr fontId="2" type="noConversion"/>
  </si>
  <si>
    <t>상당 입력 선전류 (차단기 및 FUSE 선정 기준)</t>
    <phoneticPr fontId="2" type="noConversion"/>
  </si>
  <si>
    <t>Idc 전류 (정류다이오드 선정 기준)</t>
    <phoneticPr fontId="2" type="noConversion"/>
  </si>
  <si>
    <t>기입순서</t>
    <phoneticPr fontId="2" type="noConversion"/>
  </si>
  <si>
    <t>Switching Current(peak)</t>
    <phoneticPr fontId="2" type="noConversion"/>
  </si>
  <si>
    <t>IGBT 병렬 수량</t>
    <phoneticPr fontId="2" type="noConversion"/>
  </si>
  <si>
    <t>IGBT Loss (Total)</t>
    <phoneticPr fontId="2" type="noConversion"/>
  </si>
  <si>
    <t>Diode Loss (Total)</t>
    <phoneticPr fontId="2" type="noConversion"/>
  </si>
  <si>
    <t>IGBT 1EA 당 흐르는 IC RMS 전류</t>
    <phoneticPr fontId="2" type="noConversion"/>
  </si>
  <si>
    <t>IGBT 병렬 연결 수량</t>
    <phoneticPr fontId="2" type="noConversion"/>
  </si>
  <si>
    <t>정현파 기준 PEAK치로 계산 (IC RMS *1.414)</t>
    <phoneticPr fontId="2" type="noConversion"/>
  </si>
  <si>
    <t>Loss %</t>
    <phoneticPr fontId="2" type="noConversion"/>
  </si>
  <si>
    <t>약 30% 이하가 되어야 함</t>
    <phoneticPr fontId="2" type="noConversion"/>
  </si>
  <si>
    <t>SINGLE 모듈: 1, DUAL 모듈: 2(62mm package)</t>
    <phoneticPr fontId="2" type="noConversion"/>
  </si>
  <si>
    <t>Total Loss/Module</t>
    <phoneticPr fontId="2" type="noConversion"/>
  </si>
  <si>
    <t>Vc Voltage</t>
    <phoneticPr fontId="2" type="noConversion"/>
  </si>
  <si>
    <t>Vl Voltage</t>
    <phoneticPr fontId="2" type="noConversion"/>
  </si>
  <si>
    <t xml:space="preserve">Vac max </t>
    <phoneticPr fontId="2" type="noConversion"/>
  </si>
  <si>
    <t>M/T 2차 구형파 전압으로 얻을 수 있는 AC 전압의 최대값</t>
    <phoneticPr fontId="2" type="noConversion"/>
  </si>
  <si>
    <t>Zl at Fr</t>
    <phoneticPr fontId="2" type="noConversion"/>
  </si>
  <si>
    <t xml:space="preserve">직렬공진회로 설계 시트_PAM,PWM </t>
    <phoneticPr fontId="2" type="noConversion"/>
  </si>
  <si>
    <t>IGBT 발열량 계산(기초)</t>
    <phoneticPr fontId="2" type="noConversion"/>
  </si>
  <si>
    <t>&lt;평판 커패시턴스 계산 공식&gt;</t>
    <phoneticPr fontId="2" type="noConversion"/>
  </si>
  <si>
    <t>판 면적</t>
    <phoneticPr fontId="2" type="noConversion"/>
  </si>
  <si>
    <t>비유전율</t>
    <phoneticPr fontId="2" type="noConversion"/>
  </si>
  <si>
    <t>판폭</t>
    <phoneticPr fontId="2" type="noConversion"/>
  </si>
  <si>
    <t>nF</t>
    <phoneticPr fontId="2" type="noConversion"/>
  </si>
  <si>
    <t>테프론(2.1)</t>
    <phoneticPr fontId="2" type="noConversion"/>
  </si>
  <si>
    <t>내부도체외경</t>
    <phoneticPr fontId="2" type="noConversion"/>
  </si>
  <si>
    <t>절연체두께</t>
    <phoneticPr fontId="2" type="noConversion"/>
  </si>
  <si>
    <t>외부도체내경</t>
    <phoneticPr fontId="2" type="noConversion"/>
  </si>
  <si>
    <t>공기유전율 (ε0)</t>
    <phoneticPr fontId="6" type="noConversion"/>
  </si>
  <si>
    <t>비유전율 (εr)</t>
    <phoneticPr fontId="2" type="noConversion"/>
  </si>
  <si>
    <t>C(단위길이당 1m 당)</t>
    <phoneticPr fontId="2" type="noConversion"/>
  </si>
  <si>
    <t>케이블 길이</t>
    <phoneticPr fontId="2" type="noConversion"/>
  </si>
  <si>
    <t xml:space="preserve">C값 </t>
    <phoneticPr fontId="2" type="noConversion"/>
  </si>
  <si>
    <t>m</t>
    <phoneticPr fontId="2" type="noConversion"/>
  </si>
  <si>
    <t>&lt;동축케이블 커패시턴스 계산 공식&gt;</t>
    <phoneticPr fontId="2" type="noConversion"/>
  </si>
  <si>
    <t>정격전력</t>
    <phoneticPr fontId="7" type="noConversion"/>
  </si>
  <si>
    <t>입력전압</t>
    <phoneticPr fontId="7" type="noConversion"/>
  </si>
  <si>
    <t>입력선전류</t>
    <phoneticPr fontId="7" type="noConversion"/>
  </si>
  <si>
    <t>DC전압</t>
    <phoneticPr fontId="7" type="noConversion"/>
  </si>
  <si>
    <t>DC전류</t>
    <phoneticPr fontId="7" type="noConversion"/>
  </si>
  <si>
    <t>필요SQ</t>
    <phoneticPr fontId="7" type="noConversion"/>
  </si>
  <si>
    <t>SQ당 전류</t>
    <phoneticPr fontId="7" type="noConversion"/>
  </si>
  <si>
    <t>인입선SQ</t>
    <phoneticPr fontId="7" type="noConversion"/>
  </si>
  <si>
    <t>가닥수</t>
    <phoneticPr fontId="7" type="noConversion"/>
  </si>
  <si>
    <t>접지선필요SQ</t>
    <phoneticPr fontId="7" type="noConversion"/>
  </si>
  <si>
    <t>접지선SQ</t>
    <phoneticPr fontId="7" type="noConversion"/>
  </si>
  <si>
    <t>차단기 용량</t>
    <phoneticPr fontId="7" type="noConversion"/>
  </si>
  <si>
    <t xml:space="preserve">Main차단기 </t>
    <phoneticPr fontId="7" type="noConversion"/>
  </si>
  <si>
    <t>3상입력선SQ</t>
    <phoneticPr fontId="7" type="noConversion"/>
  </si>
  <si>
    <t>퓨즈용량</t>
    <phoneticPr fontId="7" type="noConversion"/>
  </si>
  <si>
    <t>퓨즈</t>
    <phoneticPr fontId="7" type="noConversion"/>
  </si>
  <si>
    <t>정류소자</t>
    <phoneticPr fontId="7" type="noConversion"/>
  </si>
  <si>
    <t>DC REACTOR</t>
    <phoneticPr fontId="7" type="noConversion"/>
  </si>
  <si>
    <t>션트저항</t>
    <phoneticPr fontId="7" type="noConversion"/>
  </si>
  <si>
    <t>초기충전</t>
    <phoneticPr fontId="7" type="noConversion"/>
  </si>
  <si>
    <t>DC과전압보호</t>
    <phoneticPr fontId="7" type="noConversion"/>
  </si>
  <si>
    <t>다이오드</t>
    <phoneticPr fontId="7" type="noConversion"/>
  </si>
  <si>
    <t>SCR</t>
    <phoneticPr fontId="7" type="noConversion"/>
  </si>
  <si>
    <t>GMC-75</t>
    <phoneticPr fontId="7" type="noConversion"/>
  </si>
  <si>
    <t>25 (연선)</t>
    <phoneticPr fontId="7" type="noConversion"/>
  </si>
  <si>
    <t>100A</t>
    <phoneticPr fontId="7" type="noConversion"/>
  </si>
  <si>
    <t>DDB6U215N16L</t>
    <phoneticPr fontId="7" type="noConversion"/>
  </si>
  <si>
    <t>50XF</t>
  </si>
  <si>
    <t>100A</t>
    <phoneticPr fontId="7" type="noConversion"/>
  </si>
  <si>
    <t>INRUSH_V6</t>
    <phoneticPr fontId="7" type="noConversion"/>
  </si>
  <si>
    <t>-</t>
    <phoneticPr fontId="7" type="noConversion"/>
  </si>
  <si>
    <t>GMC-50</t>
    <phoneticPr fontId="7" type="noConversion"/>
  </si>
  <si>
    <t>16 (연선)</t>
    <phoneticPr fontId="7" type="noConversion"/>
  </si>
  <si>
    <t>50A</t>
    <phoneticPr fontId="7" type="noConversion"/>
  </si>
  <si>
    <t>INRUSH_V6</t>
    <phoneticPr fontId="7" type="noConversion"/>
  </si>
  <si>
    <t>GMC-125</t>
    <phoneticPr fontId="7" type="noConversion"/>
  </si>
  <si>
    <t>35 (연선)</t>
    <phoneticPr fontId="7" type="noConversion"/>
  </si>
  <si>
    <t>120A</t>
    <phoneticPr fontId="7" type="noConversion"/>
  </si>
  <si>
    <t>150A</t>
    <phoneticPr fontId="7" type="noConversion"/>
  </si>
  <si>
    <t>ABS203c 200A</t>
    <phoneticPr fontId="7" type="noConversion"/>
  </si>
  <si>
    <t>50 (연선)</t>
    <phoneticPr fontId="7" type="noConversion"/>
  </si>
  <si>
    <t>200A</t>
    <phoneticPr fontId="7" type="noConversion"/>
  </si>
  <si>
    <t>DD171N16K/MDD17216N1</t>
    <phoneticPr fontId="7" type="noConversion"/>
  </si>
  <si>
    <t>100XF</t>
    <phoneticPr fontId="7" type="noConversion"/>
  </si>
  <si>
    <t>300A</t>
    <phoneticPr fontId="7" type="noConversion"/>
  </si>
  <si>
    <t>INRUSH_MC_DC SUNBBER</t>
    <phoneticPr fontId="7" type="noConversion"/>
  </si>
  <si>
    <t>ABS103c 125A</t>
    <phoneticPr fontId="7" type="noConversion"/>
  </si>
  <si>
    <t>ABS403c 300A</t>
    <phoneticPr fontId="7" type="noConversion"/>
  </si>
  <si>
    <t>95 (연선)*2</t>
    <phoneticPr fontId="7" type="noConversion"/>
  </si>
  <si>
    <t>300A</t>
    <phoneticPr fontId="7" type="noConversion"/>
  </si>
  <si>
    <t>100XF</t>
    <phoneticPr fontId="7" type="noConversion"/>
  </si>
  <si>
    <t>95 (연선)</t>
    <phoneticPr fontId="7" type="noConversion"/>
  </si>
  <si>
    <t>250A</t>
    <phoneticPr fontId="7" type="noConversion"/>
  </si>
  <si>
    <t>200XF</t>
    <phoneticPr fontId="7" type="noConversion"/>
  </si>
  <si>
    <t>ABS203c 225A</t>
    <phoneticPr fontId="7" type="noConversion"/>
  </si>
  <si>
    <t>400A</t>
    <phoneticPr fontId="7" type="noConversion"/>
  </si>
  <si>
    <t>ABS403c 400A</t>
    <phoneticPr fontId="7" type="noConversion"/>
  </si>
  <si>
    <t>500A</t>
    <phoneticPr fontId="7" type="noConversion"/>
  </si>
  <si>
    <t>DD350N16K1/MDD31216N1</t>
    <phoneticPr fontId="7" type="noConversion"/>
  </si>
  <si>
    <t>ABS603c 500A</t>
    <phoneticPr fontId="7" type="noConversion"/>
  </si>
  <si>
    <t>40*8T (부스바)</t>
    <phoneticPr fontId="7" type="noConversion"/>
  </si>
  <si>
    <t>600A</t>
    <phoneticPr fontId="7" type="noConversion"/>
  </si>
  <si>
    <t>400XF</t>
    <phoneticPr fontId="7" type="noConversion"/>
  </si>
  <si>
    <t>40*6T (부스바)</t>
    <phoneticPr fontId="7" type="noConversion"/>
  </si>
  <si>
    <t>ABS603c 630A</t>
    <phoneticPr fontId="7" type="noConversion"/>
  </si>
  <si>
    <t>800A</t>
    <phoneticPr fontId="7" type="noConversion"/>
  </si>
  <si>
    <t>ABS803c 800A</t>
    <phoneticPr fontId="7" type="noConversion"/>
  </si>
  <si>
    <t>50*10T (부스바)</t>
    <phoneticPr fontId="7" type="noConversion"/>
  </si>
  <si>
    <t>DD600N16K</t>
    <phoneticPr fontId="7" type="noConversion"/>
  </si>
  <si>
    <t>1000A</t>
    <phoneticPr fontId="7" type="noConversion"/>
  </si>
  <si>
    <t>50*11T (부스바)</t>
  </si>
  <si>
    <t>900A</t>
    <phoneticPr fontId="7" type="noConversion"/>
  </si>
  <si>
    <t>ABS1003c 1000A</t>
    <phoneticPr fontId="7" type="noConversion"/>
  </si>
  <si>
    <t>50*12T (부스바)</t>
    <phoneticPr fontId="7" type="noConversion"/>
  </si>
  <si>
    <t>500XF_규소강판_명신산업적용</t>
    <phoneticPr fontId="7" type="noConversion"/>
  </si>
  <si>
    <t>1500A</t>
    <phoneticPr fontId="7" type="noConversion"/>
  </si>
  <si>
    <t>ABS1003c 1200A</t>
    <phoneticPr fontId="7" type="noConversion"/>
  </si>
  <si>
    <t>1200A</t>
    <phoneticPr fontId="7" type="noConversion"/>
  </si>
  <si>
    <t>600XF_규소강판_명신산업적용</t>
    <phoneticPr fontId="7" type="noConversion"/>
  </si>
  <si>
    <t>저항 사용</t>
    <phoneticPr fontId="7" type="noConversion"/>
  </si>
  <si>
    <t>CROWBAR 회로_MCO500</t>
    <phoneticPr fontId="7" type="noConversion"/>
  </si>
  <si>
    <t>ACB_1250A</t>
    <phoneticPr fontId="7" type="noConversion"/>
  </si>
  <si>
    <t>DH-804_480 (편조선)</t>
    <phoneticPr fontId="7" type="noConversion"/>
  </si>
  <si>
    <t>-</t>
    <phoneticPr fontId="7" type="noConversion"/>
  </si>
  <si>
    <t>DD600N16K</t>
    <phoneticPr fontId="7" type="noConversion"/>
  </si>
  <si>
    <t>규소강판_신규설계</t>
    <phoneticPr fontId="7" type="noConversion"/>
  </si>
  <si>
    <t>1500A</t>
    <phoneticPr fontId="7" type="noConversion"/>
  </si>
  <si>
    <t>저항 사용</t>
    <phoneticPr fontId="7" type="noConversion"/>
  </si>
  <si>
    <t>CROWBAR 회로_MCO500</t>
    <phoneticPr fontId="7" type="noConversion"/>
  </si>
  <si>
    <t>2000A</t>
    <phoneticPr fontId="7" type="noConversion"/>
  </si>
  <si>
    <t>ACB_1600A</t>
    <phoneticPr fontId="7" type="noConversion"/>
  </si>
  <si>
    <t>DH-805_640 (편조선)</t>
    <phoneticPr fontId="7" type="noConversion"/>
  </si>
  <si>
    <t>ACB_2000A</t>
    <phoneticPr fontId="7" type="noConversion"/>
  </si>
  <si>
    <t>DH-1006_800 (편조선)</t>
    <phoneticPr fontId="7" type="noConversion"/>
  </si>
  <si>
    <t>MDD810-16N2</t>
  </si>
  <si>
    <t>N1806QK160</t>
    <phoneticPr fontId="7" type="noConversion"/>
  </si>
  <si>
    <t>2500A</t>
    <phoneticPr fontId="7" type="noConversion"/>
  </si>
  <si>
    <t>ACB_2500A</t>
    <phoneticPr fontId="7" type="noConversion"/>
  </si>
  <si>
    <t>DH-1007_1000 (편조선)</t>
    <phoneticPr fontId="7" type="noConversion"/>
  </si>
  <si>
    <t>CROWBAR 회로_N1806QK160</t>
    <phoneticPr fontId="7" type="noConversion"/>
  </si>
  <si>
    <t>ACB_2500A</t>
    <phoneticPr fontId="7" type="noConversion"/>
  </si>
  <si>
    <t>DH-1007_1000 (편조선)</t>
    <phoneticPr fontId="7" type="noConversion"/>
  </si>
  <si>
    <t>-</t>
    <phoneticPr fontId="7" type="noConversion"/>
  </si>
  <si>
    <t>N1806QK160</t>
    <phoneticPr fontId="7" type="noConversion"/>
  </si>
  <si>
    <t>규소강판_신규설계</t>
    <phoneticPr fontId="7" type="noConversion"/>
  </si>
  <si>
    <t>2500A</t>
    <phoneticPr fontId="7" type="noConversion"/>
  </si>
  <si>
    <t>저항 사용</t>
    <phoneticPr fontId="7" type="noConversion"/>
  </si>
  <si>
    <t>W3270N#160</t>
    <phoneticPr fontId="7" type="noConversion"/>
  </si>
  <si>
    <t>3000A</t>
    <phoneticPr fontId="7" type="noConversion"/>
  </si>
  <si>
    <t>CROWBAR 회로_N1806QK160</t>
    <phoneticPr fontId="7" type="noConversion"/>
  </si>
  <si>
    <t>ACB_3200A</t>
    <phoneticPr fontId="7" type="noConversion"/>
  </si>
  <si>
    <t>DH-1006_800*2 (편조선)</t>
    <phoneticPr fontId="7" type="noConversion"/>
  </si>
  <si>
    <t>W3270N#160</t>
  </si>
  <si>
    <t>N2593MK160</t>
    <phoneticPr fontId="7" type="noConversion"/>
  </si>
  <si>
    <t>4000A</t>
    <phoneticPr fontId="7" type="noConversion"/>
  </si>
  <si>
    <t>CROWBAR 회로_N2593MK160</t>
    <phoneticPr fontId="7" type="noConversion"/>
  </si>
  <si>
    <t>W3270N#160</t>
    <phoneticPr fontId="7" type="noConversion"/>
  </si>
  <si>
    <t>ACB_4000A</t>
    <phoneticPr fontId="7" type="noConversion"/>
  </si>
  <si>
    <t>5000A</t>
    <phoneticPr fontId="7" type="noConversion"/>
  </si>
  <si>
    <t>6000A</t>
    <phoneticPr fontId="7" type="noConversion"/>
  </si>
  <si>
    <t>CROWBAR 회로_N2593MK160</t>
    <phoneticPr fontId="7" type="noConversion"/>
  </si>
  <si>
    <t>ACB_3200A</t>
    <phoneticPr fontId="7" type="noConversion"/>
  </si>
  <si>
    <t>DH-1006_800*2 (편조선)</t>
    <phoneticPr fontId="7" type="noConversion"/>
  </si>
  <si>
    <t>-</t>
    <phoneticPr fontId="7" type="noConversion"/>
  </si>
  <si>
    <t>N2593MK160</t>
    <phoneticPr fontId="7" type="noConversion"/>
  </si>
  <si>
    <t>규소강판_신규설계</t>
    <phoneticPr fontId="7" type="noConversion"/>
  </si>
  <si>
    <t>4000A</t>
    <phoneticPr fontId="7" type="noConversion"/>
  </si>
  <si>
    <t>요청 일시</t>
  </si>
  <si>
    <t>납품 일시</t>
  </si>
  <si>
    <t>공정</t>
    <phoneticPr fontId="8" type="noConversion"/>
  </si>
  <si>
    <t>전력</t>
    <phoneticPr fontId="8" type="noConversion"/>
  </si>
  <si>
    <t>예상 동작 주파수</t>
    <phoneticPr fontId="8" type="noConversion"/>
  </si>
  <si>
    <t>MCCB</t>
    <phoneticPr fontId="8" type="noConversion"/>
  </si>
  <si>
    <t>FUSE</t>
    <phoneticPr fontId="8" type="noConversion"/>
  </si>
  <si>
    <t xml:space="preserve">DIODE </t>
    <phoneticPr fontId="8" type="noConversion"/>
  </si>
  <si>
    <t>DC 인덕터</t>
    <phoneticPr fontId="8" type="noConversion"/>
  </si>
  <si>
    <t>전류센싱 션트저항</t>
    <phoneticPr fontId="8" type="noConversion"/>
  </si>
  <si>
    <t>제어방식</t>
    <phoneticPr fontId="8" type="noConversion"/>
  </si>
  <si>
    <t>M/T(Matching Transformer)</t>
    <phoneticPr fontId="8" type="noConversion"/>
  </si>
  <si>
    <t>전류센싱 C/T</t>
    <phoneticPr fontId="8" type="noConversion"/>
  </si>
  <si>
    <t>공진 CAP</t>
    <phoneticPr fontId="8" type="noConversion"/>
  </si>
  <si>
    <t>공진 CAP 구조</t>
    <phoneticPr fontId="8" type="noConversion"/>
  </si>
  <si>
    <t xml:space="preserve">코일 </t>
    <phoneticPr fontId="8" type="noConversion"/>
  </si>
  <si>
    <t>코일 연결 구조</t>
    <phoneticPr fontId="8" type="noConversion"/>
  </si>
  <si>
    <t>예상 Q값</t>
    <phoneticPr fontId="8" type="noConversion"/>
  </si>
  <si>
    <t>입력 선전류( 마진포함)</t>
    <phoneticPr fontId="8" type="noConversion"/>
  </si>
  <si>
    <t>입력 DC전류</t>
    <phoneticPr fontId="8" type="noConversion"/>
  </si>
  <si>
    <t>인버터 출력전류(M/T 1차)</t>
    <phoneticPr fontId="8" type="noConversion"/>
  </si>
  <si>
    <t>공진전류(공진CAP,출력케이블)</t>
    <phoneticPr fontId="8" type="noConversion"/>
  </si>
  <si>
    <t>코일전류</t>
    <phoneticPr fontId="8" type="noConversion"/>
  </si>
  <si>
    <t>비고</t>
    <phoneticPr fontId="8" type="noConversion"/>
  </si>
  <si>
    <t>고객사</t>
    <phoneticPr fontId="8" type="noConversion"/>
  </si>
  <si>
    <t>MAIN C/T</t>
    <phoneticPr fontId="2" type="noConversion"/>
  </si>
  <si>
    <t>주파수[kHz]</t>
    <phoneticPr fontId="2" type="noConversion"/>
  </si>
  <si>
    <t>규소강판[Tesla]</t>
    <phoneticPr fontId="2" type="noConversion"/>
  </si>
  <si>
    <t>아몰퍼스[Tesla]</t>
    <phoneticPr fontId="2" type="noConversion"/>
  </si>
  <si>
    <t>페라이트[Tesla]</t>
    <phoneticPr fontId="2" type="noConversion"/>
  </si>
  <si>
    <t>dT 75~80℃기준</t>
    <phoneticPr fontId="2" type="noConversion"/>
  </si>
  <si>
    <t>dT 60℃기준</t>
    <phoneticPr fontId="2" type="noConversion"/>
  </si>
  <si>
    <t>dT 80℃기준</t>
    <phoneticPr fontId="2" type="noConversion"/>
  </si>
  <si>
    <t>HALF(2)/FULL(1)</t>
    <phoneticPr fontId="2" type="noConversion"/>
  </si>
  <si>
    <t>&lt;코아/주파수별 자속밀도 실험 데이터&gt;</t>
    <phoneticPr fontId="2" type="noConversion"/>
  </si>
  <si>
    <t>규소강판(0.2t, Si 3%)</t>
    <phoneticPr fontId="2" type="noConversion"/>
  </si>
  <si>
    <t>아몰퍼스(50x175xSF)</t>
    <phoneticPr fontId="2" type="noConversion"/>
  </si>
  <si>
    <t>코아 종류</t>
    <phoneticPr fontId="2" type="noConversion"/>
  </si>
  <si>
    <t>cm^2</t>
    <phoneticPr fontId="2" type="noConversion"/>
  </si>
  <si>
    <t>UU100</t>
    <phoneticPr fontId="2" type="noConversion"/>
  </si>
  <si>
    <t>UU120</t>
    <phoneticPr fontId="2" type="noConversion"/>
  </si>
  <si>
    <t>UU120C</t>
    <phoneticPr fontId="2" type="noConversion"/>
  </si>
  <si>
    <t>I118+I140 조합</t>
    <phoneticPr fontId="2" type="noConversion"/>
  </si>
  <si>
    <t>중족단면적(Ae)</t>
    <phoneticPr fontId="2" type="noConversion"/>
  </si>
  <si>
    <t>3상 : 0.93, 6상: 0.96 (설계시에는 마진 고려 0.9로 함)</t>
    <phoneticPr fontId="2" type="noConversion"/>
  </si>
  <si>
    <t>&lt;코아 중족 단면적 ( 1조 기준, 주사용품)&gt;</t>
    <phoneticPr fontId="2" type="noConversion"/>
  </si>
  <si>
    <t>uH</t>
  </si>
  <si>
    <t xml:space="preserve">단위길이당 L값 (2EA) </t>
    <phoneticPr fontId="2" type="noConversion"/>
  </si>
  <si>
    <t>수냉케이블 길이 (2EA)</t>
    <phoneticPr fontId="2" type="noConversion"/>
  </si>
  <si>
    <t>수냉케이블 L값 (2EA)</t>
    <phoneticPr fontId="2" type="noConversion"/>
  </si>
  <si>
    <t xml:space="preserve">단위길이당 L값 (4EA) </t>
    <phoneticPr fontId="2" type="noConversion"/>
  </si>
  <si>
    <t>수냉케이블 길이 (4EA)</t>
    <phoneticPr fontId="2" type="noConversion"/>
  </si>
  <si>
    <t>수냉케이블 L값 (4EA)</t>
    <phoneticPr fontId="2" type="noConversion"/>
  </si>
  <si>
    <t>&lt;수냉케이블 L값 계산 공식: 10kHz 기준, 트위스트 하지 않음&gt;</t>
    <phoneticPr fontId="2" type="noConversion"/>
  </si>
  <si>
    <t>&lt;동 부스바(DC) 발열량 계산 공식&gt;</t>
    <phoneticPr fontId="2" type="noConversion"/>
  </si>
  <si>
    <t>&lt;동 부스바(AC) 발열량 계산 공식&gt;</t>
    <phoneticPr fontId="2" type="noConversion"/>
  </si>
  <si>
    <t>&lt;동 파이프(AC) 발열량 계산 공식&gt;</t>
    <phoneticPr fontId="2" type="noConversion"/>
  </si>
  <si>
    <t>&lt;사각 파이프(AC) 발열량 계산 공식&gt;</t>
    <phoneticPr fontId="2" type="noConversion"/>
  </si>
  <si>
    <t>mmSQ당 전류</t>
    <phoneticPr fontId="2" type="noConversion"/>
  </si>
  <si>
    <t>CROWBAR 회로_N1806QK160,N1114</t>
    <phoneticPr fontId="7" type="noConversion"/>
  </si>
  <si>
    <t>&lt;FUSE 용량 계산 공식&gt;</t>
    <phoneticPr fontId="2" type="noConversion"/>
  </si>
  <si>
    <t>입력선전압</t>
    <phoneticPr fontId="2" type="noConversion"/>
  </si>
  <si>
    <t>V 이상</t>
    <phoneticPr fontId="2" type="noConversion"/>
  </si>
  <si>
    <t>A 이상</t>
    <phoneticPr fontId="2" type="noConversion"/>
  </si>
  <si>
    <t>FUSE 정격전압</t>
    <phoneticPr fontId="2" type="noConversion"/>
  </si>
  <si>
    <t>FUSE 정격전류</t>
    <phoneticPr fontId="2" type="noConversion"/>
  </si>
  <si>
    <t>Vin(입력선전압)</t>
    <phoneticPr fontId="2" type="noConversion"/>
  </si>
  <si>
    <t>&lt;컷오프주파수 계산 공식&gt;</t>
    <phoneticPr fontId="2" type="noConversion"/>
  </si>
  <si>
    <t>&lt;직렬공진주파수 계산 공식&gt;</t>
    <phoneticPr fontId="2" type="noConversion"/>
  </si>
  <si>
    <t>kVar</t>
    <phoneticPr fontId="2" type="noConversion"/>
  </si>
  <si>
    <t>ok</t>
    <phoneticPr fontId="2" type="noConversion"/>
  </si>
  <si>
    <t>컨트롤 보드</t>
    <phoneticPr fontId="2" type="noConversion"/>
  </si>
  <si>
    <t>게이트 드라이버</t>
    <phoneticPr fontId="2" type="noConversion"/>
  </si>
  <si>
    <t>FM+LBPWM</t>
    <phoneticPr fontId="8" type="noConversion"/>
  </si>
  <si>
    <t>RESISTOR</t>
    <phoneticPr fontId="3" type="noConversion"/>
  </si>
  <si>
    <t>Ω</t>
    <phoneticPr fontId="3" type="noConversion"/>
  </si>
  <si>
    <t>:1</t>
    <phoneticPr fontId="3" type="noConversion"/>
  </si>
  <si>
    <t>IR RMS</t>
    <phoneticPr fontId="3" type="noConversion"/>
  </si>
  <si>
    <t>동작 주파수</t>
    <phoneticPr fontId="3" type="noConversion"/>
  </si>
  <si>
    <t>START FREQUENCY</t>
    <phoneticPr fontId="3" type="noConversion"/>
  </si>
  <si>
    <t>CONTROL MODE</t>
    <phoneticPr fontId="3" type="noConversion"/>
  </si>
  <si>
    <t>공진회로</t>
    <phoneticPr fontId="3" type="noConversion"/>
  </si>
  <si>
    <t>특이 사항</t>
    <phoneticPr fontId="3" type="noConversion"/>
  </si>
  <si>
    <t>DC BLOCKING CAP</t>
    <phoneticPr fontId="3" type="noConversion"/>
  </si>
  <si>
    <t>CI3H0001</t>
    <phoneticPr fontId="2" type="noConversion"/>
  </si>
  <si>
    <t>&lt;트랜스포머 최소 턴수 계산 공식: 메인 C/T&gt;</t>
    <phoneticPr fontId="2" type="noConversion"/>
  </si>
  <si>
    <t>[MDD172-16N1] DIP, 300A-1600V, -40 ~ 125</t>
  </si>
  <si>
    <t>출력케이블</t>
    <phoneticPr fontId="2" type="noConversion"/>
  </si>
  <si>
    <t>50mSQ 리쯔와이어 적용한 수냉케이블, 총4EA(한쪽 출력당 2EA씩)</t>
    <phoneticPr fontId="2" type="noConversion"/>
  </si>
  <si>
    <t>인버터 모듈 아세이 및 스위칭 소자(IGBT)</t>
    <phoneticPr fontId="3" type="noConversion"/>
  </si>
  <si>
    <t>스너버 CAP 2.2nF(222)을 2병렬씩 하여 IGBT 출력과 IGBT +, - 단자 부분에 장착함.</t>
    <phoneticPr fontId="2" type="noConversion"/>
  </si>
  <si>
    <t>DC LINK CAPACITOR</t>
    <phoneticPr fontId="3" type="noConversion"/>
  </si>
  <si>
    <t>GATE_DRIVER_50W_V3.2</t>
    <phoneticPr fontId="2" type="noConversion"/>
  </si>
  <si>
    <t>1. 판 적층형
2. 코아 : I118+I140 조합( 판병렬수:5장, 중족 단면적 78.54cm2) 
3. 턴비 : 8 : 1/1…1/1
1차 최대전류 :1200A, 2차 최대전류 : 9600A</t>
    <phoneticPr fontId="2" type="noConversion"/>
  </si>
  <si>
    <t>내경: 35mm, 한턴_고객사 제작</t>
    <phoneticPr fontId="2" type="noConversion"/>
  </si>
  <si>
    <t>2직렬</t>
    <phoneticPr fontId="2" type="noConversion"/>
  </si>
  <si>
    <t>4~6(3~8까지 설계)</t>
    <phoneticPr fontId="2" type="noConversion"/>
  </si>
  <si>
    <t>125kW</t>
    <phoneticPr fontId="2" type="noConversion"/>
  </si>
  <si>
    <t>15kHz</t>
    <phoneticPr fontId="2" type="noConversion"/>
  </si>
  <si>
    <t>ABS 203C 225A</t>
    <phoneticPr fontId="2" type="noConversion"/>
  </si>
  <si>
    <t>[IMF1HT12] 인버터모듈관련 기구물, Full bridge 1홀,62mm packge(300A, 450A IGBT용 :내부 2직렬구조),  Triple type, 1200V급 IGBT 적용 
IGBT : FF450R12KT4 3병렬 6EA 적용</t>
    <phoneticPr fontId="3" type="noConversion"/>
  </si>
  <si>
    <t>샤프트 열처리</t>
    <phoneticPr fontId="2" type="noConversion"/>
  </si>
  <si>
    <t>디엠시스</t>
    <phoneticPr fontId="2" type="noConversion"/>
  </si>
  <si>
    <t>인러쉬 충전 및 과전압보호</t>
    <phoneticPr fontId="8" type="noConversion"/>
  </si>
  <si>
    <t>저항 및 크로우바</t>
    <phoneticPr fontId="2" type="noConversion"/>
  </si>
  <si>
    <t>PSIH-200XF-LI-V1</t>
    <phoneticPr fontId="2" type="noConversion"/>
  </si>
  <si>
    <t>IH_CONTROL_V66_10 아날로그 타입</t>
    <phoneticPr fontId="2" type="noConversion"/>
  </si>
  <si>
    <t>[DHF-S500P2100A] 500V 21uF, DHF-S500P, W*T*H=100*100*47</t>
    <phoneticPr fontId="3" type="noConversion"/>
  </si>
  <si>
    <t>202A</t>
    <phoneticPr fontId="2" type="noConversion"/>
  </si>
  <si>
    <t>216A</t>
    <phoneticPr fontId="2" type="noConversion"/>
  </si>
  <si>
    <t>최대 400A</t>
    <phoneticPr fontId="2" type="noConversion"/>
  </si>
  <si>
    <t>최대 1200A</t>
    <phoneticPr fontId="2" type="noConversion"/>
  </si>
  <si>
    <t>최대 9600A</t>
    <phoneticPr fontId="2" type="noConversion"/>
  </si>
  <si>
    <t>2021.03.26</t>
    <phoneticPr fontId="2" type="noConversion"/>
  </si>
  <si>
    <t>2021.04.20</t>
    <phoneticPr fontId="2" type="noConversion"/>
  </si>
  <si>
    <t>2021.04.30</t>
    <phoneticPr fontId="3" type="noConversion"/>
  </si>
  <si>
    <t>IH PROGRAM SETTING VALUE_Analogue</t>
    <phoneticPr fontId="3" type="noConversion"/>
  </si>
  <si>
    <t xml:space="preserve">PROJECT </t>
    <phoneticPr fontId="3" type="noConversion"/>
  </si>
  <si>
    <t>작성일시</t>
    <phoneticPr fontId="3" type="noConversion"/>
  </si>
  <si>
    <t>시운전일시</t>
    <phoneticPr fontId="3" type="noConversion"/>
  </si>
  <si>
    <t>POWER</t>
    <phoneticPr fontId="3" type="noConversion"/>
  </si>
  <si>
    <t>MAXIMUM</t>
    <phoneticPr fontId="3" type="noConversion"/>
  </si>
  <si>
    <t>kW</t>
    <phoneticPr fontId="3" type="noConversion"/>
  </si>
  <si>
    <t>MINIMUM</t>
    <phoneticPr fontId="3" type="noConversion"/>
  </si>
  <si>
    <t>INPUT VOLTAGE</t>
    <phoneticPr fontId="3" type="noConversion"/>
  </si>
  <si>
    <t>VAC</t>
    <phoneticPr fontId="3" type="noConversion"/>
  </si>
  <si>
    <t>인러쉬 레벨</t>
    <phoneticPr fontId="3" type="noConversion"/>
  </si>
  <si>
    <t>VDC</t>
    <phoneticPr fontId="3" type="noConversion"/>
  </si>
  <si>
    <t>UVP</t>
    <phoneticPr fontId="3" type="noConversion"/>
  </si>
  <si>
    <t>V</t>
    <phoneticPr fontId="3" type="noConversion"/>
  </si>
  <si>
    <t>DC전류 센싱</t>
    <phoneticPr fontId="3" type="noConversion"/>
  </si>
  <si>
    <t>SHUNT</t>
    <phoneticPr fontId="3" type="noConversion"/>
  </si>
  <si>
    <t>A/50mV</t>
    <phoneticPr fontId="3" type="noConversion"/>
  </si>
  <si>
    <t>Io OCP</t>
    <phoneticPr fontId="3" type="noConversion"/>
  </si>
  <si>
    <t>A</t>
    <phoneticPr fontId="3" type="noConversion"/>
  </si>
  <si>
    <t>공진 전류 센싱
(한 모듈 기준)</t>
    <phoneticPr fontId="3" type="noConversion"/>
  </si>
  <si>
    <t>PARALLEL</t>
    <phoneticPr fontId="3" type="noConversion"/>
  </si>
  <si>
    <t>개수</t>
    <phoneticPr fontId="3" type="noConversion"/>
  </si>
  <si>
    <t>CT</t>
    <phoneticPr fontId="3" type="noConversion"/>
  </si>
  <si>
    <t>실제 CURRENT(최대)</t>
    <phoneticPr fontId="3" type="noConversion"/>
  </si>
  <si>
    <t>A</t>
    <phoneticPr fontId="3" type="noConversion"/>
  </si>
  <si>
    <t>A</t>
    <phoneticPr fontId="3" type="noConversion"/>
  </si>
  <si>
    <t>IR AVG(LCD)</t>
    <phoneticPr fontId="3" type="noConversion"/>
  </si>
  <si>
    <t>IR OCP</t>
    <phoneticPr fontId="3" type="noConversion"/>
  </si>
  <si>
    <t>Hz</t>
    <phoneticPr fontId="3" type="noConversion"/>
  </si>
  <si>
    <t>Hz</t>
    <phoneticPr fontId="3" type="noConversion"/>
  </si>
  <si>
    <t>스위칭 소자</t>
    <phoneticPr fontId="3" type="noConversion"/>
  </si>
  <si>
    <t>스위칭 소자 용량</t>
    <phoneticPr fontId="3" type="noConversion"/>
  </si>
  <si>
    <t>모듈 형태</t>
    <phoneticPr fontId="3" type="noConversion"/>
  </si>
  <si>
    <t>MODULE NUMBER</t>
    <phoneticPr fontId="3" type="noConversion"/>
  </si>
  <si>
    <t>개수</t>
    <phoneticPr fontId="3" type="noConversion"/>
  </si>
  <si>
    <t>PSPWM</t>
    <phoneticPr fontId="3" type="noConversion"/>
  </si>
  <si>
    <t>직렬 공진회로</t>
    <phoneticPr fontId="3" type="noConversion"/>
  </si>
  <si>
    <t>디엠시스_샤프트 열처리</t>
    <phoneticPr fontId="3" type="noConversion"/>
  </si>
  <si>
    <t>4직렬, 3병렬
:총 15.75uF, 2000V, 3000A</t>
    <phoneticPr fontId="2" type="noConversion"/>
  </si>
  <si>
    <t>20uF * 25EA이상(부스바 타입)</t>
    <phoneticPr fontId="2" type="noConversion"/>
  </si>
  <si>
    <t>[DD500954] DC LINK CAP Module, 장착위치: IGBT(62mm package) DIRECT 연결, CAP 용량: 50uF 900V, 가로(행)수: 5, 세로(열)수: 4</t>
    <phoneticPr fontId="3" type="noConversion"/>
  </si>
  <si>
    <t>LTT00039</t>
    <phoneticPr fontId="2" type="noConversion"/>
  </si>
  <si>
    <t>[CT-T96F-T300_1] 전류검출용 CT 300:1, 페라이트T코아 96mm, 0.3mmX7 USTC (고주파용)</t>
    <phoneticPr fontId="2" type="noConversion"/>
  </si>
  <si>
    <t>[SK-S-02] 300A, 50mV, ±1%</t>
    <phoneticPr fontId="2" type="noConversion"/>
  </si>
  <si>
    <t>[660GH-315SUL] 660V 315A</t>
    <phoneticPr fontId="2" type="noConversion"/>
  </si>
  <si>
    <t>1. 동파이프 + 판 적층형
2. 1차 권선 : 동파이프(6.5파이 1t 코팅된것) 6턴, 2직렬 4병렬 (총 8층)
3. 2차 권선 : 판형 (외곽 물라인, 2t) 1턴, 4직렬 (총 8층)
4. 코아 : UU120C 4조 (중족 단면적 48cm2)
5. 기본 턴비 : 12(6+6, 6+6, 6+6, 6+6) : 4(1+1+1+1, 1+1+1+1) --&gt; 3 : 1
--&gt; 1차 최대 전류 : 180A, 2차 전류 : 1170A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</si>
</sst>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1" formatCode="_-* #,##0_-;\-* #,##0_-;_-* &quot;-&quot;_-;_-@_-"/>
    <numFmt numFmtId="176" formatCode="0.0000_ "/>
    <numFmt numFmtId="177" formatCode="0.000_ "/>
    <numFmt numFmtId="178" formatCode="0.0_ "/>
    <numFmt numFmtId="179" formatCode="0_ "/>
    <numFmt numFmtId="180" formatCode="0_);[Red]\(0\)"/>
    <numFmt numFmtId="181" formatCode="0.0_);[Red]\(0.0\)"/>
    <numFmt numFmtId="182" formatCode="0.000_);[Red]\(0.000\)"/>
    <numFmt numFmtId="183" formatCode="General&quot;:1&quot;"/>
    <numFmt numFmtId="184" formatCode="General&quot;D&quot;"/>
    <numFmt numFmtId="185" formatCode="0.0&quot;[%]&quot;"/>
    <numFmt numFmtId="186" formatCode="0.0&quot;[A]&quot;"/>
    <numFmt numFmtId="187" formatCode="0.0"/>
    <numFmt numFmtId="188" formatCode="#,##0_);[Red]\(#,##0\)"/>
    <numFmt numFmtId="189" formatCode="_-* #,##0.0_-;\-* #,##0.0_-;_-* &quot;-&quot;_-;_-@_-"/>
  </numFmts>
  <fonts count="25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4506668294322"/>
        <bgColor indexed="64"/>
      </patternFill>
    </fill>
  </fills>
  <borders count="68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1" fillId="0" borderId="0">
      <alignment vertical="center"/>
    </xf>
  </cellStyleXfs>
  <cellXfs count="300">
    <xf numFmtId="0" fontId="0" fillId="0" borderId="0" xfId="0"/>
    <xf numFmtId="0" fontId="1" fillId="0" borderId="0" xfId="2">
      <alignment vertical="center"/>
    </xf>
    <xf numFmtId="0" fontId="0" fillId="0" borderId="0" xfId="2" applyFont="1">
      <alignment vertical="center"/>
    </xf>
    <xf numFmtId="0" fontId="0" fillId="0" borderId="0" xfId="0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7" borderId="9" xfId="0" applyNumberFormat="1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83" fontId="0" fillId="7" borderId="10" xfId="0" applyNumberFormat="1" applyFill="1" applyBorder="1" applyAlignment="1">
      <alignment horizontal="center" vertical="center"/>
    </xf>
    <xf numFmtId="184" fontId="0" fillId="7" borderId="11" xfId="0" applyNumberFormat="1" applyFill="1" applyBorder="1" applyAlignment="1">
      <alignment horizontal="center" vertical="center"/>
    </xf>
    <xf numFmtId="177" fontId="0" fillId="2" borderId="10" xfId="0" applyNumberFormat="1" applyFill="1" applyBorder="1" applyAlignment="1">
      <alignment horizontal="center" vertical="center"/>
    </xf>
    <xf numFmtId="185" fontId="0" fillId="2" borderId="11" xfId="0" applyNumberFormat="1" applyFill="1" applyBorder="1" applyAlignment="1">
      <alignment horizontal="center" vertical="center"/>
    </xf>
    <xf numFmtId="0" fontId="0" fillId="7" borderId="12" xfId="0" applyNumberFormat="1" applyFill="1" applyBorder="1" applyAlignment="1">
      <alignment horizontal="center" vertical="center"/>
    </xf>
    <xf numFmtId="186" fontId="0" fillId="4" borderId="10" xfId="0" applyNumberFormat="1" applyFill="1" applyBorder="1" applyAlignment="1">
      <alignment horizontal="center" vertical="center"/>
    </xf>
    <xf numFmtId="185" fontId="0" fillId="4" borderId="13" xfId="0" applyNumberFormat="1" applyFill="1" applyBorder="1" applyAlignment="1">
      <alignment horizontal="center" vertical="center"/>
    </xf>
    <xf numFmtId="183" fontId="0" fillId="7" borderId="12" xfId="0" applyNumberFormat="1" applyFill="1" applyBorder="1" applyAlignment="1">
      <alignment horizontal="center" vertical="center"/>
    </xf>
    <xf numFmtId="186" fontId="0" fillId="5" borderId="10" xfId="0" applyNumberFormat="1" applyFill="1" applyBorder="1" applyAlignment="1">
      <alignment horizontal="center" vertical="center"/>
    </xf>
    <xf numFmtId="185" fontId="0" fillId="5" borderId="11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186" fontId="0" fillId="6" borderId="10" xfId="0" applyNumberFormat="1" applyFill="1" applyBorder="1" applyAlignment="1">
      <alignment horizontal="center" vertical="center"/>
    </xf>
    <xf numFmtId="185" fontId="0" fillId="6" borderId="14" xfId="0" applyNumberFormat="1" applyFill="1" applyBorder="1" applyAlignment="1">
      <alignment horizontal="center" vertical="center"/>
    </xf>
    <xf numFmtId="0" fontId="0" fillId="7" borderId="15" xfId="0" applyNumberFormat="1" applyFill="1" applyBorder="1" applyAlignment="1">
      <alignment horizontal="center" vertical="center"/>
    </xf>
    <xf numFmtId="0" fontId="0" fillId="7" borderId="16" xfId="0" applyNumberFormat="1" applyFill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183" fontId="0" fillId="7" borderId="16" xfId="0" applyNumberFormat="1" applyFill="1" applyBorder="1" applyAlignment="1">
      <alignment horizontal="center" vertical="center"/>
    </xf>
    <xf numFmtId="184" fontId="0" fillId="7" borderId="17" xfId="0" applyNumberFormat="1" applyFill="1" applyBorder="1" applyAlignment="1">
      <alignment horizontal="center" vertical="center"/>
    </xf>
    <xf numFmtId="177" fontId="0" fillId="2" borderId="16" xfId="0" applyNumberFormat="1" applyFill="1" applyBorder="1" applyAlignment="1">
      <alignment horizontal="center" vertical="center"/>
    </xf>
    <xf numFmtId="185" fontId="0" fillId="2" borderId="17" xfId="0" applyNumberFormat="1" applyFill="1" applyBorder="1" applyAlignment="1">
      <alignment horizontal="center" vertical="center"/>
    </xf>
    <xf numFmtId="0" fontId="0" fillId="7" borderId="18" xfId="0" applyNumberFormat="1" applyFill="1" applyBorder="1" applyAlignment="1">
      <alignment horizontal="center" vertical="center"/>
    </xf>
    <xf numFmtId="186" fontId="0" fillId="4" borderId="16" xfId="0" applyNumberFormat="1" applyFill="1" applyBorder="1" applyAlignment="1">
      <alignment horizontal="center" vertical="center"/>
    </xf>
    <xf numFmtId="185" fontId="0" fillId="4" borderId="19" xfId="0" applyNumberFormat="1" applyFill="1" applyBorder="1" applyAlignment="1">
      <alignment horizontal="center" vertical="center"/>
    </xf>
    <xf numFmtId="183" fontId="0" fillId="7" borderId="18" xfId="0" applyNumberFormat="1" applyFill="1" applyBorder="1" applyAlignment="1">
      <alignment horizontal="center" vertical="center"/>
    </xf>
    <xf numFmtId="186" fontId="0" fillId="5" borderId="16" xfId="0" applyNumberFormat="1" applyFill="1" applyBorder="1" applyAlignment="1">
      <alignment horizontal="center" vertical="center"/>
    </xf>
    <xf numFmtId="185" fontId="0" fillId="5" borderId="17" xfId="0" applyNumberForma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186" fontId="0" fillId="6" borderId="16" xfId="0" applyNumberFormat="1" applyFill="1" applyBorder="1" applyAlignment="1">
      <alignment horizontal="center" vertical="center"/>
    </xf>
    <xf numFmtId="185" fontId="0" fillId="6" borderId="20" xfId="0" applyNumberFormat="1" applyFill="1" applyBorder="1" applyAlignment="1">
      <alignment horizontal="center" vertical="center"/>
    </xf>
    <xf numFmtId="14" fontId="0" fillId="0" borderId="8" xfId="0" applyNumberFormat="1" applyBorder="1" applyAlignment="1">
      <alignment vertical="center"/>
    </xf>
    <xf numFmtId="14" fontId="0" fillId="0" borderId="21" xfId="0" applyNumberFormat="1" applyBorder="1" applyAlignment="1">
      <alignment vertical="center"/>
    </xf>
    <xf numFmtId="0" fontId="0" fillId="7" borderId="22" xfId="0" applyNumberFormat="1" applyFill="1" applyBorder="1" applyAlignment="1">
      <alignment horizontal="center" vertical="center"/>
    </xf>
    <xf numFmtId="0" fontId="0" fillId="7" borderId="23" xfId="0" applyNumberFormat="1" applyFill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183" fontId="0" fillId="7" borderId="23" xfId="0" applyNumberFormat="1" applyFill="1" applyBorder="1" applyAlignment="1">
      <alignment horizontal="center" vertical="center"/>
    </xf>
    <xf numFmtId="184" fontId="0" fillId="7" borderId="24" xfId="0" applyNumberFormat="1" applyFill="1" applyBorder="1" applyAlignment="1">
      <alignment horizontal="center" vertical="center"/>
    </xf>
    <xf numFmtId="177" fontId="0" fillId="2" borderId="23" xfId="0" applyNumberFormat="1" applyFill="1" applyBorder="1" applyAlignment="1">
      <alignment horizontal="center" vertical="center"/>
    </xf>
    <xf numFmtId="185" fontId="0" fillId="2" borderId="24" xfId="0" applyNumberFormat="1" applyFill="1" applyBorder="1" applyAlignment="1">
      <alignment horizontal="center" vertical="center"/>
    </xf>
    <xf numFmtId="0" fontId="0" fillId="7" borderId="25" xfId="0" applyNumberFormat="1" applyFill="1" applyBorder="1" applyAlignment="1">
      <alignment horizontal="center" vertical="center"/>
    </xf>
    <xf numFmtId="186" fontId="0" fillId="4" borderId="23" xfId="0" applyNumberFormat="1" applyFill="1" applyBorder="1" applyAlignment="1">
      <alignment horizontal="center" vertical="center"/>
    </xf>
    <xf numFmtId="185" fontId="0" fillId="4" borderId="26" xfId="0" applyNumberFormat="1" applyFill="1" applyBorder="1" applyAlignment="1">
      <alignment horizontal="center" vertical="center"/>
    </xf>
    <xf numFmtId="183" fontId="0" fillId="7" borderId="25" xfId="0" applyNumberFormat="1" applyFill="1" applyBorder="1" applyAlignment="1">
      <alignment horizontal="center" vertical="center"/>
    </xf>
    <xf numFmtId="186" fontId="0" fillId="5" borderId="23" xfId="0" applyNumberFormat="1" applyFill="1" applyBorder="1" applyAlignment="1">
      <alignment horizontal="center" vertical="center"/>
    </xf>
    <xf numFmtId="185" fontId="0" fillId="5" borderId="24" xfId="0" applyNumberFormat="1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186" fontId="0" fillId="6" borderId="23" xfId="0" applyNumberFormat="1" applyFill="1" applyBorder="1" applyAlignment="1">
      <alignment horizontal="center" vertical="center"/>
    </xf>
    <xf numFmtId="185" fontId="0" fillId="6" borderId="27" xfId="0" applyNumberFormat="1" applyFill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177" fontId="9" fillId="0" borderId="28" xfId="0" applyNumberFormat="1" applyFont="1" applyBorder="1" applyAlignment="1">
      <alignment vertical="center"/>
    </xf>
    <xf numFmtId="0" fontId="11" fillId="8" borderId="28" xfId="0" applyFont="1" applyFill="1" applyBorder="1" applyAlignment="1">
      <alignment vertical="center"/>
    </xf>
    <xf numFmtId="0" fontId="11" fillId="10" borderId="28" xfId="0" applyFont="1" applyFill="1" applyBorder="1" applyAlignment="1">
      <alignment vertical="center"/>
    </xf>
    <xf numFmtId="0" fontId="11" fillId="11" borderId="28" xfId="0" applyFont="1" applyFill="1" applyBorder="1" applyAlignment="1">
      <alignment vertical="center"/>
    </xf>
    <xf numFmtId="178" fontId="11" fillId="10" borderId="28" xfId="0" applyNumberFormat="1" applyFont="1" applyFill="1" applyBorder="1" applyAlignment="1">
      <alignment vertical="center"/>
    </xf>
    <xf numFmtId="0" fontId="11" fillId="0" borderId="28" xfId="0" applyFont="1" applyFill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10" fillId="0" borderId="28" xfId="0" applyNumberFormat="1" applyFont="1" applyBorder="1" applyAlignment="1">
      <alignment vertical="center"/>
    </xf>
    <xf numFmtId="0" fontId="9" fillId="0" borderId="28" xfId="0" applyNumberFormat="1" applyFont="1" applyBorder="1" applyAlignment="1">
      <alignment vertical="center"/>
    </xf>
    <xf numFmtId="0" fontId="10" fillId="8" borderId="28" xfId="0" applyNumberFormat="1" applyFont="1" applyFill="1" applyBorder="1" applyAlignment="1">
      <alignment vertical="center"/>
    </xf>
    <xf numFmtId="1" fontId="10" fillId="0" borderId="28" xfId="0" applyNumberFormat="1" applyFont="1" applyBorder="1" applyAlignment="1">
      <alignment vertical="center"/>
    </xf>
    <xf numFmtId="0" fontId="9" fillId="9" borderId="28" xfId="0" applyNumberFormat="1" applyFont="1" applyFill="1" applyBorder="1" applyAlignment="1">
      <alignment vertical="center"/>
    </xf>
    <xf numFmtId="0" fontId="11" fillId="9" borderId="28" xfId="0" applyNumberFormat="1" applyFont="1" applyFill="1" applyBorder="1" applyAlignment="1">
      <alignment vertical="center"/>
    </xf>
    <xf numFmtId="0" fontId="11" fillId="0" borderId="28" xfId="2" applyFont="1" applyBorder="1" applyAlignment="1">
      <alignment vertical="center"/>
    </xf>
    <xf numFmtId="0" fontId="11" fillId="9" borderId="28" xfId="2" applyFont="1" applyFill="1" applyBorder="1" applyAlignment="1">
      <alignment vertical="center"/>
    </xf>
    <xf numFmtId="0" fontId="11" fillId="10" borderId="28" xfId="2" applyFont="1" applyFill="1" applyBorder="1" applyAlignment="1">
      <alignment vertical="center"/>
    </xf>
    <xf numFmtId="178" fontId="12" fillId="10" borderId="28" xfId="0" applyNumberFormat="1" applyFont="1" applyFill="1" applyBorder="1" applyAlignment="1">
      <alignment vertical="center"/>
    </xf>
    <xf numFmtId="178" fontId="9" fillId="9" borderId="28" xfId="0" applyNumberFormat="1" applyFont="1" applyFill="1" applyBorder="1" applyAlignment="1">
      <alignment vertical="center"/>
    </xf>
    <xf numFmtId="178" fontId="9" fillId="10" borderId="28" xfId="0" applyNumberFormat="1" applyFont="1" applyFill="1" applyBorder="1" applyAlignment="1">
      <alignment vertical="center"/>
    </xf>
    <xf numFmtId="178" fontId="12" fillId="12" borderId="28" xfId="0" applyNumberFormat="1" applyFont="1" applyFill="1" applyBorder="1" applyAlignment="1">
      <alignment vertical="center"/>
    </xf>
    <xf numFmtId="0" fontId="12" fillId="10" borderId="28" xfId="2" quotePrefix="1" applyFont="1" applyFill="1" applyBorder="1" applyAlignment="1">
      <alignment vertical="center"/>
    </xf>
    <xf numFmtId="0" fontId="12" fillId="10" borderId="28" xfId="2" applyFont="1" applyFill="1" applyBorder="1" applyAlignment="1">
      <alignment vertical="center"/>
    </xf>
    <xf numFmtId="182" fontId="12" fillId="10" borderId="28" xfId="0" applyNumberFormat="1" applyFont="1" applyFill="1" applyBorder="1" applyAlignment="1">
      <alignment vertical="center"/>
    </xf>
    <xf numFmtId="178" fontId="10" fillId="10" borderId="28" xfId="0" applyNumberFormat="1" applyFont="1" applyFill="1" applyBorder="1" applyAlignment="1">
      <alignment vertical="center"/>
    </xf>
    <xf numFmtId="0" fontId="11" fillId="0" borderId="28" xfId="0" applyFont="1" applyBorder="1"/>
    <xf numFmtId="0" fontId="11" fillId="9" borderId="28" xfId="0" applyFont="1" applyFill="1" applyBorder="1"/>
    <xf numFmtId="0" fontId="11" fillId="9" borderId="28" xfId="0" applyFont="1" applyFill="1" applyBorder="1" applyAlignment="1">
      <alignment horizontal="right"/>
    </xf>
    <xf numFmtId="0" fontId="12" fillId="0" borderId="28" xfId="0" applyFont="1" applyBorder="1"/>
    <xf numFmtId="178" fontId="12" fillId="10" borderId="28" xfId="0" applyNumberFormat="1" applyFont="1" applyFill="1" applyBorder="1"/>
    <xf numFmtId="0" fontId="11" fillId="0" borderId="28" xfId="0" applyFont="1" applyFill="1" applyBorder="1"/>
    <xf numFmtId="0" fontId="12" fillId="10" borderId="28" xfId="0" applyFont="1" applyFill="1" applyBorder="1"/>
    <xf numFmtId="0" fontId="10" fillId="0" borderId="28" xfId="0" applyFont="1" applyFill="1" applyBorder="1" applyAlignment="1">
      <alignment vertical="center"/>
    </xf>
    <xf numFmtId="178" fontId="11" fillId="9" borderId="28" xfId="0" applyNumberFormat="1" applyFont="1" applyFill="1" applyBorder="1" applyAlignment="1">
      <alignment horizontal="right"/>
    </xf>
    <xf numFmtId="178" fontId="11" fillId="13" borderId="28" xfId="0" applyNumberFormat="1" applyFont="1" applyFill="1" applyBorder="1" applyAlignment="1">
      <alignment horizontal="right"/>
    </xf>
    <xf numFmtId="178" fontId="11" fillId="13" borderId="28" xfId="0" applyNumberFormat="1" applyFont="1" applyFill="1" applyBorder="1"/>
    <xf numFmtId="178" fontId="13" fillId="10" borderId="28" xfId="0" applyNumberFormat="1" applyFont="1" applyFill="1" applyBorder="1" applyAlignment="1">
      <alignment horizontal="right"/>
    </xf>
    <xf numFmtId="178" fontId="11" fillId="8" borderId="28" xfId="0" applyNumberFormat="1" applyFont="1" applyFill="1" applyBorder="1" applyAlignment="1">
      <alignment horizontal="right"/>
    </xf>
    <xf numFmtId="178" fontId="10" fillId="10" borderId="28" xfId="0" applyNumberFormat="1" applyFont="1" applyFill="1" applyBorder="1" applyAlignment="1">
      <alignment horizontal="right"/>
    </xf>
    <xf numFmtId="178" fontId="12" fillId="10" borderId="28" xfId="0" applyNumberFormat="1" applyFont="1" applyFill="1" applyBorder="1" applyAlignment="1">
      <alignment horizontal="right"/>
    </xf>
    <xf numFmtId="178" fontId="13" fillId="9" borderId="28" xfId="0" applyNumberFormat="1" applyFont="1" applyFill="1" applyBorder="1" applyAlignment="1">
      <alignment horizontal="right"/>
    </xf>
    <xf numFmtId="0" fontId="11" fillId="14" borderId="28" xfId="2" applyFont="1" applyFill="1" applyBorder="1">
      <alignment vertical="center"/>
    </xf>
    <xf numFmtId="0" fontId="11" fillId="0" borderId="0" xfId="2" applyFont="1">
      <alignment vertical="center"/>
    </xf>
    <xf numFmtId="0" fontId="11" fillId="0" borderId="28" xfId="2" applyFont="1" applyBorder="1">
      <alignment vertical="center"/>
    </xf>
    <xf numFmtId="0" fontId="13" fillId="0" borderId="28" xfId="2" applyFont="1" applyBorder="1" applyAlignment="1">
      <alignment horizontal="center" vertical="center"/>
    </xf>
    <xf numFmtId="0" fontId="12" fillId="0" borderId="28" xfId="2" applyFont="1" applyBorder="1">
      <alignment vertical="center"/>
    </xf>
    <xf numFmtId="187" fontId="11" fillId="8" borderId="28" xfId="2" applyNumberFormat="1" applyFont="1" applyFill="1" applyBorder="1">
      <alignment vertical="center"/>
    </xf>
    <xf numFmtId="187" fontId="11" fillId="13" borderId="28" xfId="2" applyNumberFormat="1" applyFont="1" applyFill="1" applyBorder="1">
      <alignment vertical="center"/>
    </xf>
    <xf numFmtId="187" fontId="11" fillId="0" borderId="28" xfId="2" applyNumberFormat="1" applyFont="1" applyBorder="1">
      <alignment vertical="center"/>
    </xf>
    <xf numFmtId="187" fontId="11" fillId="10" borderId="28" xfId="2" applyNumberFormat="1" applyFont="1" applyFill="1" applyBorder="1">
      <alignment vertical="center"/>
    </xf>
    <xf numFmtId="0" fontId="13" fillId="0" borderId="28" xfId="2" applyFont="1" applyBorder="1">
      <alignment vertical="center"/>
    </xf>
    <xf numFmtId="187" fontId="11" fillId="14" borderId="28" xfId="2" applyNumberFormat="1" applyFont="1" applyFill="1" applyBorder="1">
      <alignment vertical="center"/>
    </xf>
    <xf numFmtId="0" fontId="13" fillId="0" borderId="28" xfId="2" applyFont="1" applyBorder="1" applyAlignment="1">
      <alignment vertical="center" wrapText="1"/>
    </xf>
    <xf numFmtId="0" fontId="13" fillId="0" borderId="28" xfId="0" applyFont="1" applyBorder="1"/>
    <xf numFmtId="0" fontId="11" fillId="8" borderId="28" xfId="0" applyFont="1" applyFill="1" applyBorder="1"/>
    <xf numFmtId="178" fontId="11" fillId="8" borderId="28" xfId="0" applyNumberFormat="1" applyFont="1" applyFill="1" applyBorder="1"/>
    <xf numFmtId="178" fontId="10" fillId="8" borderId="28" xfId="0" applyNumberFormat="1" applyFont="1" applyFill="1" applyBorder="1"/>
    <xf numFmtId="0" fontId="11" fillId="9" borderId="28" xfId="2" applyFont="1" applyFill="1" applyBorder="1">
      <alignment vertical="center"/>
    </xf>
    <xf numFmtId="0" fontId="14" fillId="0" borderId="0" xfId="2" applyFont="1">
      <alignment vertical="center"/>
    </xf>
    <xf numFmtId="0" fontId="9" fillId="0" borderId="28" xfId="0" applyFont="1" applyBorder="1" applyAlignment="1">
      <alignment horizontal="left" vertical="center"/>
    </xf>
    <xf numFmtId="0" fontId="11" fillId="10" borderId="28" xfId="2" applyFont="1" applyFill="1" applyBorder="1">
      <alignment vertical="center"/>
    </xf>
    <xf numFmtId="0" fontId="12" fillId="12" borderId="28" xfId="2" applyFont="1" applyFill="1" applyBorder="1">
      <alignment vertical="center"/>
    </xf>
    <xf numFmtId="176" fontId="11" fillId="9" borderId="28" xfId="0" applyNumberFormat="1" applyFont="1" applyFill="1" applyBorder="1"/>
    <xf numFmtId="41" fontId="0" fillId="0" borderId="0" xfId="1" applyFont="1" applyAlignment="1">
      <alignment vertical="center"/>
    </xf>
    <xf numFmtId="0" fontId="15" fillId="0" borderId="29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6" fillId="0" borderId="30" xfId="0" applyFont="1" applyBorder="1" applyAlignment="1">
      <alignment vertical="center"/>
    </xf>
    <xf numFmtId="0" fontId="16" fillId="0" borderId="30" xfId="0" applyFont="1" applyBorder="1" applyAlignment="1">
      <alignment horizontal="center" vertical="center"/>
    </xf>
    <xf numFmtId="0" fontId="16" fillId="0" borderId="30" xfId="0" applyFont="1" applyBorder="1" applyAlignment="1">
      <alignment horizontal="left" vertical="center"/>
    </xf>
    <xf numFmtId="0" fontId="16" fillId="0" borderId="31" xfId="0" applyFont="1" applyBorder="1" applyAlignment="1">
      <alignment vertical="center"/>
    </xf>
    <xf numFmtId="0" fontId="16" fillId="8" borderId="32" xfId="0" applyFont="1" applyFill="1" applyBorder="1" applyAlignment="1">
      <alignment vertical="center"/>
    </xf>
    <xf numFmtId="0" fontId="16" fillId="8" borderId="31" xfId="0" applyFont="1" applyFill="1" applyBorder="1" applyAlignment="1">
      <alignment vertical="center"/>
    </xf>
    <xf numFmtId="0" fontId="16" fillId="8" borderId="31" xfId="0" applyFont="1" applyFill="1" applyBorder="1" applyAlignment="1">
      <alignment vertical="center" wrapText="1"/>
    </xf>
    <xf numFmtId="0" fontId="17" fillId="0" borderId="31" xfId="0" applyFont="1" applyBorder="1" applyAlignment="1">
      <alignment vertical="center" wrapText="1"/>
    </xf>
    <xf numFmtId="0" fontId="16" fillId="0" borderId="33" xfId="0" applyFont="1" applyBorder="1" applyAlignment="1">
      <alignment vertical="center"/>
    </xf>
    <xf numFmtId="0" fontId="16" fillId="0" borderId="34" xfId="0" applyFont="1" applyBorder="1" applyAlignment="1">
      <alignment vertical="center"/>
    </xf>
    <xf numFmtId="0" fontId="11" fillId="0" borderId="28" xfId="0" applyFont="1" applyBorder="1" applyAlignment="1">
      <alignment horizontal="left"/>
    </xf>
    <xf numFmtId="0" fontId="18" fillId="0" borderId="28" xfId="0" applyFont="1" applyBorder="1" applyAlignment="1">
      <alignment horizontal="left"/>
    </xf>
    <xf numFmtId="0" fontId="18" fillId="11" borderId="28" xfId="0" applyFont="1" applyFill="1" applyBorder="1" applyAlignment="1">
      <alignment horizontal="left"/>
    </xf>
    <xf numFmtId="0" fontId="11" fillId="11" borderId="28" xfId="2" applyFont="1" applyFill="1" applyBorder="1">
      <alignment vertical="center"/>
    </xf>
    <xf numFmtId="2" fontId="11" fillId="8" borderId="28" xfId="2" applyNumberFormat="1" applyFont="1" applyFill="1" applyBorder="1">
      <alignment vertical="center"/>
    </xf>
    <xf numFmtId="0" fontId="12" fillId="10" borderId="28" xfId="2" applyFont="1" applyFill="1" applyBorder="1">
      <alignment vertical="center"/>
    </xf>
    <xf numFmtId="0" fontId="11" fillId="11" borderId="28" xfId="2" applyFont="1" applyFill="1" applyBorder="1" applyAlignment="1">
      <alignment vertical="center"/>
    </xf>
    <xf numFmtId="0" fontId="11" fillId="10" borderId="35" xfId="0" applyFont="1" applyFill="1" applyBorder="1" applyAlignment="1">
      <alignment horizontal="center" vertical="center"/>
    </xf>
    <xf numFmtId="0" fontId="11" fillId="14" borderId="36" xfId="0" applyFont="1" applyFill="1" applyBorder="1" applyAlignment="1">
      <alignment horizontal="center" vertical="center"/>
    </xf>
    <xf numFmtId="0" fontId="11" fillId="8" borderId="37" xfId="0" applyFont="1" applyFill="1" applyBorder="1" applyAlignment="1">
      <alignment horizontal="left" vertical="center"/>
    </xf>
    <xf numFmtId="0" fontId="11" fillId="8" borderId="37" xfId="0" applyFont="1" applyFill="1" applyBorder="1" applyAlignment="1">
      <alignment horizontal="left"/>
    </xf>
    <xf numFmtId="180" fontId="11" fillId="8" borderId="37" xfId="0" applyNumberFormat="1" applyFont="1" applyFill="1" applyBorder="1" applyAlignment="1">
      <alignment horizontal="left" vertical="center"/>
    </xf>
    <xf numFmtId="181" fontId="11" fillId="8" borderId="37" xfId="0" applyNumberFormat="1" applyFont="1" applyFill="1" applyBorder="1" applyAlignment="1">
      <alignment horizontal="left" vertical="center"/>
    </xf>
    <xf numFmtId="179" fontId="11" fillId="8" borderId="37" xfId="0" applyNumberFormat="1" applyFont="1" applyFill="1" applyBorder="1" applyAlignment="1">
      <alignment horizontal="left" vertical="center"/>
    </xf>
    <xf numFmtId="0" fontId="11" fillId="8" borderId="38" xfId="0" applyFont="1" applyFill="1" applyBorder="1" applyAlignment="1">
      <alignment horizontal="left" vertical="center"/>
    </xf>
    <xf numFmtId="0" fontId="11" fillId="8" borderId="39" xfId="0" applyFont="1" applyFill="1" applyBorder="1" applyAlignment="1">
      <alignment horizontal="center" vertical="center"/>
    </xf>
    <xf numFmtId="0" fontId="11" fillId="8" borderId="37" xfId="0" applyFont="1" applyFill="1" applyBorder="1" applyAlignment="1">
      <alignment horizontal="center" vertical="center"/>
    </xf>
    <xf numFmtId="0" fontId="11" fillId="0" borderId="39" xfId="0" applyFont="1" applyBorder="1" applyAlignment="1">
      <alignment horizontal="left" vertical="center"/>
    </xf>
    <xf numFmtId="0" fontId="11" fillId="14" borderId="40" xfId="0" applyFont="1" applyFill="1" applyBorder="1" applyAlignment="1">
      <alignment horizontal="center" vertical="center"/>
    </xf>
    <xf numFmtId="180" fontId="11" fillId="8" borderId="41" xfId="0" applyNumberFormat="1" applyFont="1" applyFill="1" applyBorder="1" applyAlignment="1">
      <alignment horizontal="left" vertical="center"/>
    </xf>
    <xf numFmtId="0" fontId="11" fillId="8" borderId="41" xfId="0" applyFont="1" applyFill="1" applyBorder="1" applyAlignment="1">
      <alignment horizontal="left" vertical="center"/>
    </xf>
    <xf numFmtId="0" fontId="11" fillId="8" borderId="41" xfId="0" applyFont="1" applyFill="1" applyBorder="1" applyAlignment="1">
      <alignment horizontal="left"/>
    </xf>
    <xf numFmtId="181" fontId="11" fillId="8" borderId="41" xfId="0" applyNumberFormat="1" applyFont="1" applyFill="1" applyBorder="1" applyAlignment="1">
      <alignment horizontal="left" vertical="center"/>
    </xf>
    <xf numFmtId="179" fontId="11" fillId="8" borderId="41" xfId="0" applyNumberFormat="1" applyFont="1" applyFill="1" applyBorder="1" applyAlignment="1">
      <alignment horizontal="left" vertical="center"/>
    </xf>
    <xf numFmtId="0" fontId="11" fillId="8" borderId="41" xfId="0" applyFont="1" applyFill="1" applyBorder="1" applyAlignment="1">
      <alignment horizontal="center" vertical="center"/>
    </xf>
    <xf numFmtId="0" fontId="11" fillId="8" borderId="42" xfId="0" applyFont="1" applyFill="1" applyBorder="1" applyAlignment="1">
      <alignment horizontal="left" vertical="center"/>
    </xf>
    <xf numFmtId="0" fontId="11" fillId="0" borderId="43" xfId="0" applyFont="1" applyBorder="1" applyAlignment="1">
      <alignment horizontal="left" vertical="center"/>
    </xf>
    <xf numFmtId="0" fontId="11" fillId="14" borderId="44" xfId="0" applyFont="1" applyFill="1" applyBorder="1" applyAlignment="1">
      <alignment horizontal="center" vertical="center"/>
    </xf>
    <xf numFmtId="0" fontId="11" fillId="8" borderId="45" xfId="0" applyFont="1" applyFill="1" applyBorder="1" applyAlignment="1">
      <alignment horizontal="left" vertical="center"/>
    </xf>
    <xf numFmtId="0" fontId="11" fillId="8" borderId="45" xfId="0" applyFont="1" applyFill="1" applyBorder="1" applyAlignment="1">
      <alignment horizontal="left"/>
    </xf>
    <xf numFmtId="180" fontId="11" fillId="8" borderId="45" xfId="0" applyNumberFormat="1" applyFont="1" applyFill="1" applyBorder="1" applyAlignment="1">
      <alignment horizontal="left" vertical="center"/>
    </xf>
    <xf numFmtId="181" fontId="11" fillId="8" borderId="45" xfId="0" applyNumberFormat="1" applyFont="1" applyFill="1" applyBorder="1" applyAlignment="1">
      <alignment horizontal="left" vertical="center"/>
    </xf>
    <xf numFmtId="179" fontId="11" fillId="8" borderId="45" xfId="0" applyNumberFormat="1" applyFont="1" applyFill="1" applyBorder="1" applyAlignment="1">
      <alignment horizontal="left" vertical="center"/>
    </xf>
    <xf numFmtId="0" fontId="11" fillId="8" borderId="45" xfId="0" applyFont="1" applyFill="1" applyBorder="1" applyAlignment="1">
      <alignment horizontal="center" vertical="center"/>
    </xf>
    <xf numFmtId="0" fontId="11" fillId="8" borderId="46" xfId="0" applyFont="1" applyFill="1" applyBorder="1" applyAlignment="1">
      <alignment horizontal="left" vertical="center"/>
    </xf>
    <xf numFmtId="0" fontId="11" fillId="0" borderId="47" xfId="0" applyFont="1" applyBorder="1" applyAlignment="1">
      <alignment horizontal="left" vertical="center"/>
    </xf>
    <xf numFmtId="179" fontId="11" fillId="9" borderId="28" xfId="0" applyNumberFormat="1" applyFont="1" applyFill="1" applyBorder="1" applyAlignment="1">
      <alignment horizontal="right"/>
    </xf>
    <xf numFmtId="2" fontId="11" fillId="10" borderId="28" xfId="2" applyNumberFormat="1" applyFont="1" applyFill="1" applyBorder="1">
      <alignment vertical="center"/>
    </xf>
    <xf numFmtId="0" fontId="18" fillId="8" borderId="31" xfId="0" applyFont="1" applyFill="1" applyBorder="1" applyAlignment="1">
      <alignment vertical="center"/>
    </xf>
    <xf numFmtId="0" fontId="16" fillId="0" borderId="31" xfId="0" applyFont="1" applyFill="1" applyBorder="1" applyAlignment="1">
      <alignment vertical="center"/>
    </xf>
    <xf numFmtId="0" fontId="0" fillId="0" borderId="0" xfId="0" applyFill="1"/>
    <xf numFmtId="0" fontId="16" fillId="0" borderId="31" xfId="0" applyFont="1" applyBorder="1" applyAlignment="1">
      <alignment vertical="center" wrapText="1"/>
    </xf>
    <xf numFmtId="0" fontId="0" fillId="0" borderId="0" xfId="0" applyFont="1" applyFill="1"/>
    <xf numFmtId="0" fontId="0" fillId="0" borderId="0" xfId="0" applyFont="1"/>
    <xf numFmtId="0" fontId="18" fillId="0" borderId="31" xfId="0" applyFont="1" applyFill="1" applyBorder="1" applyAlignment="1">
      <alignment vertical="center" wrapText="1"/>
    </xf>
    <xf numFmtId="0" fontId="18" fillId="0" borderId="31" xfId="0" applyFont="1" applyBorder="1" applyAlignment="1">
      <alignment vertical="center"/>
    </xf>
    <xf numFmtId="0" fontId="16" fillId="8" borderId="32" xfId="0" applyFont="1" applyFill="1" applyBorder="1" applyAlignment="1">
      <alignment vertical="center" wrapText="1"/>
    </xf>
    <xf numFmtId="0" fontId="0" fillId="0" borderId="0" xfId="0" applyFill="1"/>
    <xf numFmtId="0" fontId="11" fillId="0" borderId="28" xfId="0" applyFont="1" applyBorder="1" applyAlignment="1">
      <alignment vertical="center"/>
    </xf>
    <xf numFmtId="0" fontId="11" fillId="9" borderId="28" xfId="0" applyFont="1" applyFill="1" applyBorder="1" applyAlignment="1">
      <alignment vertical="center"/>
    </xf>
    <xf numFmtId="0" fontId="12" fillId="10" borderId="28" xfId="0" applyFont="1" applyFill="1" applyBorder="1" applyAlignment="1">
      <alignment vertical="center"/>
    </xf>
    <xf numFmtId="0" fontId="16" fillId="8" borderId="31" xfId="0" applyFont="1" applyFill="1" applyBorder="1" applyAlignment="1">
      <alignment vertical="center"/>
    </xf>
    <xf numFmtId="0" fontId="16" fillId="8" borderId="31" xfId="0" applyFont="1" applyFill="1" applyBorder="1" applyAlignment="1">
      <alignment vertical="center" wrapText="1"/>
    </xf>
    <xf numFmtId="0" fontId="16" fillId="8" borderId="31" xfId="0" applyFont="1" applyFill="1" applyBorder="1" applyAlignment="1">
      <alignment vertical="center"/>
    </xf>
    <xf numFmtId="0" fontId="0" fillId="0" borderId="0" xfId="0"/>
    <xf numFmtId="0" fontId="11" fillId="0" borderId="0" xfId="2" applyFont="1" applyAlignment="1">
      <alignment vertical="center"/>
    </xf>
    <xf numFmtId="187" fontId="11" fillId="9" borderId="28" xfId="2" applyNumberFormat="1" applyFont="1" applyFill="1" applyBorder="1">
      <alignment vertical="center"/>
    </xf>
    <xf numFmtId="0" fontId="16" fillId="8" borderId="31" xfId="0" applyFont="1" applyFill="1" applyBorder="1" applyAlignment="1">
      <alignment vertical="center"/>
    </xf>
    <xf numFmtId="0" fontId="16" fillId="8" borderId="31" xfId="0" applyFont="1" applyFill="1" applyBorder="1" applyAlignment="1">
      <alignment vertical="center" wrapText="1"/>
    </xf>
    <xf numFmtId="2" fontId="11" fillId="9" borderId="28" xfId="2" applyNumberFormat="1" applyFont="1" applyFill="1" applyBorder="1">
      <alignment vertical="center"/>
    </xf>
    <xf numFmtId="0" fontId="20" fillId="0" borderId="32" xfId="0" applyFont="1" applyFill="1" applyBorder="1" applyAlignment="1">
      <alignment vertical="center" wrapText="1"/>
    </xf>
    <xf numFmtId="0" fontId="11" fillId="0" borderId="0" xfId="2" quotePrefix="1" applyFont="1" applyAlignment="1">
      <alignment vertical="center"/>
    </xf>
    <xf numFmtId="0" fontId="18" fillId="8" borderId="31" xfId="0" applyFont="1" applyFill="1" applyBorder="1" applyAlignment="1">
      <alignment vertical="center" wrapText="1"/>
    </xf>
    <xf numFmtId="22" fontId="18" fillId="8" borderId="31" xfId="0" applyNumberFormat="1" applyFont="1" applyFill="1" applyBorder="1" applyAlignment="1">
      <alignment vertical="center"/>
    </xf>
    <xf numFmtId="0" fontId="20" fillId="0" borderId="31" xfId="0" applyFont="1" applyFill="1" applyBorder="1" applyAlignment="1">
      <alignment vertical="center" wrapText="1"/>
    </xf>
    <xf numFmtId="0" fontId="19" fillId="6" borderId="29" xfId="0" applyFont="1" applyFill="1" applyBorder="1" applyAlignment="1">
      <alignment horizontal="center" vertical="center"/>
    </xf>
    <xf numFmtId="187" fontId="11" fillId="9" borderId="29" xfId="2" applyNumberFormat="1" applyFont="1" applyFill="1" applyBorder="1">
      <alignment vertical="center"/>
    </xf>
    <xf numFmtId="2" fontId="11" fillId="8" borderId="29" xfId="2" applyNumberFormat="1" applyFont="1" applyFill="1" applyBorder="1">
      <alignment vertical="center"/>
    </xf>
    <xf numFmtId="187" fontId="11" fillId="13" borderId="29" xfId="2" applyNumberFormat="1" applyFont="1" applyFill="1" applyBorder="1">
      <alignment vertical="center"/>
    </xf>
    <xf numFmtId="187" fontId="11" fillId="8" borderId="29" xfId="2" applyNumberFormat="1" applyFont="1" applyFill="1" applyBorder="1">
      <alignment vertical="center"/>
    </xf>
    <xf numFmtId="187" fontId="11" fillId="0" borderId="29" xfId="2" applyNumberFormat="1" applyFont="1" applyBorder="1">
      <alignment vertical="center"/>
    </xf>
    <xf numFmtId="2" fontId="11" fillId="9" borderId="29" xfId="2" applyNumberFormat="1" applyFont="1" applyFill="1" applyBorder="1">
      <alignment vertical="center"/>
    </xf>
    <xf numFmtId="2" fontId="11" fillId="10" borderId="29" xfId="2" applyNumberFormat="1" applyFont="1" applyFill="1" applyBorder="1">
      <alignment vertical="center"/>
    </xf>
    <xf numFmtId="187" fontId="11" fillId="10" borderId="29" xfId="2" applyNumberFormat="1" applyFont="1" applyFill="1" applyBorder="1">
      <alignment vertical="center"/>
    </xf>
    <xf numFmtId="187" fontId="11" fillId="14" borderId="29" xfId="2" applyNumberFormat="1" applyFont="1" applyFill="1" applyBorder="1">
      <alignment vertical="center"/>
    </xf>
    <xf numFmtId="187" fontId="11" fillId="9" borderId="48" xfId="2" applyNumberFormat="1" applyFont="1" applyFill="1" applyBorder="1">
      <alignment vertical="center"/>
    </xf>
    <xf numFmtId="2" fontId="11" fillId="8" borderId="48" xfId="2" applyNumberFormat="1" applyFont="1" applyFill="1" applyBorder="1">
      <alignment vertical="center"/>
    </xf>
    <xf numFmtId="187" fontId="11" fillId="13" borderId="48" xfId="2" applyNumberFormat="1" applyFont="1" applyFill="1" applyBorder="1">
      <alignment vertical="center"/>
    </xf>
    <xf numFmtId="187" fontId="11" fillId="8" borderId="48" xfId="2" applyNumberFormat="1" applyFont="1" applyFill="1" applyBorder="1">
      <alignment vertical="center"/>
    </xf>
    <xf numFmtId="187" fontId="11" fillId="0" borderId="48" xfId="2" applyNumberFormat="1" applyFont="1" applyBorder="1">
      <alignment vertical="center"/>
    </xf>
    <xf numFmtId="2" fontId="11" fillId="9" borderId="48" xfId="2" applyNumberFormat="1" applyFont="1" applyFill="1" applyBorder="1">
      <alignment vertical="center"/>
    </xf>
    <xf numFmtId="2" fontId="11" fillId="10" borderId="48" xfId="2" applyNumberFormat="1" applyFont="1" applyFill="1" applyBorder="1">
      <alignment vertical="center"/>
    </xf>
    <xf numFmtId="187" fontId="11" fillId="10" borderId="48" xfId="2" applyNumberFormat="1" applyFont="1" applyFill="1" applyBorder="1">
      <alignment vertical="center"/>
    </xf>
    <xf numFmtId="187" fontId="11" fillId="14" borderId="48" xfId="2" applyNumberFormat="1" applyFont="1" applyFill="1" applyBorder="1">
      <alignment vertical="center"/>
    </xf>
    <xf numFmtId="187" fontId="11" fillId="9" borderId="65" xfId="2" applyNumberFormat="1" applyFont="1" applyFill="1" applyBorder="1">
      <alignment vertical="center"/>
    </xf>
    <xf numFmtId="187" fontId="11" fillId="9" borderId="66" xfId="2" applyNumberFormat="1" applyFont="1" applyFill="1" applyBorder="1">
      <alignment vertical="center"/>
    </xf>
    <xf numFmtId="2" fontId="11" fillId="8" borderId="66" xfId="2" applyNumberFormat="1" applyFont="1" applyFill="1" applyBorder="1">
      <alignment vertical="center"/>
    </xf>
    <xf numFmtId="187" fontId="11" fillId="13" borderId="66" xfId="2" applyNumberFormat="1" applyFont="1" applyFill="1" applyBorder="1">
      <alignment vertical="center"/>
    </xf>
    <xf numFmtId="187" fontId="11" fillId="8" borderId="66" xfId="2" applyNumberFormat="1" applyFont="1" applyFill="1" applyBorder="1">
      <alignment vertical="center"/>
    </xf>
    <xf numFmtId="187" fontId="11" fillId="0" borderId="66" xfId="2" applyNumberFormat="1" applyFont="1" applyBorder="1">
      <alignment vertical="center"/>
    </xf>
    <xf numFmtId="2" fontId="11" fillId="9" borderId="66" xfId="2" applyNumberFormat="1" applyFont="1" applyFill="1" applyBorder="1">
      <alignment vertical="center"/>
    </xf>
    <xf numFmtId="2" fontId="11" fillId="10" borderId="66" xfId="2" applyNumberFormat="1" applyFont="1" applyFill="1" applyBorder="1">
      <alignment vertical="center"/>
    </xf>
    <xf numFmtId="187" fontId="11" fillId="10" borderId="66" xfId="2" applyNumberFormat="1" applyFont="1" applyFill="1" applyBorder="1">
      <alignment vertical="center"/>
    </xf>
    <xf numFmtId="187" fontId="11" fillId="14" borderId="66" xfId="2" applyNumberFormat="1" applyFont="1" applyFill="1" applyBorder="1">
      <alignment vertical="center"/>
    </xf>
    <xf numFmtId="187" fontId="11" fillId="8" borderId="67" xfId="2" applyNumberFormat="1" applyFont="1" applyFill="1" applyBorder="1">
      <alignment vertical="center"/>
    </xf>
    <xf numFmtId="0" fontId="15" fillId="0" borderId="28" xfId="0" applyFont="1" applyFill="1" applyBorder="1" applyAlignment="1">
      <alignment horizontal="center" vertical="center"/>
    </xf>
    <xf numFmtId="0" fontId="19" fillId="0" borderId="48" xfId="0" applyFont="1" applyFill="1" applyBorder="1" applyAlignment="1">
      <alignment horizontal="center" vertical="center"/>
    </xf>
    <xf numFmtId="188" fontId="9" fillId="0" borderId="28" xfId="0" applyNumberFormat="1" applyFont="1" applyFill="1" applyBorder="1" applyAlignment="1">
      <alignment vertical="center"/>
    </xf>
    <xf numFmtId="41" fontId="0" fillId="0" borderId="28" xfId="1" applyFont="1" applyFill="1" applyBorder="1" applyAlignment="1">
      <alignment vertical="center"/>
    </xf>
    <xf numFmtId="0" fontId="0" fillId="0" borderId="28" xfId="0" applyFill="1" applyBorder="1" applyAlignment="1">
      <alignment vertical="center"/>
    </xf>
    <xf numFmtId="189" fontId="0" fillId="0" borderId="28" xfId="1" applyNumberFormat="1" applyFont="1" applyFill="1" applyBorder="1" applyAlignment="1">
      <alignment vertical="center"/>
    </xf>
    <xf numFmtId="188" fontId="23" fillId="0" borderId="28" xfId="0" applyNumberFormat="1" applyFont="1" applyFill="1" applyBorder="1" applyAlignment="1">
      <alignment vertical="center"/>
    </xf>
    <xf numFmtId="41" fontId="23" fillId="0" borderId="28" xfId="1" applyFont="1" applyFill="1" applyBorder="1" applyAlignment="1">
      <alignment vertical="center"/>
    </xf>
    <xf numFmtId="0" fontId="9" fillId="0" borderId="28" xfId="0" applyFont="1" applyFill="1" applyBorder="1" applyAlignment="1">
      <alignment vertical="center"/>
    </xf>
    <xf numFmtId="0" fontId="24" fillId="0" borderId="28" xfId="0" applyFont="1" applyFill="1" applyBorder="1" applyAlignment="1">
      <alignment vertical="center"/>
    </xf>
    <xf numFmtId="0" fontId="23" fillId="0" borderId="28" xfId="0" applyFont="1" applyFill="1" applyBorder="1" applyAlignment="1">
      <alignment vertical="center"/>
    </xf>
    <xf numFmtId="0" fontId="0" fillId="0" borderId="28" xfId="0" applyBorder="1" applyAlignment="1">
      <alignment horizontal="left" vertical="center"/>
    </xf>
    <xf numFmtId="0" fontId="13" fillId="0" borderId="50" xfId="0" applyFont="1" applyBorder="1" applyAlignment="1">
      <alignment horizontal="left"/>
    </xf>
    <xf numFmtId="0" fontId="13" fillId="0" borderId="50" xfId="2" applyFont="1" applyBorder="1" applyAlignment="1">
      <alignment horizontal="left" vertical="center"/>
    </xf>
    <xf numFmtId="0" fontId="13" fillId="0" borderId="0" xfId="2" applyFont="1" applyAlignment="1">
      <alignment horizontal="left" vertical="center"/>
    </xf>
    <xf numFmtId="0" fontId="11" fillId="11" borderId="28" xfId="0" applyFont="1" applyFill="1" applyBorder="1" applyAlignment="1">
      <alignment horizontal="center" vertical="center"/>
    </xf>
    <xf numFmtId="41" fontId="0" fillId="0" borderId="29" xfId="1" applyFont="1" applyFill="1" applyBorder="1" applyAlignment="1">
      <alignment horizontal="center" vertical="center"/>
    </xf>
    <xf numFmtId="41" fontId="0" fillId="0" borderId="53" xfId="1" applyFont="1" applyFill="1" applyBorder="1" applyAlignment="1">
      <alignment horizontal="center" vertical="center"/>
    </xf>
    <xf numFmtId="41" fontId="0" fillId="0" borderId="48" xfId="1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49" xfId="0" applyBorder="1" applyAlignment="1">
      <alignment horizontal="left" vertical="center" wrapText="1"/>
    </xf>
    <xf numFmtId="0" fontId="0" fillId="0" borderId="51" xfId="0" applyBorder="1" applyAlignment="1">
      <alignment horizontal="left" vertical="center" wrapText="1"/>
    </xf>
    <xf numFmtId="0" fontId="0" fillId="0" borderId="52" xfId="0" applyBorder="1" applyAlignment="1">
      <alignment horizontal="left" vertical="center" wrapText="1"/>
    </xf>
    <xf numFmtId="0" fontId="0" fillId="0" borderId="51" xfId="0" applyBorder="1" applyAlignment="1">
      <alignment horizontal="left" vertical="center"/>
    </xf>
    <xf numFmtId="0" fontId="0" fillId="0" borderId="52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21" fillId="0" borderId="29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48" xfId="0" applyFont="1" applyBorder="1" applyAlignment="1">
      <alignment horizontal="center" vertical="center"/>
    </xf>
    <xf numFmtId="0" fontId="19" fillId="0" borderId="28" xfId="0" applyFont="1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19" fillId="0" borderId="53" xfId="0" applyFont="1" applyFill="1" applyBorder="1" applyAlignment="1">
      <alignment horizontal="center" vertical="center"/>
    </xf>
    <xf numFmtId="0" fontId="19" fillId="0" borderId="48" xfId="0" applyFont="1" applyFill="1" applyBorder="1" applyAlignment="1">
      <alignment horizontal="center" vertical="center"/>
    </xf>
    <xf numFmtId="0" fontId="22" fillId="6" borderId="29" xfId="0" applyFont="1" applyFill="1" applyBorder="1" applyAlignment="1">
      <alignment horizontal="center" vertical="center"/>
    </xf>
    <xf numFmtId="0" fontId="22" fillId="6" borderId="48" xfId="0" applyFont="1" applyFill="1" applyBorder="1" applyAlignment="1">
      <alignment horizontal="center" vertical="center"/>
    </xf>
    <xf numFmtId="0" fontId="19" fillId="6" borderId="29" xfId="0" applyFont="1" applyFill="1" applyBorder="1" applyAlignment="1">
      <alignment horizontal="center" vertical="center"/>
    </xf>
    <xf numFmtId="0" fontId="19" fillId="6" borderId="48" xfId="0" applyFont="1" applyFill="1" applyBorder="1" applyAlignment="1">
      <alignment horizontal="center" vertical="center"/>
    </xf>
    <xf numFmtId="0" fontId="11" fillId="8" borderId="38" xfId="0" applyFont="1" applyFill="1" applyBorder="1" applyAlignment="1">
      <alignment horizontal="left" vertical="center"/>
    </xf>
    <xf numFmtId="0" fontId="11" fillId="8" borderId="54" xfId="0" applyFont="1" applyFill="1" applyBorder="1" applyAlignment="1">
      <alignment horizontal="left" vertical="center"/>
    </xf>
    <xf numFmtId="0" fontId="11" fillId="10" borderId="30" xfId="0" applyFont="1" applyFill="1" applyBorder="1" applyAlignment="1">
      <alignment horizontal="center" vertical="center"/>
    </xf>
    <xf numFmtId="0" fontId="11" fillId="10" borderId="35" xfId="0" applyFont="1" applyFill="1" applyBorder="1" applyAlignment="1">
      <alignment horizontal="center" vertical="center"/>
    </xf>
    <xf numFmtId="0" fontId="11" fillId="9" borderId="30" xfId="0" applyFont="1" applyFill="1" applyBorder="1" applyAlignment="1">
      <alignment horizontal="center" vertical="center"/>
    </xf>
    <xf numFmtId="0" fontId="11" fillId="9" borderId="35" xfId="0" applyFont="1" applyFill="1" applyBorder="1" applyAlignment="1">
      <alignment horizontal="center" vertical="center"/>
    </xf>
    <xf numFmtId="0" fontId="11" fillId="10" borderId="58" xfId="0" applyFont="1" applyFill="1" applyBorder="1" applyAlignment="1">
      <alignment horizontal="center" vertical="center"/>
    </xf>
    <xf numFmtId="0" fontId="11" fillId="10" borderId="59" xfId="0" applyFont="1" applyFill="1" applyBorder="1" applyAlignment="1">
      <alignment horizontal="center" vertical="center"/>
    </xf>
    <xf numFmtId="0" fontId="11" fillId="10" borderId="55" xfId="0" applyFont="1" applyFill="1" applyBorder="1" applyAlignment="1">
      <alignment horizontal="center" vertical="center"/>
    </xf>
    <xf numFmtId="0" fontId="11" fillId="10" borderId="56" xfId="0" applyFont="1" applyFill="1" applyBorder="1" applyAlignment="1">
      <alignment horizontal="center" vertical="center"/>
    </xf>
    <xf numFmtId="0" fontId="11" fillId="10" borderId="57" xfId="0" applyFont="1" applyFill="1" applyBorder="1" applyAlignment="1">
      <alignment horizontal="center" vertical="center"/>
    </xf>
    <xf numFmtId="0" fontId="11" fillId="10" borderId="34" xfId="0" applyFont="1" applyFill="1" applyBorder="1" applyAlignment="1">
      <alignment horizontal="center" vertical="center"/>
    </xf>
    <xf numFmtId="0" fontId="11" fillId="15" borderId="30" xfId="0" applyFont="1" applyFill="1" applyBorder="1" applyAlignment="1">
      <alignment horizontal="center" vertical="center"/>
    </xf>
    <xf numFmtId="0" fontId="11" fillId="15" borderId="35" xfId="0" applyFont="1" applyFill="1" applyBorder="1" applyAlignment="1">
      <alignment horizontal="center" vertical="center"/>
    </xf>
    <xf numFmtId="0" fontId="11" fillId="7" borderId="30" xfId="0" applyFont="1" applyFill="1" applyBorder="1" applyAlignment="1">
      <alignment horizontal="center" vertical="center"/>
    </xf>
    <xf numFmtId="0" fontId="11" fillId="7" borderId="35" xfId="0" applyFont="1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10" fillId="2" borderId="62" xfId="0" applyFont="1" applyFill="1" applyBorder="1" applyAlignment="1">
      <alignment horizontal="center" vertical="center"/>
    </xf>
    <xf numFmtId="0" fontId="10" fillId="4" borderId="63" xfId="0" applyFont="1" applyFill="1" applyBorder="1" applyAlignment="1">
      <alignment horizontal="center" vertical="center"/>
    </xf>
    <xf numFmtId="0" fontId="10" fillId="5" borderId="63" xfId="0" applyFont="1" applyFill="1" applyBorder="1" applyAlignment="1">
      <alignment horizontal="center" vertical="center"/>
    </xf>
    <xf numFmtId="0" fontId="10" fillId="6" borderId="63" xfId="0" applyFont="1" applyFill="1" applyBorder="1" applyAlignment="1">
      <alignment horizontal="center" vertical="center"/>
    </xf>
    <xf numFmtId="0" fontId="10" fillId="6" borderId="64" xfId="0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_20080312_동작점설계_해송_150MF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1553895</xdr:colOff>
      <xdr:row>19</xdr:row>
      <xdr:rowOff>58555</xdr:rowOff>
    </xdr:from>
    <xdr:to>
      <xdr:col>22</xdr:col>
      <xdr:colOff>1657845</xdr:colOff>
      <xdr:row>19</xdr:row>
      <xdr:rowOff>146095</xdr:rowOff>
    </xdr:to>
    <xdr:sp macro="" textlink="">
      <xdr:nvSpPr>
        <xdr:cNvPr id="2" name="타원 1"/>
        <xdr:cNvSpPr/>
      </xdr:nvSpPr>
      <xdr:spPr>
        <a:xfrm>
          <a:off x="28490595" y="4280035"/>
          <a:ext cx="103950" cy="875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1702975</xdr:colOff>
      <xdr:row>19</xdr:row>
      <xdr:rowOff>61441</xdr:rowOff>
    </xdr:from>
    <xdr:to>
      <xdr:col>22</xdr:col>
      <xdr:colOff>1787119</xdr:colOff>
      <xdr:row>19</xdr:row>
      <xdr:rowOff>142482</xdr:rowOff>
    </xdr:to>
    <xdr:sp macro="" textlink="">
      <xdr:nvSpPr>
        <xdr:cNvPr id="3" name="타원 2"/>
        <xdr:cNvSpPr/>
      </xdr:nvSpPr>
      <xdr:spPr>
        <a:xfrm>
          <a:off x="28639675" y="4282921"/>
          <a:ext cx="84144" cy="810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1553895</xdr:colOff>
      <xdr:row>23</xdr:row>
      <xdr:rowOff>58555</xdr:rowOff>
    </xdr:from>
    <xdr:to>
      <xdr:col>22</xdr:col>
      <xdr:colOff>1657845</xdr:colOff>
      <xdr:row>23</xdr:row>
      <xdr:rowOff>146095</xdr:rowOff>
    </xdr:to>
    <xdr:sp macro="" textlink="">
      <xdr:nvSpPr>
        <xdr:cNvPr id="4" name="타원 3"/>
        <xdr:cNvSpPr/>
      </xdr:nvSpPr>
      <xdr:spPr>
        <a:xfrm>
          <a:off x="28490595" y="5163955"/>
          <a:ext cx="103950" cy="875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1702975</xdr:colOff>
      <xdr:row>23</xdr:row>
      <xdr:rowOff>61441</xdr:rowOff>
    </xdr:from>
    <xdr:to>
      <xdr:col>22</xdr:col>
      <xdr:colOff>1787119</xdr:colOff>
      <xdr:row>23</xdr:row>
      <xdr:rowOff>142482</xdr:rowOff>
    </xdr:to>
    <xdr:sp macro="" textlink="">
      <xdr:nvSpPr>
        <xdr:cNvPr id="5" name="타원 4"/>
        <xdr:cNvSpPr/>
      </xdr:nvSpPr>
      <xdr:spPr>
        <a:xfrm>
          <a:off x="28639675" y="5166841"/>
          <a:ext cx="84144" cy="810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1830839</xdr:colOff>
      <xdr:row>23</xdr:row>
      <xdr:rowOff>54807</xdr:rowOff>
    </xdr:from>
    <xdr:to>
      <xdr:col>22</xdr:col>
      <xdr:colOff>1919896</xdr:colOff>
      <xdr:row>23</xdr:row>
      <xdr:rowOff>143850</xdr:rowOff>
    </xdr:to>
    <xdr:sp macro="" textlink="">
      <xdr:nvSpPr>
        <xdr:cNvPr id="6" name="타원 5"/>
        <xdr:cNvSpPr/>
      </xdr:nvSpPr>
      <xdr:spPr>
        <a:xfrm>
          <a:off x="28767539" y="5160207"/>
          <a:ext cx="89057" cy="8904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1962774</xdr:colOff>
      <xdr:row>23</xdr:row>
      <xdr:rowOff>57693</xdr:rowOff>
    </xdr:from>
    <xdr:to>
      <xdr:col>22</xdr:col>
      <xdr:colOff>2046918</xdr:colOff>
      <xdr:row>23</xdr:row>
      <xdr:rowOff>137733</xdr:rowOff>
    </xdr:to>
    <xdr:sp macro="" textlink="">
      <xdr:nvSpPr>
        <xdr:cNvPr id="7" name="타원 6"/>
        <xdr:cNvSpPr/>
      </xdr:nvSpPr>
      <xdr:spPr>
        <a:xfrm>
          <a:off x="28899474" y="5163093"/>
          <a:ext cx="84144" cy="80040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1553707</xdr:colOff>
      <xdr:row>28</xdr:row>
      <xdr:rowOff>23231</xdr:rowOff>
    </xdr:from>
    <xdr:to>
      <xdr:col>22</xdr:col>
      <xdr:colOff>1633924</xdr:colOff>
      <xdr:row>28</xdr:row>
      <xdr:rowOff>98922</xdr:rowOff>
    </xdr:to>
    <xdr:sp macro="" textlink="">
      <xdr:nvSpPr>
        <xdr:cNvPr id="8" name="타원 7"/>
        <xdr:cNvSpPr/>
      </xdr:nvSpPr>
      <xdr:spPr>
        <a:xfrm>
          <a:off x="28490407" y="6012551"/>
          <a:ext cx="80217" cy="7569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1673745</xdr:colOff>
      <xdr:row>28</xdr:row>
      <xdr:rowOff>23231</xdr:rowOff>
    </xdr:from>
    <xdr:to>
      <xdr:col>22</xdr:col>
      <xdr:colOff>1744825</xdr:colOff>
      <xdr:row>28</xdr:row>
      <xdr:rowOff>97141</xdr:rowOff>
    </xdr:to>
    <xdr:sp macro="" textlink="">
      <xdr:nvSpPr>
        <xdr:cNvPr id="9" name="타원 8"/>
        <xdr:cNvSpPr/>
      </xdr:nvSpPr>
      <xdr:spPr>
        <a:xfrm>
          <a:off x="28610445" y="6012551"/>
          <a:ext cx="71080" cy="73910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1673532</xdr:colOff>
      <xdr:row>28</xdr:row>
      <xdr:rowOff>127780</xdr:rowOff>
    </xdr:from>
    <xdr:to>
      <xdr:col>22</xdr:col>
      <xdr:colOff>1748853</xdr:colOff>
      <xdr:row>28</xdr:row>
      <xdr:rowOff>183313</xdr:rowOff>
    </xdr:to>
    <xdr:sp macro="" textlink="">
      <xdr:nvSpPr>
        <xdr:cNvPr id="10" name="타원 9"/>
        <xdr:cNvSpPr/>
      </xdr:nvSpPr>
      <xdr:spPr>
        <a:xfrm>
          <a:off x="28610232" y="6117100"/>
          <a:ext cx="75321" cy="5553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1560335</xdr:colOff>
      <xdr:row>28</xdr:row>
      <xdr:rowOff>128635</xdr:rowOff>
    </xdr:from>
    <xdr:to>
      <xdr:col>22</xdr:col>
      <xdr:colOff>1633687</xdr:colOff>
      <xdr:row>28</xdr:row>
      <xdr:rowOff>184210</xdr:rowOff>
    </xdr:to>
    <xdr:sp macro="" textlink="">
      <xdr:nvSpPr>
        <xdr:cNvPr id="11" name="타원 10"/>
        <xdr:cNvSpPr/>
      </xdr:nvSpPr>
      <xdr:spPr>
        <a:xfrm>
          <a:off x="28497035" y="6117955"/>
          <a:ext cx="73352" cy="5557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1553895</xdr:colOff>
      <xdr:row>19</xdr:row>
      <xdr:rowOff>58555</xdr:rowOff>
    </xdr:from>
    <xdr:to>
      <xdr:col>22</xdr:col>
      <xdr:colOff>1657845</xdr:colOff>
      <xdr:row>19</xdr:row>
      <xdr:rowOff>146095</xdr:rowOff>
    </xdr:to>
    <xdr:sp macro="" textlink="">
      <xdr:nvSpPr>
        <xdr:cNvPr id="12" name="타원 11"/>
        <xdr:cNvSpPr/>
      </xdr:nvSpPr>
      <xdr:spPr>
        <a:xfrm>
          <a:off x="28490595" y="4280035"/>
          <a:ext cx="103950" cy="875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1702976</xdr:colOff>
      <xdr:row>19</xdr:row>
      <xdr:rowOff>55621</xdr:rowOff>
    </xdr:from>
    <xdr:to>
      <xdr:col>22</xdr:col>
      <xdr:colOff>1788955</xdr:colOff>
      <xdr:row>19</xdr:row>
      <xdr:rowOff>146700</xdr:rowOff>
    </xdr:to>
    <xdr:sp macro="" textlink="">
      <xdr:nvSpPr>
        <xdr:cNvPr id="13" name="타원 12"/>
        <xdr:cNvSpPr/>
      </xdr:nvSpPr>
      <xdr:spPr>
        <a:xfrm>
          <a:off x="28639676" y="4277101"/>
          <a:ext cx="85979" cy="9107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1553895</xdr:colOff>
      <xdr:row>23</xdr:row>
      <xdr:rowOff>56203</xdr:rowOff>
    </xdr:from>
    <xdr:to>
      <xdr:col>22</xdr:col>
      <xdr:colOff>1657845</xdr:colOff>
      <xdr:row>23</xdr:row>
      <xdr:rowOff>146944</xdr:rowOff>
    </xdr:to>
    <xdr:sp macro="" textlink="">
      <xdr:nvSpPr>
        <xdr:cNvPr id="14" name="타원 13"/>
        <xdr:cNvSpPr/>
      </xdr:nvSpPr>
      <xdr:spPr>
        <a:xfrm>
          <a:off x="28490595" y="5161603"/>
          <a:ext cx="103950" cy="9074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1697918</xdr:colOff>
      <xdr:row>23</xdr:row>
      <xdr:rowOff>54429</xdr:rowOff>
    </xdr:from>
    <xdr:to>
      <xdr:col>22</xdr:col>
      <xdr:colOff>1789132</xdr:colOff>
      <xdr:row>23</xdr:row>
      <xdr:rowOff>138968</xdr:rowOff>
    </xdr:to>
    <xdr:sp macro="" textlink="">
      <xdr:nvSpPr>
        <xdr:cNvPr id="15" name="타원 14"/>
        <xdr:cNvSpPr/>
      </xdr:nvSpPr>
      <xdr:spPr>
        <a:xfrm>
          <a:off x="28634618" y="5159829"/>
          <a:ext cx="91214" cy="8453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1830839</xdr:colOff>
      <xdr:row>23</xdr:row>
      <xdr:rowOff>53245</xdr:rowOff>
    </xdr:from>
    <xdr:to>
      <xdr:col>22</xdr:col>
      <xdr:colOff>1919896</xdr:colOff>
      <xdr:row>23</xdr:row>
      <xdr:rowOff>143837</xdr:rowOff>
    </xdr:to>
    <xdr:sp macro="" textlink="">
      <xdr:nvSpPr>
        <xdr:cNvPr id="16" name="타원 15"/>
        <xdr:cNvSpPr/>
      </xdr:nvSpPr>
      <xdr:spPr>
        <a:xfrm>
          <a:off x="28767539" y="5158645"/>
          <a:ext cx="89057" cy="9059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1955822</xdr:colOff>
      <xdr:row>23</xdr:row>
      <xdr:rowOff>54428</xdr:rowOff>
    </xdr:from>
    <xdr:to>
      <xdr:col>22</xdr:col>
      <xdr:colOff>2054405</xdr:colOff>
      <xdr:row>23</xdr:row>
      <xdr:rowOff>145518</xdr:rowOff>
    </xdr:to>
    <xdr:sp macro="" textlink="">
      <xdr:nvSpPr>
        <xdr:cNvPr id="17" name="타원 16"/>
        <xdr:cNvSpPr/>
      </xdr:nvSpPr>
      <xdr:spPr>
        <a:xfrm>
          <a:off x="28892522" y="5159828"/>
          <a:ext cx="98583" cy="91090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1556969</xdr:colOff>
      <xdr:row>28</xdr:row>
      <xdr:rowOff>23664</xdr:rowOff>
    </xdr:from>
    <xdr:to>
      <xdr:col>22</xdr:col>
      <xdr:colOff>1638944</xdr:colOff>
      <xdr:row>28</xdr:row>
      <xdr:rowOff>101756</xdr:rowOff>
    </xdr:to>
    <xdr:sp macro="" textlink="">
      <xdr:nvSpPr>
        <xdr:cNvPr id="18" name="타원 17"/>
        <xdr:cNvSpPr/>
      </xdr:nvSpPr>
      <xdr:spPr>
        <a:xfrm>
          <a:off x="28493669" y="6012984"/>
          <a:ext cx="81975" cy="7809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1673745</xdr:colOff>
      <xdr:row>28</xdr:row>
      <xdr:rowOff>23230</xdr:rowOff>
    </xdr:from>
    <xdr:to>
      <xdr:col>22</xdr:col>
      <xdr:colOff>1747883</xdr:colOff>
      <xdr:row>28</xdr:row>
      <xdr:rowOff>98146</xdr:rowOff>
    </xdr:to>
    <xdr:sp macro="" textlink="">
      <xdr:nvSpPr>
        <xdr:cNvPr id="19" name="타원 18"/>
        <xdr:cNvSpPr/>
      </xdr:nvSpPr>
      <xdr:spPr>
        <a:xfrm>
          <a:off x="28610445" y="6012550"/>
          <a:ext cx="74138" cy="74916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1679795</xdr:colOff>
      <xdr:row>28</xdr:row>
      <xdr:rowOff>127780</xdr:rowOff>
    </xdr:from>
    <xdr:to>
      <xdr:col>22</xdr:col>
      <xdr:colOff>1754186</xdr:colOff>
      <xdr:row>28</xdr:row>
      <xdr:rowOff>183313</xdr:rowOff>
    </xdr:to>
    <xdr:sp macro="" textlink="">
      <xdr:nvSpPr>
        <xdr:cNvPr id="20" name="타원 19"/>
        <xdr:cNvSpPr/>
      </xdr:nvSpPr>
      <xdr:spPr>
        <a:xfrm>
          <a:off x="28616495" y="6117100"/>
          <a:ext cx="74391" cy="5553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1560335</xdr:colOff>
      <xdr:row>28</xdr:row>
      <xdr:rowOff>131859</xdr:rowOff>
    </xdr:from>
    <xdr:to>
      <xdr:col>22</xdr:col>
      <xdr:colOff>1633687</xdr:colOff>
      <xdr:row>28</xdr:row>
      <xdr:rowOff>184671</xdr:rowOff>
    </xdr:to>
    <xdr:sp macro="" textlink="">
      <xdr:nvSpPr>
        <xdr:cNvPr id="21" name="타원 20"/>
        <xdr:cNvSpPr/>
      </xdr:nvSpPr>
      <xdr:spPr>
        <a:xfrm>
          <a:off x="28497035" y="6121179"/>
          <a:ext cx="73352" cy="52812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06"/>
  <sheetViews>
    <sheetView zoomScale="80" zoomScaleNormal="80" workbookViewId="0">
      <selection activeCell="L75" sqref="L75"/>
    </sheetView>
  </sheetViews>
  <sheetFormatPr defaultColWidth="8.88671875" defaultRowHeight="13.5" x14ac:dyDescent="0.15"/>
  <cols>
    <col min="1" max="1" width="8.88671875" style="1"/>
    <col min="2" max="2" width="35.44140625" style="1" customWidth="1"/>
    <col min="3" max="6" width="7.33203125" style="1" customWidth="1"/>
    <col min="7" max="7" width="6.33203125" style="1" customWidth="1"/>
    <col min="8" max="8" width="8.33203125" style="1" bestFit="1" customWidth="1"/>
    <col min="9" max="9" width="56.5546875" style="1" customWidth="1"/>
    <col min="10" max="10" width="5.44140625" style="1" customWidth="1"/>
    <col min="11" max="11" width="15.77734375" style="1" bestFit="1" customWidth="1"/>
    <col min="12" max="12" width="13" style="1" bestFit="1" customWidth="1"/>
    <col min="13" max="13" width="12.77734375" style="1" bestFit="1" customWidth="1"/>
    <col min="14" max="14" width="18.88671875" style="1" bestFit="1" customWidth="1"/>
    <col min="15" max="15" width="20.6640625" style="1" bestFit="1" customWidth="1"/>
    <col min="16" max="16" width="10.6640625" style="1" bestFit="1" customWidth="1"/>
    <col min="17" max="17" width="8.88671875" style="1"/>
    <col min="18" max="18" width="4.6640625" style="1" customWidth="1"/>
    <col min="19" max="19" width="17.5546875" style="1" bestFit="1" customWidth="1"/>
    <col min="20" max="20" width="8.88671875" style="1"/>
    <col min="21" max="21" width="10.77734375" style="1" bestFit="1" customWidth="1"/>
    <col min="22" max="22" width="4.21875" style="1" customWidth="1"/>
    <col min="23" max="23" width="30" style="1" customWidth="1"/>
    <col min="24" max="16384" width="8.88671875" style="1"/>
  </cols>
  <sheetData>
    <row r="1" spans="2:25" ht="17.25" x14ac:dyDescent="0.15">
      <c r="B1" s="125" t="s">
        <v>312</v>
      </c>
    </row>
    <row r="2" spans="2:25" ht="17.25" thickBot="1" x14ac:dyDescent="0.2">
      <c r="B2" s="108" t="s">
        <v>240</v>
      </c>
      <c r="C2" s="109"/>
      <c r="D2" s="109"/>
      <c r="E2" s="109"/>
      <c r="F2" s="109"/>
      <c r="G2" s="109"/>
      <c r="H2" s="109" t="s">
        <v>295</v>
      </c>
      <c r="I2" s="109" t="s">
        <v>245</v>
      </c>
    </row>
    <row r="3" spans="2:25" ht="16.5" x14ac:dyDescent="0.15">
      <c r="B3" s="110" t="s">
        <v>18</v>
      </c>
      <c r="C3" s="209">
        <v>125</v>
      </c>
      <c r="D3" s="227">
        <v>125</v>
      </c>
      <c r="E3" s="218">
        <v>125</v>
      </c>
      <c r="F3" s="199">
        <v>125</v>
      </c>
      <c r="G3" s="110" t="s">
        <v>1</v>
      </c>
      <c r="H3" s="111">
        <v>1</v>
      </c>
      <c r="I3" s="112" t="s">
        <v>243</v>
      </c>
      <c r="K3" s="251" t="s">
        <v>281</v>
      </c>
      <c r="L3" s="251"/>
      <c r="M3" s="251"/>
      <c r="N3" s="198" t="s">
        <v>527</v>
      </c>
      <c r="O3" s="252" t="s">
        <v>241</v>
      </c>
      <c r="P3" s="252"/>
      <c r="Q3" s="252"/>
      <c r="R3" s="198" t="s">
        <v>527</v>
      </c>
      <c r="S3" s="252" t="s">
        <v>512</v>
      </c>
      <c r="T3" s="252"/>
      <c r="U3" s="252"/>
      <c r="V3" s="198"/>
      <c r="W3" s="251" t="s">
        <v>261</v>
      </c>
      <c r="X3" s="251"/>
      <c r="Y3" s="251"/>
    </row>
    <row r="4" spans="2:25" ht="16.5" x14ac:dyDescent="0.15">
      <c r="B4" s="110" t="s">
        <v>523</v>
      </c>
      <c r="C4" s="209">
        <v>440</v>
      </c>
      <c r="D4" s="228">
        <v>440</v>
      </c>
      <c r="E4" s="218">
        <v>440</v>
      </c>
      <c r="F4" s="199">
        <v>440</v>
      </c>
      <c r="G4" s="110" t="s">
        <v>0</v>
      </c>
      <c r="H4" s="111">
        <v>2</v>
      </c>
      <c r="I4" s="112" t="s">
        <v>244</v>
      </c>
      <c r="K4" s="191" t="s">
        <v>10</v>
      </c>
      <c r="L4" s="192">
        <v>1</v>
      </c>
      <c r="M4" s="191" t="s">
        <v>11</v>
      </c>
      <c r="N4" s="198"/>
      <c r="O4" s="191" t="s">
        <v>20</v>
      </c>
      <c r="P4" s="192">
        <v>600</v>
      </c>
      <c r="Q4" s="191" t="s">
        <v>0</v>
      </c>
      <c r="R4" s="198"/>
      <c r="S4" s="191" t="s">
        <v>212</v>
      </c>
      <c r="T4" s="67" t="s">
        <v>213</v>
      </c>
      <c r="U4" s="67"/>
      <c r="V4" s="198"/>
      <c r="W4" s="69" t="s">
        <v>106</v>
      </c>
      <c r="X4" s="192">
        <v>3.9</v>
      </c>
      <c r="Y4" s="69" t="s">
        <v>15</v>
      </c>
    </row>
    <row r="5" spans="2:25" ht="16.5" x14ac:dyDescent="0.15">
      <c r="B5" s="110" t="s">
        <v>73</v>
      </c>
      <c r="C5" s="210">
        <v>0.9</v>
      </c>
      <c r="D5" s="229">
        <v>0.9</v>
      </c>
      <c r="E5" s="219">
        <v>0.9</v>
      </c>
      <c r="F5" s="147">
        <v>0.9</v>
      </c>
      <c r="G5" s="110"/>
      <c r="H5" s="111"/>
      <c r="I5" s="110" t="s">
        <v>501</v>
      </c>
      <c r="K5" s="191" t="s">
        <v>12</v>
      </c>
      <c r="L5" s="192">
        <v>35</v>
      </c>
      <c r="M5" s="191" t="s">
        <v>13</v>
      </c>
      <c r="N5" s="198"/>
      <c r="O5" s="191" t="s">
        <v>21</v>
      </c>
      <c r="P5" s="192">
        <v>0.62</v>
      </c>
      <c r="Q5" s="191" t="s">
        <v>19</v>
      </c>
      <c r="R5" s="198"/>
      <c r="S5" s="74" t="s">
        <v>214</v>
      </c>
      <c r="T5" s="75">
        <v>1.75</v>
      </c>
      <c r="U5" s="74" t="s">
        <v>215</v>
      </c>
      <c r="V5" s="198"/>
      <c r="W5" s="69" t="s">
        <v>107</v>
      </c>
      <c r="X5" s="192">
        <v>200</v>
      </c>
      <c r="Y5" s="69" t="s">
        <v>2</v>
      </c>
    </row>
    <row r="6" spans="2:25" ht="16.5" x14ac:dyDescent="0.15">
      <c r="B6" s="110" t="s">
        <v>64</v>
      </c>
      <c r="C6" s="211">
        <f t="shared" ref="C6" si="0">ROUND(C3*1000/(C4*0.9)/(3^0.5)/C5,1)</f>
        <v>202.5</v>
      </c>
      <c r="D6" s="230">
        <f t="shared" ref="D6:E6" si="1">ROUND(D3*1000/(D4*0.9)/(3^0.5)/D5,1)</f>
        <v>202.5</v>
      </c>
      <c r="E6" s="220">
        <f t="shared" si="1"/>
        <v>202.5</v>
      </c>
      <c r="F6" s="114">
        <f t="shared" ref="F6" si="2">ROUND(F3*1000/(F4*0.9)/(3^0.5)/F5,1)</f>
        <v>202.5</v>
      </c>
      <c r="G6" s="110" t="s">
        <v>2</v>
      </c>
      <c r="H6" s="111"/>
      <c r="I6" s="110" t="s">
        <v>293</v>
      </c>
      <c r="K6" s="191" t="s">
        <v>14</v>
      </c>
      <c r="L6" s="192">
        <v>9</v>
      </c>
      <c r="M6" s="191" t="s">
        <v>13</v>
      </c>
      <c r="N6" s="198"/>
      <c r="O6" s="191" t="s">
        <v>22</v>
      </c>
      <c r="P6" s="192">
        <v>48</v>
      </c>
      <c r="Q6" s="191" t="s">
        <v>23</v>
      </c>
      <c r="R6" s="198"/>
      <c r="S6" s="74" t="s">
        <v>216</v>
      </c>
      <c r="T6" s="76">
        <v>3.8999999999999998E-3</v>
      </c>
      <c r="U6" s="74" t="s">
        <v>217</v>
      </c>
      <c r="V6" s="198"/>
      <c r="W6" s="69" t="s">
        <v>108</v>
      </c>
      <c r="X6" s="192">
        <v>1500</v>
      </c>
      <c r="Y6" s="69" t="s">
        <v>28</v>
      </c>
    </row>
    <row r="7" spans="2:25" ht="16.5" x14ac:dyDescent="0.15">
      <c r="B7" s="110" t="s">
        <v>51</v>
      </c>
      <c r="C7" s="212">
        <v>2</v>
      </c>
      <c r="D7" s="231">
        <v>2</v>
      </c>
      <c r="E7" s="221">
        <v>2</v>
      </c>
      <c r="F7" s="113">
        <v>2</v>
      </c>
      <c r="G7" s="110" t="s">
        <v>74</v>
      </c>
      <c r="H7" s="111"/>
      <c r="I7" s="110"/>
      <c r="K7" s="191" t="s">
        <v>97</v>
      </c>
      <c r="L7" s="70">
        <f>(L5*L4)*(L5*L4)/(101.6*(4.5*L5+10*L6))</f>
        <v>4.8715501471406984E-2</v>
      </c>
      <c r="M7" s="191" t="s">
        <v>15</v>
      </c>
      <c r="N7" s="198"/>
      <c r="O7" s="191" t="s">
        <v>24</v>
      </c>
      <c r="P7" s="192">
        <v>15000</v>
      </c>
      <c r="Q7" s="191" t="s">
        <v>25</v>
      </c>
      <c r="R7" s="198"/>
      <c r="S7" s="74" t="s">
        <v>218</v>
      </c>
      <c r="T7" s="77">
        <v>45</v>
      </c>
      <c r="U7" s="74" t="s">
        <v>48</v>
      </c>
      <c r="V7" s="198"/>
      <c r="W7" s="69" t="s">
        <v>285</v>
      </c>
      <c r="X7" s="192">
        <v>600</v>
      </c>
      <c r="Y7" s="69" t="s">
        <v>0</v>
      </c>
    </row>
    <row r="8" spans="2:25" ht="16.5" x14ac:dyDescent="0.15">
      <c r="B8" s="110" t="s">
        <v>65</v>
      </c>
      <c r="C8" s="212">
        <f t="shared" ref="C8" si="3">ROUND(C6/C7,0)</f>
        <v>101</v>
      </c>
      <c r="D8" s="231">
        <f t="shared" ref="D8:E8" si="4">ROUND(D6/D7,0)</f>
        <v>101</v>
      </c>
      <c r="E8" s="221">
        <f t="shared" si="4"/>
        <v>101</v>
      </c>
      <c r="F8" s="113">
        <f t="shared" ref="F8" si="5">ROUND(F6/F7,0)</f>
        <v>101</v>
      </c>
      <c r="G8" s="110" t="s">
        <v>3</v>
      </c>
      <c r="H8" s="111"/>
      <c r="I8" s="110"/>
      <c r="K8" s="191" t="s">
        <v>98</v>
      </c>
      <c r="L8" s="192">
        <v>98</v>
      </c>
      <c r="M8" s="191" t="s">
        <v>7</v>
      </c>
      <c r="N8" s="198"/>
      <c r="O8" s="191" t="s">
        <v>26</v>
      </c>
      <c r="P8" s="193">
        <f>(5000*P4)/(P5*P6*P7)</f>
        <v>6.7204301075268829</v>
      </c>
      <c r="Q8" s="191" t="s">
        <v>242</v>
      </c>
      <c r="R8" s="198"/>
      <c r="S8" s="74" t="s">
        <v>219</v>
      </c>
      <c r="T8" s="76">
        <f>T5*(1+T6*(T7-20))</f>
        <v>1.9206249999999998</v>
      </c>
      <c r="U8" s="74" t="s">
        <v>215</v>
      </c>
      <c r="V8" s="198"/>
      <c r="W8" s="69" t="s">
        <v>284</v>
      </c>
      <c r="X8" s="193">
        <f>SQRT(X7^2+X4*X5^2/X6)</f>
        <v>600.08666040831133</v>
      </c>
      <c r="Y8" s="69" t="s">
        <v>0</v>
      </c>
    </row>
    <row r="9" spans="2:25" ht="16.5" x14ac:dyDescent="0.15">
      <c r="B9" s="110"/>
      <c r="C9" s="213"/>
      <c r="D9" s="232"/>
      <c r="E9" s="222"/>
      <c r="F9" s="115"/>
      <c r="G9" s="110"/>
      <c r="H9" s="111"/>
      <c r="I9" s="110"/>
      <c r="K9" s="191" t="s">
        <v>95</v>
      </c>
      <c r="L9" s="70">
        <f>L7*L8/100</f>
        <v>4.7741191441978845E-2</v>
      </c>
      <c r="M9" s="191" t="s">
        <v>15</v>
      </c>
      <c r="N9" s="198"/>
      <c r="O9" s="198"/>
      <c r="P9" s="198"/>
      <c r="Q9" s="198"/>
      <c r="R9" s="198"/>
      <c r="S9" s="74" t="s">
        <v>220</v>
      </c>
      <c r="T9" s="78">
        <f>1/(T8/100000000)</f>
        <v>52066384.64041654</v>
      </c>
      <c r="U9" s="74" t="s">
        <v>221</v>
      </c>
      <c r="V9" s="198"/>
      <c r="W9" s="198"/>
      <c r="X9" s="198"/>
      <c r="Y9" s="198"/>
    </row>
    <row r="10" spans="2:25" ht="16.5" x14ac:dyDescent="0.15">
      <c r="B10" s="110" t="s">
        <v>16</v>
      </c>
      <c r="C10" s="211">
        <f t="shared" ref="C10" si="6">ROUND(C4*2^0.5*0.93,1)</f>
        <v>578.70000000000005</v>
      </c>
      <c r="D10" s="230">
        <f t="shared" ref="D10:E10" si="7">ROUND(D4*2^0.5*0.93,1)</f>
        <v>578.70000000000005</v>
      </c>
      <c r="E10" s="220">
        <f t="shared" si="7"/>
        <v>578.70000000000005</v>
      </c>
      <c r="F10" s="114">
        <f t="shared" ref="F10" si="8">ROUND(F4*2^0.5*0.93,1)</f>
        <v>578.70000000000005</v>
      </c>
      <c r="G10" s="110" t="s">
        <v>0</v>
      </c>
      <c r="H10" s="111"/>
      <c r="I10" s="110" t="s">
        <v>292</v>
      </c>
      <c r="K10" s="69" t="s">
        <v>94</v>
      </c>
      <c r="L10" s="192">
        <v>1.3</v>
      </c>
      <c r="M10" s="191" t="s">
        <v>15</v>
      </c>
      <c r="N10" s="198"/>
      <c r="O10" s="252" t="s">
        <v>542</v>
      </c>
      <c r="P10" s="252"/>
      <c r="Q10" s="252"/>
      <c r="R10" s="198" t="s">
        <v>527</v>
      </c>
      <c r="S10" s="74" t="s">
        <v>222</v>
      </c>
      <c r="T10" s="67">
        <v>1</v>
      </c>
      <c r="U10" s="74" t="s">
        <v>223</v>
      </c>
      <c r="V10" s="198"/>
      <c r="W10" s="251" t="s">
        <v>271</v>
      </c>
      <c r="X10" s="251"/>
      <c r="Y10" s="251"/>
    </row>
    <row r="11" spans="2:25" ht="16.5" x14ac:dyDescent="0.15">
      <c r="B11" s="110" t="s">
        <v>17</v>
      </c>
      <c r="C11" s="211">
        <f t="shared" ref="C11" si="9">ROUND(C3*1000/C10,1)</f>
        <v>216</v>
      </c>
      <c r="D11" s="230">
        <f t="shared" ref="D11:E11" si="10">ROUND(D3*1000/D10,1)</f>
        <v>216</v>
      </c>
      <c r="E11" s="220">
        <f t="shared" si="10"/>
        <v>216</v>
      </c>
      <c r="F11" s="114">
        <f t="shared" ref="F11" si="11">ROUND(F3*1000/F10,1)</f>
        <v>216</v>
      </c>
      <c r="G11" s="110" t="s">
        <v>2</v>
      </c>
      <c r="H11" s="111"/>
      <c r="I11" s="110" t="s">
        <v>294</v>
      </c>
      <c r="K11" s="69" t="s">
        <v>282</v>
      </c>
      <c r="L11" s="192">
        <v>8</v>
      </c>
      <c r="M11" s="191" t="s">
        <v>42</v>
      </c>
      <c r="N11" s="204"/>
      <c r="O11" s="191" t="s">
        <v>20</v>
      </c>
      <c r="P11" s="192">
        <v>900</v>
      </c>
      <c r="Q11" s="191" t="s">
        <v>0</v>
      </c>
      <c r="S11" s="74" t="s">
        <v>37</v>
      </c>
      <c r="T11" s="79">
        <v>1000</v>
      </c>
      <c r="U11" s="74" t="s">
        <v>224</v>
      </c>
      <c r="V11" s="198"/>
      <c r="W11" s="191" t="s">
        <v>108</v>
      </c>
      <c r="X11" s="192">
        <v>2000</v>
      </c>
      <c r="Y11" s="191" t="s">
        <v>28</v>
      </c>
    </row>
    <row r="12" spans="2:25" ht="16.5" x14ac:dyDescent="0.15">
      <c r="B12" s="110"/>
      <c r="C12" s="213"/>
      <c r="D12" s="232"/>
      <c r="E12" s="222"/>
      <c r="F12" s="115"/>
      <c r="G12" s="110"/>
      <c r="H12" s="111"/>
      <c r="I12" s="110"/>
      <c r="K12" s="69" t="s">
        <v>96</v>
      </c>
      <c r="L12" s="192">
        <v>1</v>
      </c>
      <c r="M12" s="191" t="s">
        <v>66</v>
      </c>
      <c r="N12" s="198"/>
      <c r="O12" s="191" t="s">
        <v>21</v>
      </c>
      <c r="P12" s="192">
        <v>0.62</v>
      </c>
      <c r="Q12" s="191" t="s">
        <v>19</v>
      </c>
      <c r="S12" s="74" t="s">
        <v>254</v>
      </c>
      <c r="T12" s="91">
        <f>503.3*SQRT((T8/100000000)/(T10*T11))*1000</f>
        <v>2.205709020034714</v>
      </c>
      <c r="U12" s="74" t="s">
        <v>225</v>
      </c>
      <c r="V12" s="198"/>
      <c r="W12" s="191" t="s">
        <v>110</v>
      </c>
      <c r="X12" s="192">
        <v>600</v>
      </c>
      <c r="Y12" s="191" t="s">
        <v>0</v>
      </c>
    </row>
    <row r="13" spans="2:25" ht="16.5" x14ac:dyDescent="0.15">
      <c r="B13" s="108" t="s">
        <v>239</v>
      </c>
      <c r="C13" s="213"/>
      <c r="D13" s="232"/>
      <c r="E13" s="222"/>
      <c r="F13" s="115"/>
      <c r="G13" s="110"/>
      <c r="H13" s="111"/>
      <c r="I13" s="110"/>
      <c r="K13" s="69" t="s">
        <v>99</v>
      </c>
      <c r="L13" s="80">
        <v>2</v>
      </c>
      <c r="M13" s="191" t="s">
        <v>67</v>
      </c>
      <c r="N13" s="198"/>
      <c r="O13" s="191" t="s">
        <v>22</v>
      </c>
      <c r="P13" s="192">
        <v>78.540000000000006</v>
      </c>
      <c r="Q13" s="191" t="s">
        <v>23</v>
      </c>
      <c r="S13" s="74" t="s">
        <v>255</v>
      </c>
      <c r="T13" s="85">
        <v>6126</v>
      </c>
      <c r="U13" s="74" t="s">
        <v>225</v>
      </c>
      <c r="V13" s="198"/>
      <c r="W13" s="191" t="s">
        <v>107</v>
      </c>
      <c r="X13" s="192">
        <v>400</v>
      </c>
      <c r="Y13" s="191" t="s">
        <v>2</v>
      </c>
    </row>
    <row r="14" spans="2:25" ht="16.5" x14ac:dyDescent="0.15">
      <c r="B14" s="110" t="s">
        <v>75</v>
      </c>
      <c r="C14" s="214">
        <v>7.4</v>
      </c>
      <c r="D14" s="214">
        <v>7.4</v>
      </c>
      <c r="E14" s="214">
        <v>7.4</v>
      </c>
      <c r="F14" s="214">
        <v>7.4</v>
      </c>
      <c r="G14" s="110" t="s">
        <v>15</v>
      </c>
      <c r="H14" s="111">
        <v>3</v>
      </c>
      <c r="I14" s="112" t="s">
        <v>289</v>
      </c>
      <c r="K14" s="69" t="s">
        <v>283</v>
      </c>
      <c r="L14" s="90">
        <f>L9/L12*L13*L11^2+L10</f>
        <v>7.4108725045732919</v>
      </c>
      <c r="M14" s="191" t="s">
        <v>15</v>
      </c>
      <c r="N14" s="198"/>
      <c r="O14" s="191" t="s">
        <v>24</v>
      </c>
      <c r="P14" s="192">
        <v>15000</v>
      </c>
      <c r="Q14" s="191" t="s">
        <v>25</v>
      </c>
      <c r="S14" s="74" t="s">
        <v>280</v>
      </c>
      <c r="T14" s="85">
        <v>5</v>
      </c>
      <c r="U14" s="74" t="s">
        <v>225</v>
      </c>
      <c r="V14" s="198"/>
      <c r="W14" s="191" t="s">
        <v>112</v>
      </c>
      <c r="X14" s="192">
        <v>15000</v>
      </c>
      <c r="Y14" s="191" t="s">
        <v>25</v>
      </c>
    </row>
    <row r="15" spans="2:25" ht="16.5" x14ac:dyDescent="0.15">
      <c r="B15" s="110" t="s">
        <v>76</v>
      </c>
      <c r="C15" s="209">
        <v>15.8</v>
      </c>
      <c r="D15" s="209">
        <v>15.75</v>
      </c>
      <c r="E15" s="209">
        <v>15.75</v>
      </c>
      <c r="F15" s="209">
        <v>15.75</v>
      </c>
      <c r="G15" s="110" t="s">
        <v>28</v>
      </c>
      <c r="H15" s="111">
        <v>4</v>
      </c>
      <c r="I15" s="112" t="s">
        <v>291</v>
      </c>
      <c r="J15" s="2"/>
      <c r="K15" s="198"/>
      <c r="L15" s="198"/>
      <c r="M15" s="198"/>
      <c r="N15" s="198"/>
      <c r="O15" s="191" t="s">
        <v>26</v>
      </c>
      <c r="P15" s="193">
        <f>(5000*P11)/(P12*P13*P14)</f>
        <v>6.1608221001010373</v>
      </c>
      <c r="Q15" s="191" t="s">
        <v>242</v>
      </c>
      <c r="S15" s="74" t="s">
        <v>278</v>
      </c>
      <c r="T15" s="86">
        <f>MIN(T12,T14)</f>
        <v>2.205709020034714</v>
      </c>
      <c r="U15" s="74" t="s">
        <v>225</v>
      </c>
      <c r="V15" s="198"/>
      <c r="W15" s="191" t="s">
        <v>113</v>
      </c>
      <c r="X15" s="70">
        <f>(1.414*X13*0.421)/(2*3.14159*X14*X12*2*X11*0.000001)*2*100</f>
        <v>0.21054236159962883</v>
      </c>
      <c r="Y15" s="191" t="s">
        <v>7</v>
      </c>
    </row>
    <row r="16" spans="2:25" ht="16.5" x14ac:dyDescent="0.15">
      <c r="B16" s="110" t="s">
        <v>77</v>
      </c>
      <c r="C16" s="211">
        <f t="shared" ref="C16" si="12">1000/(2*PI()*(C14*C15)^0.5)</f>
        <v>14.718912661257741</v>
      </c>
      <c r="D16" s="230">
        <f t="shared" ref="D16:E16" si="13">1000/(2*PI()*(D14*D15)^0.5)</f>
        <v>14.742257501718344</v>
      </c>
      <c r="E16" s="220">
        <f t="shared" si="13"/>
        <v>14.742257501718344</v>
      </c>
      <c r="F16" s="114">
        <f t="shared" ref="F16" si="14">1000/(2*PI()*(F14*F15)^0.5)</f>
        <v>14.742257501718344</v>
      </c>
      <c r="G16" s="110" t="s">
        <v>4</v>
      </c>
      <c r="H16" s="111"/>
      <c r="I16" s="110" t="s">
        <v>247</v>
      </c>
      <c r="K16" s="251" t="s">
        <v>226</v>
      </c>
      <c r="L16" s="251"/>
      <c r="M16" s="251"/>
      <c r="N16" s="198" t="s">
        <v>527</v>
      </c>
      <c r="S16" s="74" t="s">
        <v>276</v>
      </c>
      <c r="T16" s="85">
        <v>200</v>
      </c>
      <c r="U16" s="74" t="s">
        <v>225</v>
      </c>
      <c r="V16" s="198"/>
      <c r="W16" s="191" t="s">
        <v>109</v>
      </c>
      <c r="X16" s="193">
        <f>X12*X15/100</f>
        <v>1.263254169597773</v>
      </c>
      <c r="Y16" s="191" t="s">
        <v>0</v>
      </c>
    </row>
    <row r="17" spans="2:25" ht="16.5" x14ac:dyDescent="0.15">
      <c r="B17" s="110" t="s">
        <v>78</v>
      </c>
      <c r="C17" s="209">
        <v>30</v>
      </c>
      <c r="D17" s="228">
        <v>30</v>
      </c>
      <c r="E17" s="218">
        <v>30</v>
      </c>
      <c r="F17" s="199">
        <v>30</v>
      </c>
      <c r="G17" s="110" t="s">
        <v>79</v>
      </c>
      <c r="H17" s="111">
        <v>5</v>
      </c>
      <c r="I17" s="112" t="s">
        <v>272</v>
      </c>
      <c r="K17" s="81" t="s">
        <v>231</v>
      </c>
      <c r="L17" s="82">
        <v>21</v>
      </c>
      <c r="M17" s="81" t="s">
        <v>28</v>
      </c>
      <c r="N17" s="198"/>
      <c r="O17" s="252" t="s">
        <v>525</v>
      </c>
      <c r="P17" s="252"/>
      <c r="Q17" s="252"/>
      <c r="S17" s="74" t="s">
        <v>275</v>
      </c>
      <c r="T17" s="91">
        <f>T15*T16</f>
        <v>441.14180400694283</v>
      </c>
      <c r="U17" s="74" t="s">
        <v>251</v>
      </c>
      <c r="V17" s="198"/>
      <c r="W17" s="191" t="s">
        <v>111</v>
      </c>
      <c r="X17" s="193">
        <f>2*3.14159*X14*X11*0.000001*X16</f>
        <v>238.11760000000007</v>
      </c>
      <c r="Y17" s="191" t="s">
        <v>2</v>
      </c>
    </row>
    <row r="18" spans="2:25" ht="16.5" x14ac:dyDescent="0.15">
      <c r="B18" s="110" t="s">
        <v>80</v>
      </c>
      <c r="C18" s="212">
        <f t="shared" ref="C18" si="15">ROUNDUP(TAN(PI()*C17/180),3)</f>
        <v>0.57799999999999996</v>
      </c>
      <c r="D18" s="231">
        <f t="shared" ref="D18:E18" si="16">ROUNDUP(TAN(PI()*D17/180),3)</f>
        <v>0.57799999999999996</v>
      </c>
      <c r="E18" s="221">
        <f t="shared" si="16"/>
        <v>0.57799999999999996</v>
      </c>
      <c r="F18" s="113">
        <f t="shared" ref="F18" si="17">ROUNDUP(TAN(PI()*F17/180),3)</f>
        <v>0.57799999999999996</v>
      </c>
      <c r="G18" s="110"/>
      <c r="H18" s="111"/>
      <c r="I18" s="110"/>
      <c r="K18" s="81" t="s">
        <v>227</v>
      </c>
      <c r="L18" s="82">
        <v>1</v>
      </c>
      <c r="M18" s="81" t="s">
        <v>234</v>
      </c>
      <c r="N18" s="198"/>
      <c r="O18" s="191" t="s">
        <v>27</v>
      </c>
      <c r="P18" s="192">
        <v>6.7</v>
      </c>
      <c r="Q18" s="191" t="s">
        <v>28</v>
      </c>
      <c r="S18" s="74" t="s">
        <v>256</v>
      </c>
      <c r="T18" s="85">
        <v>1000</v>
      </c>
      <c r="U18" s="68" t="s">
        <v>252</v>
      </c>
      <c r="V18" s="198"/>
      <c r="W18" s="198"/>
    </row>
    <row r="19" spans="2:25" ht="16.5" x14ac:dyDescent="0.15">
      <c r="B19" s="110"/>
      <c r="C19" s="213"/>
      <c r="D19" s="232"/>
      <c r="E19" s="222"/>
      <c r="F19" s="115"/>
      <c r="G19" s="110"/>
      <c r="H19" s="111"/>
      <c r="I19" s="110"/>
      <c r="K19" s="81" t="s">
        <v>229</v>
      </c>
      <c r="L19" s="82">
        <v>500</v>
      </c>
      <c r="M19" s="81" t="s">
        <v>0</v>
      </c>
      <c r="N19" s="198"/>
      <c r="O19" s="191" t="s">
        <v>29</v>
      </c>
      <c r="P19" s="192">
        <v>4.42</v>
      </c>
      <c r="Q19" s="191" t="s">
        <v>15</v>
      </c>
      <c r="S19" s="74" t="s">
        <v>515</v>
      </c>
      <c r="T19" s="87">
        <f>T18/T17</f>
        <v>2.2668447898541522</v>
      </c>
      <c r="U19" s="68" t="s">
        <v>252</v>
      </c>
      <c r="V19" s="198"/>
      <c r="W19" s="251" t="s">
        <v>510</v>
      </c>
      <c r="X19" s="251"/>
      <c r="Y19" s="251"/>
    </row>
    <row r="20" spans="2:25" ht="16.5" x14ac:dyDescent="0.15">
      <c r="B20" s="110" t="s">
        <v>41</v>
      </c>
      <c r="C20" s="214">
        <v>3</v>
      </c>
      <c r="D20" s="233">
        <v>4.3</v>
      </c>
      <c r="E20" s="223">
        <v>6</v>
      </c>
      <c r="F20" s="202">
        <v>8</v>
      </c>
      <c r="G20" s="110"/>
      <c r="H20" s="111">
        <v>6</v>
      </c>
      <c r="I20" s="112" t="s">
        <v>290</v>
      </c>
      <c r="K20" s="81" t="s">
        <v>230</v>
      </c>
      <c r="L20" s="82">
        <v>1000</v>
      </c>
      <c r="M20" s="81" t="s">
        <v>2</v>
      </c>
      <c r="N20" s="198"/>
      <c r="O20" s="191" t="s">
        <v>30</v>
      </c>
      <c r="P20" s="193">
        <f>1/(2*3.14*SQRT((P18/1000000)*(P19/1000000)))</f>
        <v>29261.17895792114</v>
      </c>
      <c r="Q20" s="191" t="s">
        <v>31</v>
      </c>
      <c r="S20" s="74" t="s">
        <v>257</v>
      </c>
      <c r="T20" s="87">
        <f>T8/100000000*(T18^2)/(T17/1000000)*T13/1000</f>
        <v>266.71126252670501</v>
      </c>
      <c r="U20" s="68" t="s">
        <v>253</v>
      </c>
      <c r="V20" s="198"/>
      <c r="W20" s="149" t="s">
        <v>504</v>
      </c>
      <c r="X20" s="110">
        <v>0.9133</v>
      </c>
      <c r="Y20" s="110" t="s">
        <v>503</v>
      </c>
    </row>
    <row r="21" spans="2:25" ht="16.5" x14ac:dyDescent="0.15">
      <c r="B21" s="110" t="s">
        <v>81</v>
      </c>
      <c r="C21" s="215">
        <f t="shared" ref="C21" si="18">C16*((C18/C20)+(((C18/C20)^2+4)^0.5))/2</f>
        <v>16.204973434459014</v>
      </c>
      <c r="D21" s="234">
        <f t="shared" ref="D21:E21" si="19">D16*((D18/D20)+(((D18/D20)^2+4)^0.5))/2</f>
        <v>15.766332881796053</v>
      </c>
      <c r="E21" s="224">
        <f t="shared" si="19"/>
        <v>15.469434220834307</v>
      </c>
      <c r="F21" s="180">
        <f t="shared" ref="F21" si="20">F16*((F18/F20)+(((F18/F20)^2+4)^0.5))/2</f>
        <v>15.284437855828537</v>
      </c>
      <c r="G21" s="110" t="s">
        <v>4</v>
      </c>
      <c r="H21" s="111"/>
      <c r="I21" s="117" t="s">
        <v>270</v>
      </c>
      <c r="K21" s="81" t="s">
        <v>228</v>
      </c>
      <c r="L21" s="82">
        <v>1</v>
      </c>
      <c r="M21" s="81" t="s">
        <v>234</v>
      </c>
      <c r="N21" s="198"/>
      <c r="O21" s="198"/>
      <c r="P21" s="198"/>
      <c r="Q21" s="198"/>
      <c r="S21" s="198"/>
      <c r="T21" s="198"/>
      <c r="U21" s="198"/>
      <c r="V21" s="198"/>
      <c r="W21" s="81" t="s">
        <v>505</v>
      </c>
      <c r="X21" s="124">
        <v>3</v>
      </c>
      <c r="Y21" s="110" t="s">
        <v>328</v>
      </c>
    </row>
    <row r="22" spans="2:25" ht="16.5" x14ac:dyDescent="0.15">
      <c r="B22" s="110" t="s">
        <v>311</v>
      </c>
      <c r="C22" s="212">
        <f t="shared" ref="C22" si="21">2*PI()*C16*C14</f>
        <v>684.36425270446932</v>
      </c>
      <c r="D22" s="231">
        <f t="shared" ref="D22:E22" si="22">2*PI()*D16*D14</f>
        <v>685.44968439796503</v>
      </c>
      <c r="E22" s="221">
        <f t="shared" si="22"/>
        <v>685.44968439796503</v>
      </c>
      <c r="F22" s="113">
        <f t="shared" ref="F22" si="23">2*PI()*F16*F14</f>
        <v>685.44968439796503</v>
      </c>
      <c r="G22" s="110" t="s">
        <v>83</v>
      </c>
      <c r="H22" s="111"/>
      <c r="I22" s="110"/>
      <c r="K22" s="81" t="s">
        <v>235</v>
      </c>
      <c r="L22" s="82">
        <v>4</v>
      </c>
      <c r="M22" s="81" t="s">
        <v>67</v>
      </c>
      <c r="N22" s="198"/>
      <c r="O22" s="252" t="s">
        <v>248</v>
      </c>
      <c r="P22" s="252"/>
      <c r="Q22" s="252"/>
      <c r="S22" s="252" t="s">
        <v>513</v>
      </c>
      <c r="T22" s="252"/>
      <c r="U22" s="252"/>
      <c r="V22" s="198"/>
      <c r="W22" s="81" t="s">
        <v>506</v>
      </c>
      <c r="X22" s="148">
        <f>X20*X21</f>
        <v>2.7399</v>
      </c>
      <c r="Y22" s="110" t="s">
        <v>503</v>
      </c>
    </row>
    <row r="23" spans="2:25" ht="16.5" x14ac:dyDescent="0.15">
      <c r="B23" s="110" t="s">
        <v>82</v>
      </c>
      <c r="C23" s="212">
        <f t="shared" ref="C23" si="24">2*PI()*C21*C14</f>
        <v>753.45949730105008</v>
      </c>
      <c r="D23" s="231">
        <f t="shared" ref="D23:E23" si="25">2*PI()*D21*D14</f>
        <v>733.0646542214248</v>
      </c>
      <c r="E23" s="221">
        <f t="shared" si="25"/>
        <v>719.26018136978132</v>
      </c>
      <c r="F23" s="113">
        <f t="shared" ref="F23" si="26">2*PI()*F21*F14</f>
        <v>710.65866969538581</v>
      </c>
      <c r="G23" s="110" t="s">
        <v>83</v>
      </c>
      <c r="H23" s="111"/>
      <c r="I23" s="110"/>
      <c r="K23" s="81" t="s">
        <v>236</v>
      </c>
      <c r="L23" s="82">
        <v>3</v>
      </c>
      <c r="M23" s="81" t="s">
        <v>66</v>
      </c>
      <c r="N23" s="198"/>
      <c r="O23" s="191" t="s">
        <v>32</v>
      </c>
      <c r="P23" s="192">
        <v>10</v>
      </c>
      <c r="Q23" s="191" t="s">
        <v>33</v>
      </c>
      <c r="S23" s="191" t="s">
        <v>212</v>
      </c>
      <c r="T23" s="67" t="s">
        <v>213</v>
      </c>
      <c r="U23" s="67"/>
      <c r="V23" s="198"/>
      <c r="W23" s="81"/>
      <c r="X23" s="110"/>
      <c r="Y23" s="110"/>
    </row>
    <row r="24" spans="2:25" ht="16.5" x14ac:dyDescent="0.15">
      <c r="B24" s="110" t="s">
        <v>84</v>
      </c>
      <c r="C24" s="212">
        <f t="shared" ref="C24" si="27">1000000/(2*PI()*C21*C15)</f>
        <v>621.60531794665587</v>
      </c>
      <c r="D24" s="231">
        <f t="shared" ref="D24:E24" si="28">1000000/(2*PI()*D21*D15)</f>
        <v>640.92746408607036</v>
      </c>
      <c r="E24" s="221">
        <f t="shared" si="28"/>
        <v>653.22852843944395</v>
      </c>
      <c r="F24" s="113">
        <f t="shared" ref="F24" si="29">1000000/(2*PI()*F21*F15)</f>
        <v>661.13492999763287</v>
      </c>
      <c r="G24" s="110" t="s">
        <v>83</v>
      </c>
      <c r="H24" s="111"/>
      <c r="I24" s="110"/>
      <c r="K24" s="81" t="s">
        <v>262</v>
      </c>
      <c r="L24" s="89">
        <f>L17*(L21/L18)*L23/L22</f>
        <v>15.75</v>
      </c>
      <c r="M24" s="81" t="s">
        <v>28</v>
      </c>
      <c r="N24" s="198"/>
      <c r="O24" s="191" t="s">
        <v>34</v>
      </c>
      <c r="P24" s="192">
        <v>29.2</v>
      </c>
      <c r="Q24" s="191" t="s">
        <v>4</v>
      </c>
      <c r="S24" s="74" t="s">
        <v>214</v>
      </c>
      <c r="T24" s="75">
        <v>1.75</v>
      </c>
      <c r="U24" s="74" t="s">
        <v>215</v>
      </c>
      <c r="V24" s="198"/>
      <c r="W24" s="149" t="s">
        <v>507</v>
      </c>
      <c r="X24" s="110">
        <v>0.48</v>
      </c>
      <c r="Y24" s="110" t="s">
        <v>503</v>
      </c>
    </row>
    <row r="25" spans="2:25" ht="16.5" x14ac:dyDescent="0.15">
      <c r="B25" s="110" t="s">
        <v>68</v>
      </c>
      <c r="C25" s="212">
        <f t="shared" ref="C25" si="30">C22/C20</f>
        <v>228.12141756815643</v>
      </c>
      <c r="D25" s="231">
        <f t="shared" ref="D25:E25" si="31">D22/D20</f>
        <v>159.40690334836395</v>
      </c>
      <c r="E25" s="221">
        <f t="shared" si="31"/>
        <v>114.2416140663275</v>
      </c>
      <c r="F25" s="113">
        <f t="shared" ref="F25" si="32">F22/F20</f>
        <v>85.681210549745629</v>
      </c>
      <c r="G25" s="110" t="s">
        <v>83</v>
      </c>
      <c r="H25" s="111"/>
      <c r="I25" s="110"/>
      <c r="K25" s="81" t="s">
        <v>232</v>
      </c>
      <c r="L25" s="83">
        <f>L19*L22</f>
        <v>2000</v>
      </c>
      <c r="M25" s="81" t="s">
        <v>0</v>
      </c>
      <c r="N25" s="198"/>
      <c r="O25" s="191" t="s">
        <v>35</v>
      </c>
      <c r="P25" s="192">
        <v>1400</v>
      </c>
      <c r="Q25" s="191" t="s">
        <v>2</v>
      </c>
      <c r="S25" s="74" t="s">
        <v>216</v>
      </c>
      <c r="T25" s="76">
        <v>3.8999999999999998E-3</v>
      </c>
      <c r="U25" s="74" t="s">
        <v>217</v>
      </c>
      <c r="V25" s="198"/>
      <c r="W25" s="81" t="s">
        <v>508</v>
      </c>
      <c r="X25" s="124">
        <v>3</v>
      </c>
      <c r="Y25" s="110" t="s">
        <v>328</v>
      </c>
    </row>
    <row r="26" spans="2:25" ht="16.5" x14ac:dyDescent="0.15">
      <c r="B26" s="110"/>
      <c r="C26" s="212">
        <f>C25/8^2</f>
        <v>3.5643971495024442</v>
      </c>
      <c r="D26" s="231">
        <f t="shared" ref="D26:F26" si="33">D25/8^2</f>
        <v>2.4907328648181868</v>
      </c>
      <c r="E26" s="221">
        <f t="shared" si="33"/>
        <v>1.7850252197863672</v>
      </c>
      <c r="F26" s="113">
        <f t="shared" si="33"/>
        <v>1.3387689148397754</v>
      </c>
      <c r="G26" s="110"/>
      <c r="H26" s="111"/>
      <c r="I26" s="110"/>
      <c r="K26" s="81"/>
      <c r="L26" s="83"/>
      <c r="M26" s="81"/>
      <c r="N26" s="198"/>
      <c r="O26" s="191"/>
      <c r="P26" s="192"/>
      <c r="Q26" s="191"/>
      <c r="S26" s="74"/>
      <c r="T26" s="76"/>
      <c r="U26" s="74"/>
      <c r="V26" s="198"/>
      <c r="W26" s="81"/>
      <c r="X26" s="124"/>
      <c r="Y26" s="110"/>
    </row>
    <row r="27" spans="2:25" ht="16.5" x14ac:dyDescent="0.15">
      <c r="B27" s="110" t="s">
        <v>85</v>
      </c>
      <c r="C27" s="212">
        <f>(C25^2+(C23-C24)^2)^0.5</f>
        <v>263.48606370456474</v>
      </c>
      <c r="D27" s="231">
        <f>(D25^2+(D23-D24)^2)^0.5</f>
        <v>184.11904475407511</v>
      </c>
      <c r="E27" s="221">
        <f>(E25^2+(E23-E24)^2)^0.5</f>
        <v>131.95198207375384</v>
      </c>
      <c r="F27" s="113">
        <f t="shared" ref="F27" si="34">(F25^2+(F23-F24)^2)^0.5</f>
        <v>98.96398655531533</v>
      </c>
      <c r="G27" s="110" t="s">
        <v>83</v>
      </c>
      <c r="H27" s="111"/>
      <c r="I27" s="110"/>
      <c r="K27" s="81" t="s">
        <v>233</v>
      </c>
      <c r="L27" s="83">
        <f>L20*(L21/L18)*L23</f>
        <v>3000</v>
      </c>
      <c r="M27" s="81" t="s">
        <v>2</v>
      </c>
      <c r="N27" s="198"/>
      <c r="O27" s="191" t="s">
        <v>36</v>
      </c>
      <c r="P27" s="193">
        <f>(P25)/(2*3.14*P24*1000*(P23/1000000))</f>
        <v>763.45868597853587</v>
      </c>
      <c r="Q27" s="191" t="s">
        <v>0</v>
      </c>
      <c r="S27" s="74" t="s">
        <v>218</v>
      </c>
      <c r="T27" s="77">
        <v>45</v>
      </c>
      <c r="U27" s="74" t="s">
        <v>48</v>
      </c>
      <c r="V27" s="198"/>
      <c r="W27" s="81" t="s">
        <v>509</v>
      </c>
      <c r="X27" s="148">
        <f>X24*X25</f>
        <v>1.44</v>
      </c>
      <c r="Y27" s="110" t="s">
        <v>503</v>
      </c>
    </row>
    <row r="28" spans="2:25" ht="16.5" x14ac:dyDescent="0.15">
      <c r="B28" s="110"/>
      <c r="C28" s="213"/>
      <c r="D28" s="232"/>
      <c r="E28" s="222"/>
      <c r="F28" s="115"/>
      <c r="G28" s="110"/>
      <c r="H28" s="111"/>
      <c r="I28" s="110"/>
      <c r="K28" s="81" t="s">
        <v>47</v>
      </c>
      <c r="L28" s="83">
        <f>L25*L27/1000</f>
        <v>6000</v>
      </c>
      <c r="M28" s="81" t="s">
        <v>47</v>
      </c>
      <c r="N28" s="198"/>
      <c r="O28" s="198"/>
      <c r="P28" s="198"/>
      <c r="Q28" s="198"/>
      <c r="S28" s="74" t="s">
        <v>219</v>
      </c>
      <c r="T28" s="76">
        <f>T24*(1+T25*(T27-20))</f>
        <v>1.9206249999999998</v>
      </c>
      <c r="U28" s="74" t="s">
        <v>215</v>
      </c>
      <c r="V28" s="198"/>
      <c r="W28" s="81"/>
      <c r="X28" s="110"/>
      <c r="Y28" s="110"/>
    </row>
    <row r="29" spans="2:25" ht="16.5" x14ac:dyDescent="0.15">
      <c r="B29" s="110" t="s">
        <v>105</v>
      </c>
      <c r="C29" s="216">
        <f>(C3*1000000/C25)^0.5</f>
        <v>740.23902250721017</v>
      </c>
      <c r="D29" s="235">
        <f>(D3*1000000/D25)^0.5</f>
        <v>885.52625859410023</v>
      </c>
      <c r="E29" s="225">
        <f>(E3*1000000/E25)^0.5</f>
        <v>1046.026871454163</v>
      </c>
      <c r="F29" s="116">
        <f t="shared" ref="F29" si="35">(F3*1000000/F25)^0.5</f>
        <v>1207.8477916272861</v>
      </c>
      <c r="G29" s="110" t="s">
        <v>2</v>
      </c>
      <c r="H29" s="111"/>
      <c r="I29" s="117" t="s">
        <v>269</v>
      </c>
      <c r="K29" s="198"/>
      <c r="L29" s="198"/>
      <c r="M29" s="198"/>
      <c r="N29" s="198"/>
      <c r="O29" s="252" t="s">
        <v>249</v>
      </c>
      <c r="P29" s="252"/>
      <c r="Q29" s="252"/>
      <c r="S29" s="74" t="s">
        <v>220</v>
      </c>
      <c r="T29" s="78">
        <f>1/(T28/100000000)</f>
        <v>52066384.64041654</v>
      </c>
      <c r="U29" s="74" t="s">
        <v>221</v>
      </c>
      <c r="V29" s="198"/>
      <c r="W29" s="149" t="s">
        <v>507</v>
      </c>
      <c r="X29" s="110">
        <v>0.4133</v>
      </c>
      <c r="Y29" s="110" t="s">
        <v>503</v>
      </c>
    </row>
    <row r="30" spans="2:25" ht="16.5" x14ac:dyDescent="0.15">
      <c r="B30" s="110" t="s">
        <v>103</v>
      </c>
      <c r="C30" s="212">
        <f>C29*C25/1000</f>
        <v>168.86437515361123</v>
      </c>
      <c r="D30" s="231">
        <f>D29*D25/1000</f>
        <v>141.15899871614809</v>
      </c>
      <c r="E30" s="221">
        <f>E29*E25/1000</f>
        <v>119.49979815167447</v>
      </c>
      <c r="F30" s="113">
        <f t="shared" ref="F30" si="36">F29*F25/1000</f>
        <v>103.4898609464628</v>
      </c>
      <c r="G30" s="110" t="s">
        <v>0</v>
      </c>
      <c r="H30" s="111"/>
      <c r="I30" s="110"/>
      <c r="K30" s="251" t="s">
        <v>237</v>
      </c>
      <c r="L30" s="251"/>
      <c r="M30" s="251"/>
      <c r="N30" s="198"/>
      <c r="O30" s="69" t="s">
        <v>152</v>
      </c>
      <c r="P30" s="192">
        <v>500</v>
      </c>
      <c r="Q30" s="191" t="s">
        <v>153</v>
      </c>
      <c r="S30" s="74" t="s">
        <v>222</v>
      </c>
      <c r="T30" s="67">
        <v>1</v>
      </c>
      <c r="U30" s="74" t="s">
        <v>223</v>
      </c>
      <c r="V30" s="198"/>
      <c r="W30" s="81" t="s">
        <v>508</v>
      </c>
      <c r="X30" s="124">
        <v>2.5</v>
      </c>
      <c r="Y30" s="110" t="s">
        <v>328</v>
      </c>
    </row>
    <row r="31" spans="2:25" ht="16.5" x14ac:dyDescent="0.15">
      <c r="B31" s="110" t="s">
        <v>307</v>
      </c>
      <c r="C31" s="216">
        <f>C29/(2*3.14159*C21*1000*C15/1000000)</f>
        <v>460.13690160313001</v>
      </c>
      <c r="D31" s="235">
        <f>D29/(2*3.14159*D21*1000*D15/1000000)</f>
        <v>567.55857869856516</v>
      </c>
      <c r="E31" s="225">
        <f>E29/(2*3.14159*E21*1000*E15/1000000)</f>
        <v>683.2951711028586</v>
      </c>
      <c r="F31" s="116">
        <f t="shared" ref="F31" si="37">F29/(2*3.14159*F21*1000*F15/1000000)</f>
        <v>798.55103967250898</v>
      </c>
      <c r="G31" s="110" t="s">
        <v>0</v>
      </c>
      <c r="H31" s="111"/>
      <c r="I31" s="117" t="s">
        <v>71</v>
      </c>
      <c r="K31" s="69" t="s">
        <v>37</v>
      </c>
      <c r="L31" s="192">
        <v>19760</v>
      </c>
      <c r="M31" s="69" t="s">
        <v>25</v>
      </c>
      <c r="N31" s="198"/>
      <c r="O31" s="69" t="s">
        <v>154</v>
      </c>
      <c r="P31" s="192">
        <v>2.2000000000000002</v>
      </c>
      <c r="Q31" s="191" t="s">
        <v>155</v>
      </c>
      <c r="S31" s="74" t="s">
        <v>37</v>
      </c>
      <c r="T31" s="79">
        <v>1000</v>
      </c>
      <c r="U31" s="74" t="s">
        <v>224</v>
      </c>
      <c r="V31" s="198"/>
      <c r="W31" s="81" t="s">
        <v>509</v>
      </c>
      <c r="X31" s="148">
        <f>X29*X30</f>
        <v>1.03325</v>
      </c>
      <c r="Y31" s="110" t="s">
        <v>503</v>
      </c>
    </row>
    <row r="32" spans="2:25" ht="16.5" x14ac:dyDescent="0.15">
      <c r="B32" s="110" t="s">
        <v>104</v>
      </c>
      <c r="C32" s="212">
        <f t="shared" ref="C32" si="38">C29*C27/1000</f>
        <v>195.04266624093952</v>
      </c>
      <c r="D32" s="231">
        <f t="shared" ref="D32:E32" si="39">D29*D27/1000</f>
        <v>163.04224883699584</v>
      </c>
      <c r="E32" s="221">
        <f t="shared" si="39"/>
        <v>138.02531899078451</v>
      </c>
      <c r="F32" s="113">
        <f t="shared" ref="F32" si="40">F29*F27/1000</f>
        <v>119.53343261147005</v>
      </c>
      <c r="G32" s="110" t="s">
        <v>0</v>
      </c>
      <c r="H32" s="111"/>
      <c r="I32" s="110"/>
      <c r="K32" s="69" t="s">
        <v>52</v>
      </c>
      <c r="L32" s="192">
        <v>40</v>
      </c>
      <c r="M32" s="69" t="s">
        <v>28</v>
      </c>
      <c r="N32" s="198"/>
      <c r="O32" s="69" t="s">
        <v>158</v>
      </c>
      <c r="P32" s="192">
        <v>2</v>
      </c>
      <c r="Q32" s="191" t="s">
        <v>159</v>
      </c>
      <c r="S32" s="74" t="s">
        <v>254</v>
      </c>
      <c r="T32" s="91">
        <f>503.3*SQRT((T28/100000000)/(T30*T31))*1000</f>
        <v>2.205709020034714</v>
      </c>
      <c r="U32" s="74" t="s">
        <v>225</v>
      </c>
      <c r="V32" s="198"/>
      <c r="W32" s="198"/>
    </row>
    <row r="33" spans="2:26" ht="16.5" x14ac:dyDescent="0.15">
      <c r="B33" s="110" t="s">
        <v>102</v>
      </c>
      <c r="C33" s="212">
        <f>ROUNDUP(COS(PI()*C17/180),3)</f>
        <v>0.86699999999999999</v>
      </c>
      <c r="D33" s="231">
        <f>ROUNDUP(COS(PI()*D17/180),3)</f>
        <v>0.86699999999999999</v>
      </c>
      <c r="E33" s="221">
        <f>ROUNDUP(COS(PI()*E17/180),3)</f>
        <v>0.86699999999999999</v>
      </c>
      <c r="F33" s="113">
        <f t="shared" ref="F33" si="41">ROUNDUP(COS(PI()*F17/180),3)</f>
        <v>0.86699999999999999</v>
      </c>
      <c r="G33" s="110"/>
      <c r="H33" s="111"/>
      <c r="I33" s="110"/>
      <c r="K33" s="69" t="s">
        <v>53</v>
      </c>
      <c r="L33" s="192">
        <v>53.4</v>
      </c>
      <c r="M33" s="69" t="s">
        <v>2</v>
      </c>
      <c r="N33" s="198"/>
      <c r="O33" s="69" t="s">
        <v>162</v>
      </c>
      <c r="P33" s="192">
        <v>3</v>
      </c>
      <c r="Q33" s="191"/>
      <c r="S33" s="74" t="s">
        <v>255</v>
      </c>
      <c r="T33" s="85">
        <v>6126</v>
      </c>
      <c r="U33" s="74" t="s">
        <v>225</v>
      </c>
      <c r="V33" s="198"/>
      <c r="W33" s="252" t="s">
        <v>517</v>
      </c>
      <c r="X33" s="252"/>
      <c r="Y33" s="252"/>
      <c r="Z33" s="198" t="s">
        <v>527</v>
      </c>
    </row>
    <row r="34" spans="2:26" ht="16.5" x14ac:dyDescent="0.15">
      <c r="B34" s="110" t="s">
        <v>101</v>
      </c>
      <c r="C34" s="217">
        <f>C31/(C25*C29/1000)</f>
        <v>2.7248903220975782</v>
      </c>
      <c r="D34" s="236">
        <f>D31/(D25*D29/1000)</f>
        <v>4.0207041978234042</v>
      </c>
      <c r="E34" s="226">
        <f>E31/(E25*E29/1000)</f>
        <v>5.7179608808676807</v>
      </c>
      <c r="F34" s="118">
        <f t="shared" ref="F34" si="42">F31/(F25*F29/1000)</f>
        <v>7.7162248781609053</v>
      </c>
      <c r="G34" s="110"/>
      <c r="H34" s="111"/>
      <c r="I34" s="117" t="s">
        <v>267</v>
      </c>
      <c r="K34" s="69" t="s">
        <v>54</v>
      </c>
      <c r="L34" s="192">
        <v>9.5</v>
      </c>
      <c r="M34" s="69" t="s">
        <v>1</v>
      </c>
      <c r="N34" s="198"/>
      <c r="O34" s="69" t="s">
        <v>165</v>
      </c>
      <c r="P34" s="70">
        <f>P31*P32*P33*2</f>
        <v>26.400000000000002</v>
      </c>
      <c r="Q34" s="191" t="s">
        <v>155</v>
      </c>
      <c r="S34" s="74" t="s">
        <v>279</v>
      </c>
      <c r="T34" s="85">
        <v>2</v>
      </c>
      <c r="U34" s="74" t="s">
        <v>225</v>
      </c>
      <c r="V34" s="198"/>
      <c r="W34" s="191" t="s">
        <v>518</v>
      </c>
      <c r="X34" s="192">
        <v>380</v>
      </c>
      <c r="Y34" s="191" t="s">
        <v>0</v>
      </c>
    </row>
    <row r="35" spans="2:26" ht="16.5" x14ac:dyDescent="0.15">
      <c r="B35" s="110" t="s">
        <v>308</v>
      </c>
      <c r="C35" s="216">
        <f>C31+C29*C18*C25/1000</f>
        <v>557.74051044191731</v>
      </c>
      <c r="D35" s="235">
        <f>D31+D29*D18*D25/1000</f>
        <v>649.1484799564987</v>
      </c>
      <c r="E35" s="225">
        <f>E31+E29*E18*E25/1000</f>
        <v>752.3660544345264</v>
      </c>
      <c r="F35" s="116">
        <f t="shared" ref="F35" si="43">F31+F29*F18*F25/1000</f>
        <v>858.36817929956442</v>
      </c>
      <c r="G35" s="110" t="s">
        <v>0</v>
      </c>
      <c r="H35" s="111"/>
      <c r="I35" s="117" t="s">
        <v>266</v>
      </c>
      <c r="K35" s="69" t="s">
        <v>286</v>
      </c>
      <c r="L35" s="192">
        <v>14</v>
      </c>
      <c r="M35" s="69" t="s">
        <v>42</v>
      </c>
      <c r="N35" s="198"/>
      <c r="O35" s="69" t="s">
        <v>168</v>
      </c>
      <c r="P35" s="192">
        <v>1</v>
      </c>
      <c r="Q35" s="191" t="s">
        <v>169</v>
      </c>
      <c r="S35" s="74" t="s">
        <v>278</v>
      </c>
      <c r="T35" s="86">
        <f>MIN(T32,T34)</f>
        <v>2</v>
      </c>
      <c r="U35" s="74" t="s">
        <v>225</v>
      </c>
      <c r="V35" s="198"/>
      <c r="W35" s="191" t="s">
        <v>64</v>
      </c>
      <c r="X35" s="192">
        <v>75</v>
      </c>
      <c r="Y35" s="191" t="s">
        <v>2</v>
      </c>
    </row>
    <row r="36" spans="2:26" ht="16.5" x14ac:dyDescent="0.15">
      <c r="B36" s="110"/>
      <c r="C36" s="213"/>
      <c r="D36" s="232"/>
      <c r="E36" s="222"/>
      <c r="F36" s="115"/>
      <c r="G36" s="110"/>
      <c r="H36" s="111"/>
      <c r="I36" s="110"/>
      <c r="K36" s="69" t="s">
        <v>55</v>
      </c>
      <c r="L36" s="70">
        <f>(L33*L35)/(2*3.1415*L31*(L32/1000000))</f>
        <v>150.54117498474449</v>
      </c>
      <c r="M36" s="69" t="s">
        <v>56</v>
      </c>
      <c r="N36" s="198"/>
      <c r="O36" s="69" t="s">
        <v>170</v>
      </c>
      <c r="P36" s="192">
        <v>100</v>
      </c>
      <c r="Q36" s="191" t="s">
        <v>171</v>
      </c>
      <c r="S36" s="74" t="s">
        <v>258</v>
      </c>
      <c r="T36" s="85">
        <v>30</v>
      </c>
      <c r="U36" s="74" t="s">
        <v>225</v>
      </c>
      <c r="V36" s="198"/>
      <c r="W36" s="191" t="s">
        <v>521</v>
      </c>
      <c r="X36" s="193">
        <f>X34</f>
        <v>380</v>
      </c>
      <c r="Y36" s="191" t="s">
        <v>519</v>
      </c>
    </row>
    <row r="37" spans="2:26" ht="16.5" x14ac:dyDescent="0.15">
      <c r="B37" s="110" t="s">
        <v>86</v>
      </c>
      <c r="C37" s="212">
        <v>1</v>
      </c>
      <c r="D37" s="231">
        <v>1</v>
      </c>
      <c r="E37" s="221">
        <v>1</v>
      </c>
      <c r="F37" s="113">
        <v>1</v>
      </c>
      <c r="G37" s="110"/>
      <c r="H37" s="111"/>
      <c r="I37" s="110" t="s">
        <v>87</v>
      </c>
      <c r="K37" s="69" t="s">
        <v>57</v>
      </c>
      <c r="L37" s="70">
        <f>L33*L35</f>
        <v>747.6</v>
      </c>
      <c r="M37" s="69"/>
      <c r="N37" s="198"/>
      <c r="O37" s="69" t="s">
        <v>172</v>
      </c>
      <c r="P37" s="192">
        <v>1</v>
      </c>
      <c r="Q37" s="191" t="s">
        <v>173</v>
      </c>
      <c r="S37" s="74" t="s">
        <v>277</v>
      </c>
      <c r="T37" s="91">
        <f>(PI()*(T36/2)^2)-(PI()*(T36/2-T35)^2)</f>
        <v>175.92918860102839</v>
      </c>
      <c r="U37" s="74" t="s">
        <v>251</v>
      </c>
      <c r="V37" s="198"/>
      <c r="W37" s="191" t="s">
        <v>522</v>
      </c>
      <c r="X37" s="193">
        <f>X35*1.25</f>
        <v>93.75</v>
      </c>
      <c r="Y37" s="191" t="s">
        <v>520</v>
      </c>
    </row>
    <row r="38" spans="2:26" ht="16.5" x14ac:dyDescent="0.15">
      <c r="B38" s="110" t="s">
        <v>309</v>
      </c>
      <c r="C38" s="212">
        <f>C10/C37*4/PI()/2^0.5</f>
        <v>521.01305216011724</v>
      </c>
      <c r="D38" s="231">
        <f>D10/D37*4/PI()/2^0.5</f>
        <v>521.01305216011724</v>
      </c>
      <c r="E38" s="221">
        <f>E10/E37*4/PI()/2^0.5</f>
        <v>521.01305216011724</v>
      </c>
      <c r="F38" s="113">
        <f t="shared" ref="F38" si="44">F10/F37*4/PI()/2^0.5</f>
        <v>521.01305216011724</v>
      </c>
      <c r="G38" s="110" t="s">
        <v>0</v>
      </c>
      <c r="H38" s="111"/>
      <c r="I38" s="110" t="s">
        <v>246</v>
      </c>
      <c r="K38" s="69" t="s">
        <v>526</v>
      </c>
      <c r="L38" s="70">
        <f>L36*L37/1000</f>
        <v>112.54458241859497</v>
      </c>
      <c r="M38" s="69" t="s">
        <v>526</v>
      </c>
      <c r="N38" s="198"/>
      <c r="O38" s="69" t="s">
        <v>174</v>
      </c>
      <c r="P38" s="70">
        <f>P36*P37</f>
        <v>100</v>
      </c>
      <c r="Q38" s="191" t="s">
        <v>171</v>
      </c>
      <c r="S38" s="74" t="s">
        <v>256</v>
      </c>
      <c r="T38" s="85">
        <v>850</v>
      </c>
      <c r="U38" s="68" t="s">
        <v>252</v>
      </c>
      <c r="V38" s="198"/>
      <c r="W38" s="198"/>
    </row>
    <row r="39" spans="2:26" ht="16.5" x14ac:dyDescent="0.15">
      <c r="B39" s="110" t="s">
        <v>88</v>
      </c>
      <c r="C39" s="209">
        <v>2.4</v>
      </c>
      <c r="D39" s="228">
        <v>3</v>
      </c>
      <c r="E39" s="218">
        <v>3</v>
      </c>
      <c r="F39" s="199">
        <v>3</v>
      </c>
      <c r="G39" s="110" t="s">
        <v>42</v>
      </c>
      <c r="H39" s="111">
        <v>7</v>
      </c>
      <c r="I39" s="112" t="s">
        <v>274</v>
      </c>
      <c r="K39" s="69" t="s">
        <v>41</v>
      </c>
      <c r="L39" s="193">
        <f>L38/L34</f>
        <v>11.846798149325787</v>
      </c>
      <c r="M39" s="69"/>
      <c r="N39" s="198"/>
      <c r="O39" s="191"/>
      <c r="P39" s="191"/>
      <c r="Q39" s="191"/>
      <c r="S39" s="74" t="s">
        <v>515</v>
      </c>
      <c r="T39" s="87">
        <f>T38/T37</f>
        <v>4.8314893438611097</v>
      </c>
      <c r="U39" s="68" t="s">
        <v>252</v>
      </c>
      <c r="V39" s="198"/>
      <c r="W39" s="252" t="s">
        <v>524</v>
      </c>
      <c r="X39" s="252"/>
      <c r="Y39" s="252"/>
    </row>
    <row r="40" spans="2:26" ht="16.5" x14ac:dyDescent="0.15">
      <c r="B40" s="110" t="s">
        <v>89</v>
      </c>
      <c r="C40" s="212">
        <f t="shared" ref="C40" si="45">ROUND(C38/C39,1)</f>
        <v>217.1</v>
      </c>
      <c r="D40" s="231">
        <f t="shared" ref="D40:E40" si="46">ROUND(D38/D39,1)</f>
        <v>173.7</v>
      </c>
      <c r="E40" s="221">
        <f t="shared" si="46"/>
        <v>173.7</v>
      </c>
      <c r="F40" s="113">
        <f t="shared" ref="F40" si="47">ROUND(F38/F39,1)</f>
        <v>173.7</v>
      </c>
      <c r="G40" s="110" t="s">
        <v>0</v>
      </c>
      <c r="H40" s="111"/>
      <c r="I40" s="110" t="s">
        <v>310</v>
      </c>
      <c r="K40" s="198"/>
      <c r="L40" s="198"/>
      <c r="M40" s="198"/>
      <c r="N40" s="198"/>
      <c r="O40" s="71" t="s">
        <v>175</v>
      </c>
      <c r="P40" s="253" t="s">
        <v>176</v>
      </c>
      <c r="Q40" s="253"/>
      <c r="S40" s="74" t="s">
        <v>257</v>
      </c>
      <c r="T40" s="87">
        <f>T28/100000000*(T38^2)/(T37/1000000)*T33/1000</f>
        <v>483.19176251946334</v>
      </c>
      <c r="U40" s="68" t="s">
        <v>253</v>
      </c>
      <c r="V40" s="198"/>
      <c r="W40" s="191" t="s">
        <v>27</v>
      </c>
      <c r="X40" s="192">
        <v>2000</v>
      </c>
      <c r="Y40" s="191" t="s">
        <v>28</v>
      </c>
    </row>
    <row r="41" spans="2:26" ht="16.5" x14ac:dyDescent="0.15">
      <c r="B41" s="110"/>
      <c r="C41" s="213"/>
      <c r="D41" s="232"/>
      <c r="E41" s="222"/>
      <c r="F41" s="115"/>
      <c r="G41" s="110"/>
      <c r="H41" s="111"/>
      <c r="I41" s="110"/>
      <c r="K41" s="251" t="s">
        <v>238</v>
      </c>
      <c r="L41" s="251"/>
      <c r="M41" s="251"/>
      <c r="N41" s="198"/>
      <c r="O41" s="69" t="s">
        <v>177</v>
      </c>
      <c r="P41" s="192">
        <v>30</v>
      </c>
      <c r="Q41" s="191" t="s">
        <v>178</v>
      </c>
      <c r="S41" s="198"/>
      <c r="T41" s="198"/>
      <c r="U41" s="198"/>
      <c r="V41" s="198"/>
      <c r="W41" s="191" t="s">
        <v>29</v>
      </c>
      <c r="X41" s="192">
        <v>612</v>
      </c>
      <c r="Y41" s="191" t="s">
        <v>15</v>
      </c>
    </row>
    <row r="42" spans="2:26" ht="16.5" x14ac:dyDescent="0.15">
      <c r="B42" s="110" t="s">
        <v>72</v>
      </c>
      <c r="C42" s="217">
        <f t="shared" ref="C42" si="48">C32/C40*100</f>
        <v>89.840012087028796</v>
      </c>
      <c r="D42" s="236">
        <f t="shared" ref="D42:E42" si="49">D32/D40*100</f>
        <v>93.864276820377583</v>
      </c>
      <c r="E42" s="226">
        <f t="shared" si="49"/>
        <v>79.461899246277795</v>
      </c>
      <c r="F42" s="118">
        <f t="shared" ref="F42" si="50">F32/F40*100</f>
        <v>68.816023380236075</v>
      </c>
      <c r="G42" s="110" t="s">
        <v>7</v>
      </c>
      <c r="H42" s="111"/>
      <c r="I42" s="119" t="s">
        <v>273</v>
      </c>
      <c r="K42" s="81" t="s">
        <v>18</v>
      </c>
      <c r="L42" s="82">
        <v>40</v>
      </c>
      <c r="M42" s="81" t="s">
        <v>263</v>
      </c>
      <c r="N42" s="198"/>
      <c r="O42" s="69" t="s">
        <v>179</v>
      </c>
      <c r="P42" s="72">
        <f>P36*SQRT(2)*SIN(P41*PI()/180)</f>
        <v>70.710678118654741</v>
      </c>
      <c r="Q42" s="191" t="s">
        <v>180</v>
      </c>
      <c r="S42" s="252" t="s">
        <v>514</v>
      </c>
      <c r="T42" s="252"/>
      <c r="U42" s="252"/>
      <c r="V42" s="198" t="s">
        <v>527</v>
      </c>
      <c r="W42" s="191" t="s">
        <v>30</v>
      </c>
      <c r="X42" s="193">
        <f>1/(2*3.14*SQRT((X40/1000000)*(X41/1000000)))</f>
        <v>143.92944388180476</v>
      </c>
      <c r="Y42" s="191" t="s">
        <v>31</v>
      </c>
    </row>
    <row r="43" spans="2:26" ht="16.5" x14ac:dyDescent="0.15">
      <c r="B43" s="110"/>
      <c r="C43" s="213"/>
      <c r="D43" s="232"/>
      <c r="E43" s="222"/>
      <c r="F43" s="115"/>
      <c r="G43" s="110"/>
      <c r="H43" s="111"/>
      <c r="I43" s="110"/>
      <c r="K43" s="81" t="s">
        <v>100</v>
      </c>
      <c r="L43" s="82">
        <v>127</v>
      </c>
      <c r="M43" s="81" t="s">
        <v>2</v>
      </c>
      <c r="N43" s="198"/>
      <c r="O43" s="69" t="s">
        <v>181</v>
      </c>
      <c r="P43" s="84">
        <f>P30*P34/P42</f>
        <v>186.6761902332486</v>
      </c>
      <c r="Q43" s="191" t="s">
        <v>182</v>
      </c>
      <c r="S43" s="191" t="s">
        <v>212</v>
      </c>
      <c r="T43" s="67" t="s">
        <v>213</v>
      </c>
      <c r="U43" s="67"/>
      <c r="V43" s="198"/>
      <c r="W43" s="198"/>
    </row>
    <row r="44" spans="2:26" ht="16.5" x14ac:dyDescent="0.15">
      <c r="B44" s="110" t="s">
        <v>90</v>
      </c>
      <c r="C44" s="216">
        <f t="shared" ref="C44" si="51">C29/C39</f>
        <v>308.43292604467092</v>
      </c>
      <c r="D44" s="235">
        <f t="shared" ref="D44:E44" si="52">D29/D39</f>
        <v>295.17541953136674</v>
      </c>
      <c r="E44" s="225">
        <f t="shared" si="52"/>
        <v>348.67562381805436</v>
      </c>
      <c r="F44" s="116">
        <f t="shared" ref="F44" si="53">F29/F39</f>
        <v>402.61593054242871</v>
      </c>
      <c r="G44" s="110" t="s">
        <v>2</v>
      </c>
      <c r="H44" s="111"/>
      <c r="I44" s="117" t="s">
        <v>268</v>
      </c>
      <c r="K44" s="81" t="s">
        <v>44</v>
      </c>
      <c r="L44" s="82">
        <v>401</v>
      </c>
      <c r="M44" s="81" t="s">
        <v>0</v>
      </c>
      <c r="N44" s="198"/>
      <c r="O44" s="191"/>
      <c r="P44" s="191"/>
      <c r="Q44" s="191"/>
      <c r="S44" s="74" t="s">
        <v>214</v>
      </c>
      <c r="T44" s="75">
        <v>1.75</v>
      </c>
      <c r="U44" s="74" t="s">
        <v>215</v>
      </c>
      <c r="V44" s="198"/>
      <c r="W44" s="198"/>
    </row>
    <row r="45" spans="2:26" ht="16.5" x14ac:dyDescent="0.15">
      <c r="B45" s="110" t="s">
        <v>91</v>
      </c>
      <c r="C45" s="212">
        <f t="shared" ref="C45" si="54">ROUND(C44*2^0.5*2/PI(),0)</f>
        <v>278</v>
      </c>
      <c r="D45" s="231">
        <f t="shared" ref="D45:E45" si="55">ROUND(D44*2^0.5*2/PI(),0)</f>
        <v>266</v>
      </c>
      <c r="E45" s="221">
        <f t="shared" si="55"/>
        <v>314</v>
      </c>
      <c r="F45" s="113">
        <f t="shared" ref="F45" si="56">ROUND(F44*2^0.5*2/PI(),0)</f>
        <v>362</v>
      </c>
      <c r="G45" s="110" t="s">
        <v>2</v>
      </c>
      <c r="H45" s="111"/>
      <c r="I45" s="110"/>
      <c r="K45" s="81" t="s">
        <v>490</v>
      </c>
      <c r="L45" s="82">
        <v>1</v>
      </c>
      <c r="M45" s="81"/>
      <c r="N45" s="198"/>
      <c r="O45" s="71" t="s">
        <v>183</v>
      </c>
      <c r="P45" s="69"/>
      <c r="Q45" s="69"/>
      <c r="S45" s="74" t="s">
        <v>216</v>
      </c>
      <c r="T45" s="76">
        <v>3.8999999999999998E-3</v>
      </c>
      <c r="U45" s="74" t="s">
        <v>217</v>
      </c>
      <c r="V45" s="198"/>
      <c r="W45" s="198"/>
    </row>
    <row r="46" spans="2:26" ht="16.5" x14ac:dyDescent="0.15">
      <c r="B46" s="110" t="s">
        <v>92</v>
      </c>
      <c r="C46" s="212">
        <f t="shared" ref="C46" si="57">C45/C37</f>
        <v>278</v>
      </c>
      <c r="D46" s="231">
        <f t="shared" ref="D46:E46" si="58">D45/D37</f>
        <v>266</v>
      </c>
      <c r="E46" s="221">
        <f t="shared" si="58"/>
        <v>314</v>
      </c>
      <c r="F46" s="113">
        <f t="shared" ref="F46" si="59">F45/F37</f>
        <v>362</v>
      </c>
      <c r="G46" s="110" t="s">
        <v>2</v>
      </c>
      <c r="H46" s="111"/>
      <c r="I46" s="110"/>
      <c r="K46" s="81" t="s">
        <v>56</v>
      </c>
      <c r="L46" s="83">
        <f>L44*0.9/L45</f>
        <v>360.90000000000003</v>
      </c>
      <c r="M46" s="81" t="s">
        <v>0</v>
      </c>
      <c r="N46" s="198"/>
      <c r="O46" s="69" t="s">
        <v>184</v>
      </c>
      <c r="P46" s="72">
        <f>P30*P34/P35/1000</f>
        <v>13.200000000000001</v>
      </c>
      <c r="Q46" s="191" t="s">
        <v>180</v>
      </c>
      <c r="S46" s="74" t="s">
        <v>218</v>
      </c>
      <c r="T46" s="77">
        <v>45</v>
      </c>
      <c r="U46" s="74" t="s">
        <v>48</v>
      </c>
      <c r="V46" s="198"/>
      <c r="W46" s="198"/>
    </row>
    <row r="47" spans="2:26" ht="17.25" thickBot="1" x14ac:dyDescent="0.2">
      <c r="B47" s="110" t="s">
        <v>93</v>
      </c>
      <c r="C47" s="212">
        <f>ROUND(C46/C11,3)</f>
        <v>1.2869999999999999</v>
      </c>
      <c r="D47" s="237">
        <f>ROUND(D46/D11,3)</f>
        <v>1.2310000000000001</v>
      </c>
      <c r="E47" s="221">
        <f>ROUND(E46/E11,3)</f>
        <v>1.454</v>
      </c>
      <c r="F47" s="113">
        <f t="shared" ref="F47" si="60">ROUND(F46/F11,3)</f>
        <v>1.6759999999999999</v>
      </c>
      <c r="G47" s="110"/>
      <c r="H47" s="111"/>
      <c r="I47" s="110"/>
      <c r="K47" s="81" t="s">
        <v>264</v>
      </c>
      <c r="L47" s="83">
        <f>(L42*1000)/(L43*L44*0.9/L45)</f>
        <v>0.87270886650390644</v>
      </c>
      <c r="M47" s="81"/>
      <c r="N47" s="198"/>
      <c r="O47" s="69" t="s">
        <v>185</v>
      </c>
      <c r="P47" s="72">
        <f>P46/SIN(P41*PI()/180)/SQRT(2)</f>
        <v>18.667619023324857</v>
      </c>
      <c r="Q47" s="191" t="s">
        <v>171</v>
      </c>
      <c r="S47" s="74" t="s">
        <v>219</v>
      </c>
      <c r="T47" s="76">
        <f>T44*(1+T45*(T46-20))</f>
        <v>1.9206249999999998</v>
      </c>
      <c r="U47" s="74" t="s">
        <v>215</v>
      </c>
      <c r="V47" s="198"/>
      <c r="W47" s="198"/>
    </row>
    <row r="48" spans="2:26" ht="16.5" x14ac:dyDescent="0.15">
      <c r="K48" s="81" t="s">
        <v>265</v>
      </c>
      <c r="L48" s="88">
        <f>DEGREES(ACOS(L47))</f>
        <v>29.225030363895115</v>
      </c>
      <c r="M48" s="81"/>
      <c r="N48" s="198"/>
      <c r="O48" s="69" t="s">
        <v>174</v>
      </c>
      <c r="P48" s="84">
        <f>P47*P37</f>
        <v>18.667619023324857</v>
      </c>
      <c r="Q48" s="191" t="s">
        <v>171</v>
      </c>
      <c r="S48" s="74" t="s">
        <v>220</v>
      </c>
      <c r="T48" s="78">
        <f>1/(T47/100000000)</f>
        <v>52066384.64041654</v>
      </c>
      <c r="U48" s="74" t="s">
        <v>221</v>
      </c>
      <c r="V48" s="198"/>
      <c r="W48" s="198"/>
    </row>
    <row r="49" spans="2:23" ht="16.5" x14ac:dyDescent="0.15">
      <c r="B49" s="108" t="s">
        <v>313</v>
      </c>
      <c r="K49" s="198"/>
      <c r="L49" s="198"/>
      <c r="M49" s="198"/>
      <c r="N49" s="198"/>
      <c r="O49" s="69" t="s">
        <v>186</v>
      </c>
      <c r="P49" s="72">
        <f>P48/P38*100</f>
        <v>18.667619023324857</v>
      </c>
      <c r="Q49" s="73" t="s">
        <v>187</v>
      </c>
      <c r="S49" s="74" t="s">
        <v>222</v>
      </c>
      <c r="T49" s="67">
        <v>1</v>
      </c>
      <c r="U49" s="74" t="s">
        <v>223</v>
      </c>
      <c r="V49" s="198"/>
      <c r="W49" s="198"/>
    </row>
    <row r="50" spans="2:23" ht="16.5" x14ac:dyDescent="0.3">
      <c r="B50" s="92" t="s">
        <v>297</v>
      </c>
      <c r="C50" s="94">
        <v>3</v>
      </c>
      <c r="D50" s="94">
        <v>3</v>
      </c>
      <c r="E50" s="94">
        <v>3</v>
      </c>
      <c r="F50" s="94">
        <v>3</v>
      </c>
      <c r="G50" s="92" t="s">
        <v>49</v>
      </c>
      <c r="H50" s="111">
        <v>8</v>
      </c>
      <c r="I50" s="95" t="s">
        <v>301</v>
      </c>
      <c r="K50" s="251" t="s">
        <v>288</v>
      </c>
      <c r="L50" s="251"/>
      <c r="M50" s="251"/>
      <c r="N50" s="198"/>
      <c r="O50" s="69" t="s">
        <v>188</v>
      </c>
      <c r="P50" s="72">
        <f>P49*P49/100</f>
        <v>3.4848000000000008</v>
      </c>
      <c r="Q50" s="73" t="s">
        <v>187</v>
      </c>
      <c r="S50" s="74" t="s">
        <v>37</v>
      </c>
      <c r="T50" s="79">
        <v>18000</v>
      </c>
      <c r="U50" s="74" t="s">
        <v>224</v>
      </c>
      <c r="V50" s="198"/>
      <c r="W50" s="198"/>
    </row>
    <row r="51" spans="2:23" ht="16.5" x14ac:dyDescent="0.3">
      <c r="B51" s="92" t="s">
        <v>114</v>
      </c>
      <c r="C51" s="122">
        <f t="shared" ref="C51:F51" si="61">C44/C50</f>
        <v>102.81097534822364</v>
      </c>
      <c r="D51" s="122">
        <f t="shared" si="61"/>
        <v>98.391806510455581</v>
      </c>
      <c r="E51" s="122">
        <f t="shared" si="61"/>
        <v>116.22520793935145</v>
      </c>
      <c r="F51" s="122">
        <f t="shared" si="61"/>
        <v>134.20531018080956</v>
      </c>
      <c r="G51" s="92" t="s">
        <v>2</v>
      </c>
      <c r="H51" s="111"/>
      <c r="I51" s="92" t="s">
        <v>300</v>
      </c>
      <c r="K51" s="92" t="s">
        <v>317</v>
      </c>
      <c r="L51" s="93">
        <v>300</v>
      </c>
      <c r="M51" s="92" t="s">
        <v>13</v>
      </c>
      <c r="N51" s="198"/>
      <c r="O51" s="198"/>
      <c r="P51" s="198"/>
      <c r="Q51" s="198"/>
      <c r="S51" s="74" t="s">
        <v>254</v>
      </c>
      <c r="T51" s="91">
        <f>503.3*SQRT((T47/100000000)/(T49*T50))*1000</f>
        <v>0.51989060179696034</v>
      </c>
      <c r="U51" s="74" t="s">
        <v>225</v>
      </c>
      <c r="V51" s="198"/>
      <c r="W51" s="198"/>
    </row>
    <row r="52" spans="2:23" ht="16.5" x14ac:dyDescent="0.3">
      <c r="B52" s="92" t="s">
        <v>8</v>
      </c>
      <c r="C52" s="100">
        <v>3.2</v>
      </c>
      <c r="D52" s="100">
        <v>3.2</v>
      </c>
      <c r="E52" s="100">
        <v>3.2</v>
      </c>
      <c r="F52" s="100">
        <v>3.2</v>
      </c>
      <c r="G52" s="92" t="s">
        <v>45</v>
      </c>
      <c r="H52" s="111">
        <v>9</v>
      </c>
      <c r="I52" s="95" t="s">
        <v>117</v>
      </c>
      <c r="K52" s="92" t="s">
        <v>38</v>
      </c>
      <c r="L52" s="93">
        <v>1</v>
      </c>
      <c r="M52" s="92" t="s">
        <v>13</v>
      </c>
      <c r="N52" s="198"/>
      <c r="O52" s="252" t="s">
        <v>250</v>
      </c>
      <c r="P52" s="252"/>
      <c r="Q52" s="252"/>
      <c r="S52" s="74" t="s">
        <v>255</v>
      </c>
      <c r="T52" s="85">
        <v>16000</v>
      </c>
      <c r="U52" s="74" t="s">
        <v>225</v>
      </c>
      <c r="V52" s="198"/>
      <c r="W52" s="198"/>
    </row>
    <row r="53" spans="2:23" ht="16.5" x14ac:dyDescent="0.3">
      <c r="B53" s="92" t="s">
        <v>118</v>
      </c>
      <c r="C53" s="100">
        <v>20</v>
      </c>
      <c r="D53" s="100">
        <v>20</v>
      </c>
      <c r="E53" s="100">
        <v>20</v>
      </c>
      <c r="F53" s="100">
        <v>20</v>
      </c>
      <c r="G53" s="92" t="s">
        <v>0</v>
      </c>
      <c r="H53" s="111">
        <v>10</v>
      </c>
      <c r="I53" s="95" t="s">
        <v>119</v>
      </c>
      <c r="K53" s="92" t="s">
        <v>39</v>
      </c>
      <c r="L53" s="93">
        <v>100</v>
      </c>
      <c r="M53" s="92" t="s">
        <v>13</v>
      </c>
      <c r="N53" s="198"/>
      <c r="O53" s="69" t="s">
        <v>156</v>
      </c>
      <c r="P53" s="192">
        <v>26.4</v>
      </c>
      <c r="Q53" s="69" t="s">
        <v>157</v>
      </c>
      <c r="S53" s="74" t="s">
        <v>279</v>
      </c>
      <c r="T53" s="85">
        <v>2</v>
      </c>
      <c r="U53" s="74" t="s">
        <v>225</v>
      </c>
      <c r="V53" s="198"/>
      <c r="W53" s="198"/>
    </row>
    <row r="54" spans="2:23" ht="16.5" x14ac:dyDescent="0.3">
      <c r="B54" s="92" t="s">
        <v>9</v>
      </c>
      <c r="C54" s="104">
        <f t="shared" ref="C54:F54" si="62">C53*C52/1000000*C55*1000</f>
        <v>1.0371182998053767</v>
      </c>
      <c r="D54" s="104">
        <f t="shared" si="62"/>
        <v>1.0090453044349474</v>
      </c>
      <c r="E54" s="104">
        <f t="shared" si="62"/>
        <v>0.99004379013339572</v>
      </c>
      <c r="F54" s="104">
        <f t="shared" si="62"/>
        <v>0.97820402277302643</v>
      </c>
      <c r="G54" s="92" t="s">
        <v>6</v>
      </c>
      <c r="H54" s="111"/>
      <c r="I54" s="92"/>
      <c r="K54" s="92" t="s">
        <v>75</v>
      </c>
      <c r="L54" s="98">
        <f>12.5*(L52/10)*(L53/10)/(L51/10)</f>
        <v>0.41666666666666669</v>
      </c>
      <c r="M54" s="92" t="s">
        <v>40</v>
      </c>
      <c r="N54" s="198"/>
      <c r="O54" s="69" t="s">
        <v>160</v>
      </c>
      <c r="P54" s="192">
        <v>500</v>
      </c>
      <c r="Q54" s="69" t="s">
        <v>161</v>
      </c>
      <c r="S54" s="74" t="s">
        <v>278</v>
      </c>
      <c r="T54" s="86">
        <f>MIN(T51,T53)</f>
        <v>0.51989060179696034</v>
      </c>
      <c r="U54" s="74" t="s">
        <v>225</v>
      </c>
      <c r="V54" s="198"/>
      <c r="W54" s="198"/>
    </row>
    <row r="55" spans="2:23" ht="16.5" x14ac:dyDescent="0.3">
      <c r="B55" s="92" t="s">
        <v>116</v>
      </c>
      <c r="C55" s="122">
        <f>C21</f>
        <v>16.204973434459014</v>
      </c>
      <c r="D55" s="122">
        <f>D21</f>
        <v>15.766332881796053</v>
      </c>
      <c r="E55" s="122">
        <f>E21</f>
        <v>15.469434220834307</v>
      </c>
      <c r="F55" s="122">
        <f>F21</f>
        <v>15.284437855828537</v>
      </c>
      <c r="G55" s="92" t="s">
        <v>4</v>
      </c>
      <c r="H55" s="111"/>
      <c r="I55" s="92" t="s">
        <v>115</v>
      </c>
      <c r="O55" s="69" t="s">
        <v>163</v>
      </c>
      <c r="P55" s="192">
        <v>100</v>
      </c>
      <c r="Q55" s="69" t="s">
        <v>164</v>
      </c>
      <c r="S55" s="74" t="s">
        <v>259</v>
      </c>
      <c r="T55" s="85">
        <v>15</v>
      </c>
      <c r="U55" s="74" t="s">
        <v>225</v>
      </c>
    </row>
    <row r="56" spans="2:23" ht="16.5" x14ac:dyDescent="0.3">
      <c r="B56" s="92" t="s">
        <v>296</v>
      </c>
      <c r="C56" s="103">
        <f t="shared" ref="C56:F56" si="63">C51*1.414</f>
        <v>145.37471914238822</v>
      </c>
      <c r="D56" s="103">
        <f t="shared" si="63"/>
        <v>139.12601440578419</v>
      </c>
      <c r="E56" s="103">
        <f t="shared" si="63"/>
        <v>164.34244402624293</v>
      </c>
      <c r="F56" s="103">
        <f t="shared" si="63"/>
        <v>189.7663085956647</v>
      </c>
      <c r="G56" s="92" t="s">
        <v>2</v>
      </c>
      <c r="H56" s="111"/>
      <c r="I56" s="92" t="s">
        <v>302</v>
      </c>
      <c r="K56" s="251" t="s">
        <v>314</v>
      </c>
      <c r="L56" s="251"/>
      <c r="M56" s="251"/>
      <c r="O56" s="69" t="s">
        <v>166</v>
      </c>
      <c r="P56" s="193">
        <f>P53*P54/P55</f>
        <v>132</v>
      </c>
      <c r="Q56" s="69" t="s">
        <v>167</v>
      </c>
      <c r="S56" s="74" t="s">
        <v>260</v>
      </c>
      <c r="T56" s="85">
        <v>15</v>
      </c>
      <c r="U56" s="74" t="s">
        <v>225</v>
      </c>
    </row>
    <row r="57" spans="2:23" ht="16.5" x14ac:dyDescent="0.3">
      <c r="B57" s="92" t="s">
        <v>120</v>
      </c>
      <c r="C57" s="100">
        <v>0</v>
      </c>
      <c r="D57" s="100">
        <v>0</v>
      </c>
      <c r="E57" s="100">
        <v>0</v>
      </c>
      <c r="F57" s="100">
        <v>0</v>
      </c>
      <c r="G57" s="92" t="s">
        <v>5</v>
      </c>
      <c r="H57" s="111">
        <v>11</v>
      </c>
      <c r="I57" s="95" t="s">
        <v>121</v>
      </c>
      <c r="K57" s="92" t="s">
        <v>315</v>
      </c>
      <c r="L57" s="93">
        <v>3000</v>
      </c>
      <c r="M57" s="92" t="s">
        <v>50</v>
      </c>
      <c r="O57" s="198"/>
      <c r="P57" s="198"/>
      <c r="Q57" s="198"/>
      <c r="S57" s="74" t="s">
        <v>275</v>
      </c>
      <c r="T57" s="91">
        <f>(T55*T56)-((T55-2*T54)*(T56-2*T54))</f>
        <v>30.112291156470377</v>
      </c>
      <c r="U57" s="74" t="s">
        <v>251</v>
      </c>
    </row>
    <row r="58" spans="2:23" ht="16.5" x14ac:dyDescent="0.3">
      <c r="B58" s="92" t="s">
        <v>122</v>
      </c>
      <c r="C58" s="104">
        <v>0</v>
      </c>
      <c r="D58" s="104">
        <v>0</v>
      </c>
      <c r="E58" s="104">
        <v>0</v>
      </c>
      <c r="F58" s="104">
        <v>0</v>
      </c>
      <c r="G58" s="92" t="s">
        <v>5</v>
      </c>
      <c r="H58" s="111"/>
      <c r="I58" s="92"/>
      <c r="K58" s="92" t="s">
        <v>38</v>
      </c>
      <c r="L58" s="93">
        <v>1</v>
      </c>
      <c r="M58" s="92" t="s">
        <v>13</v>
      </c>
      <c r="O58" s="252" t="s">
        <v>329</v>
      </c>
      <c r="P58" s="252"/>
      <c r="Q58" s="252"/>
      <c r="S58" s="74" t="s">
        <v>256</v>
      </c>
      <c r="T58" s="85">
        <v>935</v>
      </c>
      <c r="U58" s="68" t="s">
        <v>252</v>
      </c>
    </row>
    <row r="59" spans="2:23" ht="16.5" x14ac:dyDescent="0.3">
      <c r="B59" s="92" t="s">
        <v>123</v>
      </c>
      <c r="C59" s="104">
        <v>0</v>
      </c>
      <c r="D59" s="104">
        <v>0</v>
      </c>
      <c r="E59" s="104">
        <v>0</v>
      </c>
      <c r="F59" s="104">
        <v>0</v>
      </c>
      <c r="G59" s="92" t="s">
        <v>5</v>
      </c>
      <c r="H59" s="111"/>
      <c r="I59" s="92"/>
      <c r="K59" s="92" t="s">
        <v>316</v>
      </c>
      <c r="L59" s="93">
        <v>2.1</v>
      </c>
      <c r="M59" s="92" t="s">
        <v>319</v>
      </c>
      <c r="N59" s="2"/>
      <c r="O59" s="81" t="s">
        <v>320</v>
      </c>
      <c r="P59" s="82">
        <v>15.4</v>
      </c>
      <c r="Q59" s="81" t="s">
        <v>13</v>
      </c>
      <c r="S59" s="74" t="s">
        <v>515</v>
      </c>
      <c r="T59" s="87">
        <f>T58/T57</f>
        <v>31.050443659086763</v>
      </c>
      <c r="U59" s="68" t="s">
        <v>252</v>
      </c>
    </row>
    <row r="60" spans="2:23" ht="16.5" x14ac:dyDescent="0.3">
      <c r="B60" s="92" t="s">
        <v>124</v>
      </c>
      <c r="C60" s="101">
        <f t="shared" ref="C60:F60" si="64">C57*C55+C58*C55</f>
        <v>0</v>
      </c>
      <c r="D60" s="101">
        <f t="shared" si="64"/>
        <v>0</v>
      </c>
      <c r="E60" s="101">
        <f t="shared" si="64"/>
        <v>0</v>
      </c>
      <c r="F60" s="101">
        <f t="shared" si="64"/>
        <v>0</v>
      </c>
      <c r="G60" s="92" t="s">
        <v>6</v>
      </c>
      <c r="H60" s="111"/>
      <c r="I60" s="92"/>
      <c r="K60" s="92" t="s">
        <v>76</v>
      </c>
      <c r="L60" s="98">
        <f>8.854/1000000000000*L59*(L57/1000000)/(L58/1000)*1000000000</f>
        <v>5.5780200000000002E-2</v>
      </c>
      <c r="M60" s="92" t="s">
        <v>318</v>
      </c>
      <c r="O60" s="81" t="s">
        <v>321</v>
      </c>
      <c r="P60" s="82">
        <v>2</v>
      </c>
      <c r="Q60" s="81" t="s">
        <v>13</v>
      </c>
      <c r="S60" s="74" t="s">
        <v>257</v>
      </c>
      <c r="T60" s="87">
        <f>T47/100000000*(T58^2)/(T57/1000000)*T52/1000</f>
        <v>8921.5842495689321</v>
      </c>
      <c r="U60" s="68" t="s">
        <v>253</v>
      </c>
    </row>
    <row r="61" spans="2:23" ht="16.5" x14ac:dyDescent="0.3">
      <c r="B61" s="92" t="s">
        <v>125</v>
      </c>
      <c r="C61" s="104">
        <f t="shared" ref="C61:F61" si="65">C55*C59</f>
        <v>0</v>
      </c>
      <c r="D61" s="104">
        <f t="shared" si="65"/>
        <v>0</v>
      </c>
      <c r="E61" s="104">
        <f t="shared" si="65"/>
        <v>0</v>
      </c>
      <c r="F61" s="104">
        <f t="shared" si="65"/>
        <v>0</v>
      </c>
      <c r="G61" s="92" t="s">
        <v>6</v>
      </c>
      <c r="H61" s="111"/>
      <c r="I61" s="92"/>
      <c r="O61" s="81" t="s">
        <v>322</v>
      </c>
      <c r="P61" s="83">
        <f>P59+P60*2</f>
        <v>19.399999999999999</v>
      </c>
      <c r="Q61" s="81" t="s">
        <v>13</v>
      </c>
    </row>
    <row r="62" spans="2:23" ht="16.5" x14ac:dyDescent="0.3">
      <c r="B62" s="92" t="s">
        <v>126</v>
      </c>
      <c r="C62" s="100">
        <v>100</v>
      </c>
      <c r="D62" s="100">
        <v>100</v>
      </c>
      <c r="E62" s="100">
        <v>100</v>
      </c>
      <c r="F62" s="100">
        <v>100</v>
      </c>
      <c r="G62" s="92" t="s">
        <v>7</v>
      </c>
      <c r="H62" s="111">
        <v>12</v>
      </c>
      <c r="I62" s="95" t="s">
        <v>127</v>
      </c>
      <c r="K62" s="250" t="s">
        <v>491</v>
      </c>
      <c r="L62" s="250"/>
      <c r="M62" s="250"/>
      <c r="N62" s="197"/>
      <c r="O62" s="126" t="s">
        <v>323</v>
      </c>
      <c r="P62" s="127">
        <v>8.8539999999999992E-12</v>
      </c>
      <c r="Q62" s="110"/>
      <c r="S62" s="252" t="s">
        <v>511</v>
      </c>
      <c r="T62" s="252"/>
      <c r="U62" s="252"/>
    </row>
    <row r="63" spans="2:23" ht="16.5" x14ac:dyDescent="0.3">
      <c r="B63" s="92" t="s">
        <v>128</v>
      </c>
      <c r="C63" s="105">
        <f t="shared" ref="C63:F63" si="66">C60*C62/100</f>
        <v>0</v>
      </c>
      <c r="D63" s="105">
        <f t="shared" si="66"/>
        <v>0</v>
      </c>
      <c r="E63" s="105">
        <f t="shared" si="66"/>
        <v>0</v>
      </c>
      <c r="F63" s="105">
        <f t="shared" si="66"/>
        <v>0</v>
      </c>
      <c r="G63" s="92" t="s">
        <v>6</v>
      </c>
      <c r="H63" s="111"/>
      <c r="I63" s="92"/>
      <c r="K63" s="144"/>
      <c r="L63" s="145" t="s">
        <v>484</v>
      </c>
      <c r="M63" s="145" t="s">
        <v>485</v>
      </c>
      <c r="N63" s="145" t="s">
        <v>486</v>
      </c>
      <c r="O63" s="126" t="s">
        <v>324</v>
      </c>
      <c r="P63" s="124">
        <v>2.1</v>
      </c>
      <c r="Q63" s="110" t="s">
        <v>319</v>
      </c>
      <c r="R63" s="198"/>
      <c r="S63" s="191" t="s">
        <v>212</v>
      </c>
      <c r="T63" s="67" t="s">
        <v>213</v>
      </c>
      <c r="U63" s="67"/>
    </row>
    <row r="64" spans="2:23" ht="16.5" x14ac:dyDescent="0.3">
      <c r="B64" s="92" t="s">
        <v>129</v>
      </c>
      <c r="C64" s="103">
        <f t="shared" ref="C64:F64" si="67">C51*0.9</f>
        <v>92.529877813401271</v>
      </c>
      <c r="D64" s="103">
        <f t="shared" si="67"/>
        <v>88.552625859410028</v>
      </c>
      <c r="E64" s="103">
        <f t="shared" si="67"/>
        <v>104.60268714541631</v>
      </c>
      <c r="F64" s="103">
        <f t="shared" si="67"/>
        <v>120.78477916272861</v>
      </c>
      <c r="G64" s="92" t="s">
        <v>2</v>
      </c>
      <c r="H64" s="111"/>
      <c r="I64" s="92"/>
      <c r="K64" s="145" t="s">
        <v>483</v>
      </c>
      <c r="L64" s="145" t="s">
        <v>489</v>
      </c>
      <c r="M64" s="145" t="s">
        <v>487</v>
      </c>
      <c r="N64" s="145" t="s">
        <v>488</v>
      </c>
      <c r="O64" s="110" t="s">
        <v>325</v>
      </c>
      <c r="P64" s="127">
        <f>2*PI()*P62*P63/(LN(P61/P59))*1000000000</f>
        <v>0.50594615125588516</v>
      </c>
      <c r="Q64" s="110" t="s">
        <v>318</v>
      </c>
      <c r="R64" s="198"/>
      <c r="S64" s="74" t="s">
        <v>214</v>
      </c>
      <c r="T64" s="75">
        <v>1.75</v>
      </c>
      <c r="U64" s="74" t="s">
        <v>215</v>
      </c>
    </row>
    <row r="65" spans="2:21" ht="16.5" x14ac:dyDescent="0.3">
      <c r="B65" s="92" t="s">
        <v>130</v>
      </c>
      <c r="C65" s="100">
        <v>0</v>
      </c>
      <c r="D65" s="100">
        <v>0</v>
      </c>
      <c r="E65" s="100">
        <v>0</v>
      </c>
      <c r="F65" s="100">
        <v>0</v>
      </c>
      <c r="G65" s="92" t="s">
        <v>44</v>
      </c>
      <c r="H65" s="111">
        <v>13</v>
      </c>
      <c r="I65" s="95" t="s">
        <v>131</v>
      </c>
      <c r="K65" s="143">
        <v>0.5</v>
      </c>
      <c r="L65" s="143"/>
      <c r="M65" s="143">
        <v>2.5</v>
      </c>
      <c r="N65" s="143"/>
      <c r="O65" s="110" t="s">
        <v>326</v>
      </c>
      <c r="P65" s="124">
        <v>10</v>
      </c>
      <c r="Q65" s="110" t="s">
        <v>328</v>
      </c>
      <c r="R65" s="198"/>
      <c r="S65" s="74" t="s">
        <v>216</v>
      </c>
      <c r="T65" s="76">
        <v>3.8999999999999998E-3</v>
      </c>
      <c r="U65" s="74" t="s">
        <v>217</v>
      </c>
    </row>
    <row r="66" spans="2:21" ht="16.5" x14ac:dyDescent="0.3">
      <c r="B66" s="92" t="s">
        <v>132</v>
      </c>
      <c r="C66" s="100">
        <v>0</v>
      </c>
      <c r="D66" s="100">
        <v>0</v>
      </c>
      <c r="E66" s="100">
        <v>0</v>
      </c>
      <c r="F66" s="100">
        <v>0</v>
      </c>
      <c r="G66" s="92" t="s">
        <v>44</v>
      </c>
      <c r="H66" s="111">
        <v>14</v>
      </c>
      <c r="I66" s="95" t="s">
        <v>133</v>
      </c>
      <c r="K66" s="143">
        <v>0.8</v>
      </c>
      <c r="L66" s="143">
        <v>2</v>
      </c>
      <c r="M66" s="143">
        <v>1.42</v>
      </c>
      <c r="N66" s="143"/>
      <c r="O66" s="110" t="s">
        <v>327</v>
      </c>
      <c r="P66" s="128">
        <f>P64*P65</f>
        <v>5.0594615125588511</v>
      </c>
      <c r="Q66" s="110" t="s">
        <v>318</v>
      </c>
      <c r="R66" s="198"/>
      <c r="S66" s="74" t="s">
        <v>218</v>
      </c>
      <c r="T66" s="77">
        <v>45</v>
      </c>
      <c r="U66" s="74" t="s">
        <v>48</v>
      </c>
    </row>
    <row r="67" spans="2:21" ht="16.5" x14ac:dyDescent="0.3">
      <c r="B67" s="92" t="s">
        <v>72</v>
      </c>
      <c r="C67" s="104">
        <f t="shared" ref="C67:F67" si="68">C42</f>
        <v>89.840012087028796</v>
      </c>
      <c r="D67" s="104">
        <f t="shared" si="68"/>
        <v>93.864276820377583</v>
      </c>
      <c r="E67" s="104">
        <f t="shared" si="68"/>
        <v>79.461899246277795</v>
      </c>
      <c r="F67" s="104">
        <f t="shared" si="68"/>
        <v>68.816023380236075</v>
      </c>
      <c r="G67" s="92" t="s">
        <v>7</v>
      </c>
      <c r="H67" s="111"/>
      <c r="I67" s="95"/>
      <c r="K67" s="143">
        <v>1</v>
      </c>
      <c r="L67" s="143">
        <v>2</v>
      </c>
      <c r="M67" s="143">
        <v>1.4</v>
      </c>
      <c r="N67" s="143"/>
      <c r="R67" s="198"/>
      <c r="S67" s="74" t="s">
        <v>219</v>
      </c>
      <c r="T67" s="76">
        <f>T64*(1+T65*(T66-20))</f>
        <v>1.9206249999999998</v>
      </c>
      <c r="U67" s="74" t="s">
        <v>215</v>
      </c>
    </row>
    <row r="68" spans="2:21" ht="16.5" x14ac:dyDescent="0.3">
      <c r="B68" s="92" t="s">
        <v>134</v>
      </c>
      <c r="C68" s="104">
        <f>C17</f>
        <v>30</v>
      </c>
      <c r="D68" s="104">
        <f>D17</f>
        <v>30</v>
      </c>
      <c r="E68" s="104">
        <f>E17</f>
        <v>30</v>
      </c>
      <c r="F68" s="104">
        <f>F17</f>
        <v>30</v>
      </c>
      <c r="G68" s="92" t="s">
        <v>79</v>
      </c>
      <c r="H68" s="111"/>
      <c r="I68" s="92"/>
      <c r="K68" s="143">
        <v>1.2</v>
      </c>
      <c r="L68" s="143"/>
      <c r="M68" s="143">
        <v>1.04</v>
      </c>
      <c r="N68" s="143"/>
      <c r="R68" s="198"/>
      <c r="S68" s="74" t="s">
        <v>220</v>
      </c>
      <c r="T68" s="78">
        <f>1/(T67/100000000)</f>
        <v>52066384.64041654</v>
      </c>
      <c r="U68" s="74" t="s">
        <v>221</v>
      </c>
    </row>
    <row r="69" spans="2:21" ht="16.5" x14ac:dyDescent="0.3">
      <c r="B69" s="92" t="s">
        <v>135</v>
      </c>
      <c r="C69" s="104">
        <f t="shared" ref="C69:F69" si="69">ROUNDUP((C64*C65*((C67*180/100-C68)/180))/2,0)</f>
        <v>0</v>
      </c>
      <c r="D69" s="104">
        <f t="shared" si="69"/>
        <v>0</v>
      </c>
      <c r="E69" s="104">
        <f t="shared" si="69"/>
        <v>0</v>
      </c>
      <c r="F69" s="104">
        <f t="shared" si="69"/>
        <v>0</v>
      </c>
      <c r="G69" s="92" t="s">
        <v>6</v>
      </c>
      <c r="H69" s="111"/>
      <c r="I69" s="92"/>
      <c r="K69" s="143">
        <v>2</v>
      </c>
      <c r="L69" s="143">
        <v>1.1200000000000001</v>
      </c>
      <c r="M69" s="143">
        <v>0.75</v>
      </c>
      <c r="N69" s="143"/>
      <c r="R69" s="198"/>
      <c r="S69" s="74" t="s">
        <v>222</v>
      </c>
      <c r="T69" s="67">
        <v>1</v>
      </c>
      <c r="U69" s="74" t="s">
        <v>223</v>
      </c>
    </row>
    <row r="70" spans="2:21" ht="16.5" x14ac:dyDescent="0.3">
      <c r="B70" s="92" t="s">
        <v>136</v>
      </c>
      <c r="C70" s="104">
        <f t="shared" ref="C70:F70" si="70">ROUNDUP((C64*C66*(1-(C67*180/100-C68)/180))/2,0)</f>
        <v>0</v>
      </c>
      <c r="D70" s="104">
        <f t="shared" si="70"/>
        <v>0</v>
      </c>
      <c r="E70" s="104">
        <f t="shared" si="70"/>
        <v>0</v>
      </c>
      <c r="F70" s="104">
        <f t="shared" si="70"/>
        <v>0</v>
      </c>
      <c r="G70" s="92" t="s">
        <v>6</v>
      </c>
      <c r="H70" s="111"/>
      <c r="I70" s="92"/>
      <c r="K70" s="143">
        <v>3</v>
      </c>
      <c r="L70" s="143">
        <v>0.71</v>
      </c>
      <c r="M70" s="143">
        <v>0.57999999999999996</v>
      </c>
      <c r="N70" s="143"/>
      <c r="R70" s="198"/>
      <c r="S70" s="74" t="s">
        <v>255</v>
      </c>
      <c r="T70" s="85">
        <v>6126</v>
      </c>
      <c r="U70" s="74" t="s">
        <v>225</v>
      </c>
    </row>
    <row r="71" spans="2:21" ht="16.5" x14ac:dyDescent="0.3">
      <c r="B71" s="92" t="s">
        <v>69</v>
      </c>
      <c r="C71" s="105">
        <f t="shared" ref="C71:F71" si="71">ROUNDUP(((C64*C65*(((C67*180/100-C68)/180))+(C64*C66*(1-(C67*180/100-C68)/180))))/2,0)</f>
        <v>0</v>
      </c>
      <c r="D71" s="105">
        <f t="shared" si="71"/>
        <v>0</v>
      </c>
      <c r="E71" s="105">
        <f t="shared" si="71"/>
        <v>0</v>
      </c>
      <c r="F71" s="105">
        <f t="shared" si="71"/>
        <v>0</v>
      </c>
      <c r="G71" s="92" t="s">
        <v>6</v>
      </c>
      <c r="H71" s="111"/>
      <c r="I71" s="92"/>
      <c r="K71" s="143">
        <v>5</v>
      </c>
      <c r="L71" s="143">
        <v>0.43</v>
      </c>
      <c r="M71" s="143">
        <v>0.36</v>
      </c>
      <c r="N71" s="143"/>
      <c r="R71" s="198"/>
      <c r="S71" s="74" t="s">
        <v>280</v>
      </c>
      <c r="T71" s="85">
        <v>2</v>
      </c>
      <c r="U71" s="74" t="s">
        <v>225</v>
      </c>
    </row>
    <row r="72" spans="2:21" ht="16.5" x14ac:dyDescent="0.3">
      <c r="B72" s="92" t="s">
        <v>298</v>
      </c>
      <c r="C72" s="104">
        <f t="shared" ref="C72:F72" si="72">C63+C69</f>
        <v>0</v>
      </c>
      <c r="D72" s="104">
        <f t="shared" si="72"/>
        <v>0</v>
      </c>
      <c r="E72" s="104">
        <f t="shared" si="72"/>
        <v>0</v>
      </c>
      <c r="F72" s="104">
        <f t="shared" si="72"/>
        <v>0</v>
      </c>
      <c r="G72" s="92" t="s">
        <v>6</v>
      </c>
      <c r="H72" s="111"/>
      <c r="I72" s="92"/>
      <c r="K72" s="143">
        <v>6</v>
      </c>
      <c r="L72" s="143"/>
      <c r="M72" s="143">
        <v>0.34</v>
      </c>
      <c r="N72" s="143">
        <v>0.62</v>
      </c>
      <c r="R72" s="198"/>
      <c r="S72" s="74" t="s">
        <v>276</v>
      </c>
      <c r="T72" s="85">
        <v>60</v>
      </c>
      <c r="U72" s="74" t="s">
        <v>225</v>
      </c>
    </row>
    <row r="73" spans="2:21" ht="16.5" x14ac:dyDescent="0.3">
      <c r="B73" s="92" t="s">
        <v>299</v>
      </c>
      <c r="C73" s="104">
        <f t="shared" ref="C73:F73" si="73">C70+C61</f>
        <v>0</v>
      </c>
      <c r="D73" s="104">
        <f t="shared" si="73"/>
        <v>0</v>
      </c>
      <c r="E73" s="104">
        <f t="shared" si="73"/>
        <v>0</v>
      </c>
      <c r="F73" s="104">
        <f t="shared" si="73"/>
        <v>0</v>
      </c>
      <c r="G73" s="92" t="s">
        <v>6</v>
      </c>
      <c r="H73" s="111"/>
      <c r="I73" s="92"/>
      <c r="K73" s="143">
        <v>8</v>
      </c>
      <c r="L73" s="143">
        <v>0.3</v>
      </c>
      <c r="M73" s="143">
        <v>0.25</v>
      </c>
      <c r="N73" s="143"/>
      <c r="R73" s="198"/>
      <c r="S73" s="74" t="s">
        <v>275</v>
      </c>
      <c r="T73" s="91">
        <f>T71*T72</f>
        <v>120</v>
      </c>
      <c r="U73" s="74" t="s">
        <v>251</v>
      </c>
    </row>
    <row r="74" spans="2:21" ht="16.5" x14ac:dyDescent="0.3">
      <c r="B74" s="92" t="s">
        <v>306</v>
      </c>
      <c r="C74" s="105">
        <f t="shared" ref="C74:F74" si="74">ROUNDUP((C54+C63+C71),0)</f>
        <v>2</v>
      </c>
      <c r="D74" s="105">
        <f t="shared" si="74"/>
        <v>2</v>
      </c>
      <c r="E74" s="105">
        <f t="shared" si="74"/>
        <v>1</v>
      </c>
      <c r="F74" s="105">
        <f t="shared" si="74"/>
        <v>1</v>
      </c>
      <c r="G74" s="92" t="s">
        <v>6</v>
      </c>
      <c r="H74" s="111"/>
      <c r="I74" s="92"/>
      <c r="K74" s="143">
        <v>10</v>
      </c>
      <c r="L74" s="143"/>
      <c r="M74" s="143"/>
      <c r="N74" s="143">
        <v>0.45</v>
      </c>
      <c r="R74" s="198"/>
      <c r="S74" s="74" t="s">
        <v>256</v>
      </c>
      <c r="T74" s="85">
        <v>850</v>
      </c>
      <c r="U74" s="68" t="s">
        <v>252</v>
      </c>
    </row>
    <row r="75" spans="2:21" ht="16.5" x14ac:dyDescent="0.3">
      <c r="B75" s="92" t="s">
        <v>137</v>
      </c>
      <c r="C75" s="179">
        <v>2</v>
      </c>
      <c r="D75" s="179">
        <v>2</v>
      </c>
      <c r="E75" s="179">
        <v>2</v>
      </c>
      <c r="F75" s="179">
        <v>2</v>
      </c>
      <c r="G75" s="92"/>
      <c r="H75" s="111">
        <v>15</v>
      </c>
      <c r="I75" s="95" t="s">
        <v>305</v>
      </c>
      <c r="K75" s="143">
        <v>15</v>
      </c>
      <c r="L75" s="143"/>
      <c r="M75" s="143"/>
      <c r="N75" s="143">
        <v>0.4</v>
      </c>
      <c r="R75" s="198"/>
      <c r="S75" s="74" t="s">
        <v>515</v>
      </c>
      <c r="T75" s="87">
        <f>T74/T73</f>
        <v>7.083333333333333</v>
      </c>
      <c r="U75" s="68" t="s">
        <v>252</v>
      </c>
    </row>
    <row r="76" spans="2:21" ht="16.5" x14ac:dyDescent="0.3">
      <c r="B76" s="92" t="s">
        <v>70</v>
      </c>
      <c r="C76" s="106">
        <f t="shared" ref="C76:F76" si="75">C74*C75</f>
        <v>4</v>
      </c>
      <c r="D76" s="106">
        <f t="shared" si="75"/>
        <v>4</v>
      </c>
      <c r="E76" s="106">
        <f t="shared" si="75"/>
        <v>2</v>
      </c>
      <c r="F76" s="106">
        <f t="shared" si="75"/>
        <v>2</v>
      </c>
      <c r="G76" s="92" t="s">
        <v>46</v>
      </c>
      <c r="H76" s="111"/>
      <c r="I76" s="92"/>
      <c r="K76" s="143">
        <v>20</v>
      </c>
      <c r="L76" s="143"/>
      <c r="M76" s="143"/>
      <c r="N76" s="143">
        <v>0.35</v>
      </c>
      <c r="R76" s="198"/>
      <c r="S76" s="74" t="s">
        <v>257</v>
      </c>
      <c r="T76" s="87">
        <f>T67/100000000*(T74^2)/(T73/1000000)*T70/1000</f>
        <v>708.39612265624987</v>
      </c>
      <c r="U76" s="68" t="s">
        <v>253</v>
      </c>
    </row>
    <row r="77" spans="2:21" ht="16.5" x14ac:dyDescent="0.3">
      <c r="B77" s="92" t="s">
        <v>43</v>
      </c>
      <c r="C77" s="107">
        <v>1950</v>
      </c>
      <c r="D77" s="107">
        <v>1950</v>
      </c>
      <c r="E77" s="107">
        <v>1950</v>
      </c>
      <c r="F77" s="107">
        <v>1950</v>
      </c>
      <c r="G77" s="92" t="s">
        <v>6</v>
      </c>
      <c r="H77" s="111">
        <v>16</v>
      </c>
      <c r="I77" s="95" t="s">
        <v>117</v>
      </c>
      <c r="K77" s="143">
        <v>30</v>
      </c>
      <c r="L77" s="143"/>
      <c r="M77" s="143"/>
      <c r="N77" s="143">
        <v>0.28939999999999999</v>
      </c>
      <c r="R77" s="198"/>
    </row>
    <row r="78" spans="2:21" ht="16.5" x14ac:dyDescent="0.3">
      <c r="B78" s="92" t="s">
        <v>303</v>
      </c>
      <c r="C78" s="106">
        <f t="shared" ref="C78:F78" si="76">ROUNDUP(C76/C77*100,0)</f>
        <v>1</v>
      </c>
      <c r="D78" s="106">
        <f t="shared" si="76"/>
        <v>1</v>
      </c>
      <c r="E78" s="106">
        <f t="shared" si="76"/>
        <v>1</v>
      </c>
      <c r="F78" s="106">
        <f t="shared" si="76"/>
        <v>1</v>
      </c>
      <c r="G78" s="92" t="s">
        <v>7</v>
      </c>
      <c r="H78" s="111"/>
      <c r="I78" s="95" t="s">
        <v>304</v>
      </c>
      <c r="K78" s="143">
        <v>50</v>
      </c>
      <c r="L78" s="143"/>
      <c r="M78" s="143"/>
      <c r="N78" s="143">
        <v>0.224</v>
      </c>
      <c r="R78" s="198"/>
    </row>
    <row r="79" spans="2:21" ht="16.5" x14ac:dyDescent="0.3">
      <c r="B79" s="92" t="s">
        <v>138</v>
      </c>
      <c r="C79" s="129">
        <v>6.4000000000000001E-2</v>
      </c>
      <c r="D79" s="129">
        <v>6.4000000000000001E-2</v>
      </c>
      <c r="E79" s="129">
        <v>6.4000000000000001E-2</v>
      </c>
      <c r="F79" s="129">
        <v>6.4000000000000001E-2</v>
      </c>
      <c r="G79" s="92" t="s">
        <v>58</v>
      </c>
      <c r="H79" s="111">
        <v>17</v>
      </c>
      <c r="I79" s="120" t="s">
        <v>117</v>
      </c>
      <c r="K79" s="143">
        <v>100</v>
      </c>
      <c r="L79" s="143"/>
      <c r="M79" s="143"/>
      <c r="N79" s="143">
        <v>0.161</v>
      </c>
      <c r="R79" s="198"/>
    </row>
    <row r="80" spans="2:21" ht="16.5" x14ac:dyDescent="0.3">
      <c r="B80" s="92" t="s">
        <v>287</v>
      </c>
      <c r="C80" s="129">
        <v>0.1</v>
      </c>
      <c r="D80" s="129">
        <v>0.1</v>
      </c>
      <c r="E80" s="129">
        <v>0.1</v>
      </c>
      <c r="F80" s="129">
        <v>0.1</v>
      </c>
      <c r="G80" s="92" t="s">
        <v>58</v>
      </c>
      <c r="H80" s="111">
        <v>18</v>
      </c>
      <c r="I80" s="120" t="s">
        <v>117</v>
      </c>
      <c r="K80" s="143">
        <v>200</v>
      </c>
      <c r="L80" s="143"/>
      <c r="M80" s="143"/>
      <c r="N80" s="143">
        <v>7.7600000000000002E-2</v>
      </c>
      <c r="R80" s="198"/>
    </row>
    <row r="81" spans="2:18" ht="16.5" x14ac:dyDescent="0.3">
      <c r="B81" s="92" t="s">
        <v>139</v>
      </c>
      <c r="C81" s="96">
        <f t="shared" ref="C81:F82" si="77">125-C79*C72</f>
        <v>125</v>
      </c>
      <c r="D81" s="96">
        <f t="shared" si="77"/>
        <v>125</v>
      </c>
      <c r="E81" s="96">
        <f t="shared" si="77"/>
        <v>125</v>
      </c>
      <c r="F81" s="96">
        <f t="shared" si="77"/>
        <v>125</v>
      </c>
      <c r="G81" s="97" t="s">
        <v>59</v>
      </c>
      <c r="H81" s="111"/>
      <c r="I81" s="95" t="s">
        <v>140</v>
      </c>
      <c r="K81" s="143">
        <v>300</v>
      </c>
      <c r="L81" s="143"/>
      <c r="M81" s="143"/>
      <c r="N81" s="143">
        <v>5.2400000000000002E-2</v>
      </c>
      <c r="R81" s="198"/>
    </row>
    <row r="82" spans="2:18" ht="16.5" x14ac:dyDescent="0.3">
      <c r="B82" s="92" t="s">
        <v>141</v>
      </c>
      <c r="C82" s="122">
        <f t="shared" si="77"/>
        <v>125</v>
      </c>
      <c r="D82" s="122">
        <f t="shared" si="77"/>
        <v>125</v>
      </c>
      <c r="E82" s="122">
        <f t="shared" si="77"/>
        <v>125</v>
      </c>
      <c r="F82" s="122">
        <f t="shared" si="77"/>
        <v>125</v>
      </c>
      <c r="G82" s="97" t="s">
        <v>59</v>
      </c>
      <c r="H82" s="111"/>
      <c r="I82" s="92"/>
      <c r="R82" s="198"/>
    </row>
    <row r="83" spans="2:18" ht="16.5" x14ac:dyDescent="0.3">
      <c r="B83" s="92" t="s">
        <v>142</v>
      </c>
      <c r="C83" s="122">
        <f t="shared" ref="C83:F84" si="78">C79*C72</f>
        <v>0</v>
      </c>
      <c r="D83" s="122">
        <f t="shared" si="78"/>
        <v>0</v>
      </c>
      <c r="E83" s="122">
        <f t="shared" si="78"/>
        <v>0</v>
      </c>
      <c r="F83" s="122">
        <f t="shared" si="78"/>
        <v>0</v>
      </c>
      <c r="G83" s="97" t="s">
        <v>59</v>
      </c>
      <c r="H83" s="111"/>
      <c r="I83" s="92"/>
      <c r="K83" s="250" t="s">
        <v>502</v>
      </c>
      <c r="L83" s="250"/>
      <c r="M83" s="250"/>
      <c r="R83" s="198"/>
    </row>
    <row r="84" spans="2:18" ht="16.5" x14ac:dyDescent="0.3">
      <c r="B84" s="92" t="s">
        <v>143</v>
      </c>
      <c r="C84" s="122">
        <f t="shared" si="78"/>
        <v>0</v>
      </c>
      <c r="D84" s="122">
        <f t="shared" si="78"/>
        <v>0</v>
      </c>
      <c r="E84" s="122">
        <f t="shared" si="78"/>
        <v>0</v>
      </c>
      <c r="F84" s="122">
        <f t="shared" si="78"/>
        <v>0</v>
      </c>
      <c r="G84" s="97" t="s">
        <v>59</v>
      </c>
      <c r="H84" s="111"/>
      <c r="I84" s="92"/>
      <c r="K84" s="146" t="s">
        <v>494</v>
      </c>
      <c r="L84" s="146" t="s">
        <v>500</v>
      </c>
      <c r="M84" s="146"/>
      <c r="R84" s="198"/>
    </row>
    <row r="85" spans="2:18" ht="16.5" x14ac:dyDescent="0.3">
      <c r="B85" s="92" t="s">
        <v>144</v>
      </c>
      <c r="C85" s="129">
        <v>3.2000000000000001E-2</v>
      </c>
      <c r="D85" s="129">
        <v>3.2000000000000001E-2</v>
      </c>
      <c r="E85" s="129">
        <v>3.2000000000000001E-2</v>
      </c>
      <c r="F85" s="129">
        <v>3.2000000000000001E-2</v>
      </c>
      <c r="G85" s="92" t="s">
        <v>58</v>
      </c>
      <c r="H85" s="111">
        <v>19</v>
      </c>
      <c r="I85" s="92" t="s">
        <v>117</v>
      </c>
      <c r="K85" s="110" t="s">
        <v>492</v>
      </c>
      <c r="L85" s="110">
        <v>183</v>
      </c>
      <c r="M85" s="110" t="s">
        <v>495</v>
      </c>
      <c r="R85" s="198"/>
    </row>
    <row r="86" spans="2:18" ht="16.5" x14ac:dyDescent="0.3">
      <c r="B86" s="92" t="s">
        <v>145</v>
      </c>
      <c r="C86" s="129">
        <v>5.1999999999999998E-2</v>
      </c>
      <c r="D86" s="129">
        <v>5.1999999999999998E-2</v>
      </c>
      <c r="E86" s="129">
        <v>5.1999999999999998E-2</v>
      </c>
      <c r="F86" s="129">
        <v>5.1999999999999998E-2</v>
      </c>
      <c r="G86" s="92" t="s">
        <v>58</v>
      </c>
      <c r="H86" s="111">
        <v>20</v>
      </c>
      <c r="I86" s="92" t="s">
        <v>117</v>
      </c>
      <c r="K86" s="110" t="s">
        <v>493</v>
      </c>
      <c r="L86" s="110">
        <v>75</v>
      </c>
      <c r="M86" s="110" t="s">
        <v>495</v>
      </c>
      <c r="R86" s="198"/>
    </row>
    <row r="87" spans="2:18" ht="16.5" x14ac:dyDescent="0.3">
      <c r="B87" s="92" t="s">
        <v>146</v>
      </c>
      <c r="C87" s="123">
        <f t="shared" ref="C87:F88" si="79">C81-C85*C72</f>
        <v>125</v>
      </c>
      <c r="D87" s="123">
        <f t="shared" si="79"/>
        <v>125</v>
      </c>
      <c r="E87" s="123">
        <f t="shared" si="79"/>
        <v>125</v>
      </c>
      <c r="F87" s="123">
        <f t="shared" si="79"/>
        <v>125</v>
      </c>
      <c r="G87" s="97" t="s">
        <v>59</v>
      </c>
      <c r="H87" s="111"/>
      <c r="I87" s="92" t="s">
        <v>140</v>
      </c>
      <c r="K87" s="110" t="s">
        <v>496</v>
      </c>
      <c r="L87" s="110">
        <v>9</v>
      </c>
      <c r="M87" s="110" t="s">
        <v>495</v>
      </c>
      <c r="R87" s="198"/>
    </row>
    <row r="88" spans="2:18" ht="16.5" x14ac:dyDescent="0.3">
      <c r="B88" s="92" t="s">
        <v>147</v>
      </c>
      <c r="C88" s="122">
        <f t="shared" si="79"/>
        <v>125</v>
      </c>
      <c r="D88" s="122">
        <f t="shared" si="79"/>
        <v>125</v>
      </c>
      <c r="E88" s="122">
        <f t="shared" si="79"/>
        <v>125</v>
      </c>
      <c r="F88" s="122">
        <f t="shared" si="79"/>
        <v>125</v>
      </c>
      <c r="G88" s="97" t="s">
        <v>59</v>
      </c>
      <c r="H88" s="111"/>
      <c r="I88" s="92"/>
      <c r="K88" s="110" t="s">
        <v>497</v>
      </c>
      <c r="L88" s="110">
        <v>6</v>
      </c>
      <c r="M88" s="110" t="s">
        <v>495</v>
      </c>
      <c r="R88" s="198"/>
    </row>
    <row r="89" spans="2:18" ht="16.5" x14ac:dyDescent="0.3">
      <c r="B89" s="92" t="s">
        <v>148</v>
      </c>
      <c r="C89" s="122">
        <f t="shared" ref="C89:F90" si="80">C85*C72</f>
        <v>0</v>
      </c>
      <c r="D89" s="122">
        <f t="shared" si="80"/>
        <v>0</v>
      </c>
      <c r="E89" s="122">
        <f t="shared" si="80"/>
        <v>0</v>
      </c>
      <c r="F89" s="122">
        <f t="shared" si="80"/>
        <v>0</v>
      </c>
      <c r="G89" s="97" t="s">
        <v>59</v>
      </c>
      <c r="H89" s="111"/>
      <c r="I89" s="92"/>
      <c r="K89" s="110" t="s">
        <v>498</v>
      </c>
      <c r="L89" s="110">
        <v>12</v>
      </c>
      <c r="M89" s="110" t="s">
        <v>495</v>
      </c>
      <c r="R89" s="198"/>
    </row>
    <row r="90" spans="2:18" ht="16.5" x14ac:dyDescent="0.3">
      <c r="B90" s="92" t="s">
        <v>149</v>
      </c>
      <c r="C90" s="122">
        <f t="shared" si="80"/>
        <v>0</v>
      </c>
      <c r="D90" s="122">
        <f t="shared" si="80"/>
        <v>0</v>
      </c>
      <c r="E90" s="122">
        <f t="shared" si="80"/>
        <v>0</v>
      </c>
      <c r="F90" s="122">
        <f t="shared" si="80"/>
        <v>0</v>
      </c>
      <c r="G90" s="97" t="s">
        <v>59</v>
      </c>
      <c r="H90" s="111"/>
      <c r="I90" s="92"/>
      <c r="K90" s="110" t="s">
        <v>499</v>
      </c>
      <c r="L90" s="110">
        <v>78.540000000000006</v>
      </c>
      <c r="M90" s="110" t="s">
        <v>495</v>
      </c>
      <c r="R90" s="198"/>
    </row>
    <row r="91" spans="2:18" ht="16.5" x14ac:dyDescent="0.3">
      <c r="B91" s="92" t="s">
        <v>60</v>
      </c>
      <c r="C91" s="122">
        <v>60</v>
      </c>
      <c r="D91" s="122">
        <v>60</v>
      </c>
      <c r="E91" s="122">
        <v>60</v>
      </c>
      <c r="F91" s="122">
        <v>60</v>
      </c>
      <c r="G91" s="97" t="s">
        <v>59</v>
      </c>
      <c r="H91" s="111"/>
      <c r="I91" s="92" t="s">
        <v>150</v>
      </c>
      <c r="R91" s="198"/>
    </row>
    <row r="92" spans="2:18" ht="16.5" x14ac:dyDescent="0.3">
      <c r="B92" s="92" t="s">
        <v>61</v>
      </c>
      <c r="C92" s="121">
        <v>8</v>
      </c>
      <c r="D92" s="121">
        <v>8</v>
      </c>
      <c r="E92" s="121">
        <v>8</v>
      </c>
      <c r="F92" s="121">
        <v>8</v>
      </c>
      <c r="G92" s="97" t="s">
        <v>62</v>
      </c>
      <c r="H92" s="111"/>
      <c r="I92" s="92" t="s">
        <v>151</v>
      </c>
      <c r="R92" s="198"/>
    </row>
    <row r="93" spans="2:18" ht="16.5" x14ac:dyDescent="0.3">
      <c r="B93" s="92" t="s">
        <v>63</v>
      </c>
      <c r="C93" s="102">
        <f t="shared" ref="C93:F93" si="81">C91-(C76/1000*860/C92/60)</f>
        <v>59.99283333333333</v>
      </c>
      <c r="D93" s="102">
        <f t="shared" si="81"/>
        <v>59.99283333333333</v>
      </c>
      <c r="E93" s="102">
        <f t="shared" si="81"/>
        <v>59.996416666666669</v>
      </c>
      <c r="F93" s="102">
        <f t="shared" si="81"/>
        <v>59.996416666666669</v>
      </c>
      <c r="G93" s="97" t="s">
        <v>59</v>
      </c>
      <c r="H93" s="111"/>
      <c r="I93" s="92"/>
      <c r="R93" s="198"/>
    </row>
    <row r="94" spans="2:18" ht="16.5" x14ac:dyDescent="0.15">
      <c r="R94" s="198"/>
    </row>
    <row r="95" spans="2:18" ht="16.5" x14ac:dyDescent="0.15">
      <c r="R95" s="198"/>
    </row>
    <row r="96" spans="2:18" ht="16.5" x14ac:dyDescent="0.15">
      <c r="R96" s="198"/>
    </row>
    <row r="97" spans="18:18" ht="16.5" x14ac:dyDescent="0.15">
      <c r="R97" s="198"/>
    </row>
    <row r="98" spans="18:18" ht="16.5" x14ac:dyDescent="0.15">
      <c r="R98" s="198"/>
    </row>
    <row r="99" spans="18:18" ht="16.5" x14ac:dyDescent="0.15">
      <c r="R99" s="198"/>
    </row>
    <row r="100" spans="18:18" ht="16.5" x14ac:dyDescent="0.15">
      <c r="R100" s="198"/>
    </row>
    <row r="101" spans="18:18" ht="16.5" x14ac:dyDescent="0.15">
      <c r="R101" s="198"/>
    </row>
    <row r="102" spans="18:18" ht="16.5" x14ac:dyDescent="0.15">
      <c r="R102" s="198"/>
    </row>
    <row r="103" spans="18:18" ht="16.5" x14ac:dyDescent="0.15">
      <c r="R103" s="198"/>
    </row>
    <row r="104" spans="18:18" ht="16.5" x14ac:dyDescent="0.15">
      <c r="R104" s="198"/>
    </row>
    <row r="105" spans="18:18" ht="16.5" x14ac:dyDescent="0.15">
      <c r="R105" s="198"/>
    </row>
    <row r="106" spans="18:18" ht="16.5" x14ac:dyDescent="0.15">
      <c r="R106" s="198"/>
    </row>
  </sheetData>
  <mergeCells count="25">
    <mergeCell ref="O29:Q29"/>
    <mergeCell ref="K3:M3"/>
    <mergeCell ref="O3:Q3"/>
    <mergeCell ref="S3:U3"/>
    <mergeCell ref="W3:Y3"/>
    <mergeCell ref="O10:Q10"/>
    <mergeCell ref="W10:Y10"/>
    <mergeCell ref="K16:M16"/>
    <mergeCell ref="O17:Q17"/>
    <mergeCell ref="W19:Y19"/>
    <mergeCell ref="O22:Q22"/>
    <mergeCell ref="S22:U22"/>
    <mergeCell ref="S62:U62"/>
    <mergeCell ref="K30:M30"/>
    <mergeCell ref="W33:Y33"/>
    <mergeCell ref="W39:Y39"/>
    <mergeCell ref="P40:Q40"/>
    <mergeCell ref="K41:M41"/>
    <mergeCell ref="S42:U42"/>
    <mergeCell ref="K83:M83"/>
    <mergeCell ref="K50:M50"/>
    <mergeCell ref="O52:Q52"/>
    <mergeCell ref="K56:M56"/>
    <mergeCell ref="O58:Q58"/>
    <mergeCell ref="K62:M62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workbookViewId="0"/>
  </sheetViews>
  <sheetFormatPr defaultRowHeight="13.5" x14ac:dyDescent="0.15"/>
  <cols>
    <col min="2" max="2" width="22.21875" bestFit="1" customWidth="1"/>
    <col min="3" max="3" width="64.33203125" bestFit="1" customWidth="1"/>
    <col min="4" max="4" width="36.44140625" customWidth="1"/>
  </cols>
  <sheetData>
    <row r="2" spans="2:4" ht="14.25" thickBot="1" x14ac:dyDescent="0.2"/>
    <row r="3" spans="2:4" ht="14.25" thickBot="1" x14ac:dyDescent="0.2">
      <c r="B3" s="133" t="s">
        <v>481</v>
      </c>
      <c r="C3" s="134" t="s">
        <v>559</v>
      </c>
      <c r="D3" s="134" t="s">
        <v>480</v>
      </c>
    </row>
    <row r="4" spans="2:4" ht="14.25" thickBot="1" x14ac:dyDescent="0.2">
      <c r="B4" s="135" t="s">
        <v>459</v>
      </c>
      <c r="C4" s="133" t="s">
        <v>558</v>
      </c>
      <c r="D4" s="133"/>
    </row>
    <row r="5" spans="2:4" x14ac:dyDescent="0.15">
      <c r="B5" s="136" t="s">
        <v>460</v>
      </c>
      <c r="C5" s="137" t="s">
        <v>554</v>
      </c>
      <c r="D5" s="189"/>
    </row>
    <row r="6" spans="2:4" x14ac:dyDescent="0.15">
      <c r="B6" s="136" t="s">
        <v>461</v>
      </c>
      <c r="C6" s="137" t="s">
        <v>555</v>
      </c>
      <c r="D6" s="189"/>
    </row>
    <row r="7" spans="2:4" x14ac:dyDescent="0.15">
      <c r="B7" s="136" t="s">
        <v>462</v>
      </c>
      <c r="C7" s="194" t="s">
        <v>556</v>
      </c>
      <c r="D7" s="194"/>
    </row>
    <row r="8" spans="2:4" x14ac:dyDescent="0.15">
      <c r="B8" s="136" t="s">
        <v>463</v>
      </c>
      <c r="C8" s="194" t="s">
        <v>617</v>
      </c>
      <c r="D8" s="194"/>
    </row>
    <row r="9" spans="2:4" x14ac:dyDescent="0.15">
      <c r="B9" s="136" t="s">
        <v>464</v>
      </c>
      <c r="C9" s="194" t="s">
        <v>543</v>
      </c>
      <c r="D9" s="194"/>
    </row>
    <row r="10" spans="2:4" x14ac:dyDescent="0.15">
      <c r="B10" s="136" t="s">
        <v>560</v>
      </c>
      <c r="C10" s="195" t="s">
        <v>561</v>
      </c>
      <c r="D10" s="195"/>
    </row>
    <row r="11" spans="2:4" x14ac:dyDescent="0.15">
      <c r="B11" s="136" t="s">
        <v>465</v>
      </c>
      <c r="C11" s="195" t="s">
        <v>562</v>
      </c>
      <c r="D11" s="195"/>
    </row>
    <row r="12" spans="2:4" x14ac:dyDescent="0.15">
      <c r="B12" s="136" t="s">
        <v>466</v>
      </c>
      <c r="C12" s="196" t="s">
        <v>616</v>
      </c>
      <c r="D12" s="196"/>
    </row>
    <row r="13" spans="2:4" ht="40.5" x14ac:dyDescent="0.15">
      <c r="B13" s="136" t="s">
        <v>546</v>
      </c>
      <c r="C13" s="205" t="s">
        <v>557</v>
      </c>
      <c r="D13" s="205" t="s">
        <v>547</v>
      </c>
    </row>
    <row r="14" spans="2:4" x14ac:dyDescent="0.15">
      <c r="B14" s="136" t="s">
        <v>467</v>
      </c>
      <c r="C14" s="181" t="s">
        <v>530</v>
      </c>
      <c r="D14" s="181"/>
    </row>
    <row r="15" spans="2:4" x14ac:dyDescent="0.15">
      <c r="B15" s="136" t="s">
        <v>528</v>
      </c>
      <c r="C15" s="181" t="s">
        <v>563</v>
      </c>
      <c r="D15" s="181"/>
    </row>
    <row r="16" spans="2:4" x14ac:dyDescent="0.15">
      <c r="B16" s="138" t="s">
        <v>529</v>
      </c>
      <c r="C16" s="181" t="s">
        <v>549</v>
      </c>
      <c r="D16" s="181"/>
    </row>
    <row r="17" spans="2:5" ht="27" x14ac:dyDescent="0.15">
      <c r="B17" s="136" t="s">
        <v>548</v>
      </c>
      <c r="C17" s="205" t="s">
        <v>613</v>
      </c>
      <c r="D17" s="205"/>
    </row>
    <row r="18" spans="2:5" x14ac:dyDescent="0.15">
      <c r="B18" s="136" t="s">
        <v>469</v>
      </c>
      <c r="C18" s="206" t="s">
        <v>615</v>
      </c>
      <c r="D18" s="205" t="s">
        <v>614</v>
      </c>
      <c r="E18" s="183"/>
    </row>
    <row r="19" spans="2:5" s="186" customFormat="1" x14ac:dyDescent="0.15">
      <c r="B19" s="188" t="s">
        <v>540</v>
      </c>
      <c r="C19" s="181" t="s">
        <v>612</v>
      </c>
      <c r="D19" s="205"/>
      <c r="E19" s="185"/>
    </row>
    <row r="20" spans="2:5" ht="81" x14ac:dyDescent="0.15">
      <c r="B20" s="136" t="s">
        <v>468</v>
      </c>
      <c r="C20" s="205" t="s">
        <v>618</v>
      </c>
      <c r="D20" s="205"/>
      <c r="E20" s="183"/>
    </row>
    <row r="21" spans="2:5" x14ac:dyDescent="0.15">
      <c r="B21" s="182" t="s">
        <v>470</v>
      </c>
      <c r="C21" s="139" t="s">
        <v>564</v>
      </c>
      <c r="D21" s="139" t="s">
        <v>541</v>
      </c>
      <c r="E21" s="183"/>
    </row>
    <row r="22" spans="2:5" ht="27" x14ac:dyDescent="0.15">
      <c r="B22" s="182" t="s">
        <v>471</v>
      </c>
      <c r="C22" s="187" t="s">
        <v>611</v>
      </c>
      <c r="D22" s="203"/>
      <c r="E22" s="183"/>
    </row>
    <row r="23" spans="2:5" s="197" customFormat="1" ht="22.9" customHeight="1" x14ac:dyDescent="0.15">
      <c r="B23" s="200" t="s">
        <v>544</v>
      </c>
      <c r="C23" s="201" t="s">
        <v>545</v>
      </c>
      <c r="D23" s="201"/>
      <c r="E23" s="190"/>
    </row>
    <row r="24" spans="2:5" ht="54" x14ac:dyDescent="0.15">
      <c r="B24" s="136" t="s">
        <v>482</v>
      </c>
      <c r="C24" s="207" t="s">
        <v>550</v>
      </c>
      <c r="D24" s="207"/>
      <c r="E24" s="183"/>
    </row>
    <row r="25" spans="2:5" x14ac:dyDescent="0.15">
      <c r="B25" s="140" t="s">
        <v>472</v>
      </c>
      <c r="C25" s="139" t="s">
        <v>551</v>
      </c>
      <c r="D25" s="139"/>
    </row>
    <row r="26" spans="2:5" x14ac:dyDescent="0.15">
      <c r="B26" s="136" t="s">
        <v>473</v>
      </c>
      <c r="C26" s="138" t="s">
        <v>552</v>
      </c>
      <c r="D26" s="138"/>
    </row>
    <row r="27" spans="2:5" x14ac:dyDescent="0.15">
      <c r="B27" s="136" t="s">
        <v>474</v>
      </c>
      <c r="C27" s="136" t="s">
        <v>553</v>
      </c>
      <c r="D27" s="136"/>
    </row>
    <row r="28" spans="2:5" x14ac:dyDescent="0.15">
      <c r="B28" s="136" t="s">
        <v>475</v>
      </c>
      <c r="C28" s="136" t="s">
        <v>565</v>
      </c>
      <c r="D28" s="136"/>
    </row>
    <row r="29" spans="2:5" x14ac:dyDescent="0.15">
      <c r="B29" s="136" t="s">
        <v>476</v>
      </c>
      <c r="C29" s="136" t="s">
        <v>566</v>
      </c>
      <c r="D29" s="136"/>
    </row>
    <row r="30" spans="2:5" x14ac:dyDescent="0.15">
      <c r="B30" s="136" t="s">
        <v>477</v>
      </c>
      <c r="C30" s="184" t="s">
        <v>567</v>
      </c>
      <c r="D30" s="184"/>
    </row>
    <row r="31" spans="2:5" x14ac:dyDescent="0.15">
      <c r="B31" s="141" t="s">
        <v>478</v>
      </c>
      <c r="C31" s="136" t="s">
        <v>568</v>
      </c>
      <c r="D31" s="136"/>
    </row>
    <row r="32" spans="2:5" ht="14.25" thickBot="1" x14ac:dyDescent="0.2">
      <c r="B32" s="142" t="s">
        <v>479</v>
      </c>
      <c r="C32" s="142" t="s">
        <v>569</v>
      </c>
      <c r="D32" s="142"/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1"/>
  <sheetViews>
    <sheetView workbookViewId="0">
      <selection activeCell="D40" sqref="D40"/>
    </sheetView>
  </sheetViews>
  <sheetFormatPr defaultRowHeight="13.5" x14ac:dyDescent="0.15"/>
  <cols>
    <col min="2" max="2" width="10.44140625" bestFit="1" customWidth="1"/>
    <col min="3" max="3" width="15.109375" bestFit="1" customWidth="1"/>
    <col min="4" max="4" width="17.6640625" bestFit="1" customWidth="1"/>
    <col min="6" max="6" width="7.21875" bestFit="1" customWidth="1"/>
  </cols>
  <sheetData>
    <row r="2" spans="2:6" ht="26.25" x14ac:dyDescent="0.15">
      <c r="B2" s="266" t="s">
        <v>573</v>
      </c>
      <c r="C2" s="267"/>
      <c r="D2" s="267"/>
      <c r="E2" s="267"/>
      <c r="F2" s="268"/>
    </row>
    <row r="3" spans="2:6" ht="20.25" x14ac:dyDescent="0.15">
      <c r="B3" s="269" t="s">
        <v>574</v>
      </c>
      <c r="C3" s="269"/>
      <c r="D3" s="270" t="s">
        <v>610</v>
      </c>
      <c r="E3" s="271"/>
      <c r="F3" s="272"/>
    </row>
    <row r="4" spans="2:6" ht="20.25" x14ac:dyDescent="0.15">
      <c r="B4" s="131" t="s">
        <v>575</v>
      </c>
      <c r="C4" s="208" t="s">
        <v>570</v>
      </c>
      <c r="D4" s="131" t="s">
        <v>457</v>
      </c>
      <c r="E4" s="273" t="s">
        <v>571</v>
      </c>
      <c r="F4" s="274"/>
    </row>
    <row r="5" spans="2:6" ht="20.25" x14ac:dyDescent="0.15">
      <c r="B5" s="238" t="s">
        <v>576</v>
      </c>
      <c r="C5" s="239"/>
      <c r="D5" s="131" t="s">
        <v>458</v>
      </c>
      <c r="E5" s="275" t="s">
        <v>572</v>
      </c>
      <c r="F5" s="276"/>
    </row>
    <row r="6" spans="2:6" ht="16.5" x14ac:dyDescent="0.15">
      <c r="B6" s="257">
        <v>1</v>
      </c>
      <c r="C6" s="265" t="s">
        <v>577</v>
      </c>
      <c r="D6" s="240" t="s">
        <v>578</v>
      </c>
      <c r="E6" s="241">
        <v>125</v>
      </c>
      <c r="F6" s="242" t="s">
        <v>579</v>
      </c>
    </row>
    <row r="7" spans="2:6" ht="16.5" hidden="1" x14ac:dyDescent="0.15">
      <c r="B7" s="259"/>
      <c r="C7" s="264"/>
      <c r="D7" s="240" t="s">
        <v>580</v>
      </c>
      <c r="E7" s="243">
        <v>5</v>
      </c>
      <c r="F7" s="242" t="s">
        <v>579</v>
      </c>
    </row>
    <row r="8" spans="2:6" ht="16.5" hidden="1" customHeight="1" x14ac:dyDescent="0.15">
      <c r="B8" s="257">
        <v>2</v>
      </c>
      <c r="C8" s="265" t="s">
        <v>581</v>
      </c>
      <c r="D8" s="240" t="s">
        <v>581</v>
      </c>
      <c r="E8" s="241">
        <v>440</v>
      </c>
      <c r="F8" s="242" t="s">
        <v>582</v>
      </c>
    </row>
    <row r="9" spans="2:6" ht="20.25" hidden="1" customHeight="1" x14ac:dyDescent="0.15">
      <c r="B9" s="258"/>
      <c r="C9" s="263"/>
      <c r="D9" s="240" t="s">
        <v>583</v>
      </c>
      <c r="E9" s="241">
        <v>400</v>
      </c>
      <c r="F9" s="242" t="s">
        <v>584</v>
      </c>
    </row>
    <row r="10" spans="2:6" ht="16.5" hidden="1" customHeight="1" x14ac:dyDescent="0.15">
      <c r="B10" s="259"/>
      <c r="C10" s="264"/>
      <c r="D10" s="244" t="s">
        <v>585</v>
      </c>
      <c r="E10" s="245"/>
      <c r="F10" s="242" t="s">
        <v>586</v>
      </c>
    </row>
    <row r="11" spans="2:6" ht="16.5" hidden="1" customHeight="1" x14ac:dyDescent="0.15">
      <c r="B11" s="257">
        <v>3</v>
      </c>
      <c r="C11" s="265" t="s">
        <v>587</v>
      </c>
      <c r="D11" s="240" t="s">
        <v>588</v>
      </c>
      <c r="E11" s="241">
        <v>150</v>
      </c>
      <c r="F11" s="242" t="s">
        <v>589</v>
      </c>
    </row>
    <row r="12" spans="2:6" ht="16.5" hidden="1" customHeight="1" x14ac:dyDescent="0.15">
      <c r="B12" s="259"/>
      <c r="C12" s="264"/>
      <c r="D12" s="244" t="s">
        <v>590</v>
      </c>
      <c r="E12" s="245">
        <v>150</v>
      </c>
      <c r="F12" s="242" t="s">
        <v>591</v>
      </c>
    </row>
    <row r="13" spans="2:6" ht="16.5" customHeight="1" x14ac:dyDescent="0.15">
      <c r="B13" s="257">
        <v>4</v>
      </c>
      <c r="C13" s="260" t="s">
        <v>592</v>
      </c>
      <c r="D13" s="246" t="s">
        <v>531</v>
      </c>
      <c r="E13" s="243">
        <v>10</v>
      </c>
      <c r="F13" s="247" t="s">
        <v>532</v>
      </c>
    </row>
    <row r="14" spans="2:6" ht="16.5" x14ac:dyDescent="0.15">
      <c r="B14" s="258"/>
      <c r="C14" s="263"/>
      <c r="D14" s="246" t="s">
        <v>593</v>
      </c>
      <c r="E14" s="241">
        <v>4</v>
      </c>
      <c r="F14" s="99" t="s">
        <v>594</v>
      </c>
    </row>
    <row r="15" spans="2:6" ht="16.5" x14ac:dyDescent="0.15">
      <c r="B15" s="258"/>
      <c r="C15" s="263"/>
      <c r="D15" s="246" t="s">
        <v>595</v>
      </c>
      <c r="E15" s="241">
        <v>300</v>
      </c>
      <c r="F15" s="99" t="s">
        <v>533</v>
      </c>
    </row>
    <row r="16" spans="2:6" ht="16.5" x14ac:dyDescent="0.15">
      <c r="B16" s="258"/>
      <c r="C16" s="263"/>
      <c r="D16" s="246" t="s">
        <v>596</v>
      </c>
      <c r="E16" s="241">
        <v>400</v>
      </c>
      <c r="F16" s="99" t="s">
        <v>597</v>
      </c>
    </row>
    <row r="17" spans="2:6" ht="16.5" x14ac:dyDescent="0.15">
      <c r="B17" s="258"/>
      <c r="C17" s="263"/>
      <c r="D17" s="242" t="s">
        <v>534</v>
      </c>
      <c r="E17" s="241">
        <f>(5/(E13/E14))*E15</f>
        <v>600</v>
      </c>
      <c r="F17" s="99" t="s">
        <v>598</v>
      </c>
    </row>
    <row r="18" spans="2:6" ht="16.5" x14ac:dyDescent="0.15">
      <c r="B18" s="258"/>
      <c r="C18" s="263"/>
      <c r="D18" s="242" t="s">
        <v>599</v>
      </c>
      <c r="E18" s="241">
        <f>E17*1.11</f>
        <v>666.00000000000011</v>
      </c>
      <c r="F18" s="99" t="s">
        <v>598</v>
      </c>
    </row>
    <row r="19" spans="2:6" ht="16.5" x14ac:dyDescent="0.15">
      <c r="B19" s="259"/>
      <c r="C19" s="264"/>
      <c r="D19" s="248" t="s">
        <v>600</v>
      </c>
      <c r="E19" s="245">
        <v>500</v>
      </c>
      <c r="F19" s="99" t="s">
        <v>598</v>
      </c>
    </row>
    <row r="20" spans="2:6" ht="16.5" x14ac:dyDescent="0.15">
      <c r="B20" s="257">
        <v>5</v>
      </c>
      <c r="C20" s="265" t="s">
        <v>535</v>
      </c>
      <c r="D20" s="242" t="s">
        <v>580</v>
      </c>
      <c r="E20" s="241">
        <v>5000</v>
      </c>
      <c r="F20" s="99" t="s">
        <v>601</v>
      </c>
    </row>
    <row r="21" spans="2:6" ht="16.5" x14ac:dyDescent="0.15">
      <c r="B21" s="258"/>
      <c r="C21" s="263"/>
      <c r="D21" s="242" t="s">
        <v>578</v>
      </c>
      <c r="E21" s="241">
        <v>99000</v>
      </c>
      <c r="F21" s="99" t="s">
        <v>602</v>
      </c>
    </row>
    <row r="22" spans="2:6" ht="16.5" x14ac:dyDescent="0.15">
      <c r="B22" s="258"/>
      <c r="C22" s="263"/>
      <c r="D22" s="242" t="s">
        <v>536</v>
      </c>
      <c r="E22" s="241"/>
      <c r="F22" s="99" t="s">
        <v>601</v>
      </c>
    </row>
    <row r="23" spans="2:6" ht="16.5" customHeight="1" x14ac:dyDescent="0.15">
      <c r="B23" s="257">
        <v>6</v>
      </c>
      <c r="C23" s="265" t="s">
        <v>603</v>
      </c>
      <c r="D23" s="242" t="s">
        <v>604</v>
      </c>
      <c r="E23" s="241"/>
      <c r="F23" s="99"/>
    </row>
    <row r="24" spans="2:6" ht="16.5" x14ac:dyDescent="0.15">
      <c r="B24" s="258"/>
      <c r="C24" s="263"/>
      <c r="D24" s="242" t="s">
        <v>605</v>
      </c>
      <c r="E24" s="241"/>
      <c r="F24" s="99"/>
    </row>
    <row r="25" spans="2:6" ht="16.5" x14ac:dyDescent="0.15">
      <c r="B25" s="259"/>
      <c r="C25" s="264"/>
      <c r="D25" s="242" t="s">
        <v>606</v>
      </c>
      <c r="E25" s="241"/>
      <c r="F25" s="99" t="s">
        <v>607</v>
      </c>
    </row>
    <row r="26" spans="2:6" x14ac:dyDescent="0.15">
      <c r="B26" s="132">
        <v>7</v>
      </c>
      <c r="C26" s="249" t="s">
        <v>537</v>
      </c>
      <c r="D26" s="254" t="s">
        <v>608</v>
      </c>
      <c r="E26" s="255"/>
      <c r="F26" s="256"/>
    </row>
    <row r="27" spans="2:6" x14ac:dyDescent="0.15">
      <c r="B27" s="132">
        <v>8</v>
      </c>
      <c r="C27" s="249" t="s">
        <v>538</v>
      </c>
      <c r="D27" s="254" t="s">
        <v>609</v>
      </c>
      <c r="E27" s="255"/>
      <c r="F27" s="256"/>
    </row>
    <row r="28" spans="2:6" ht="16.5" customHeight="1" x14ac:dyDescent="0.15">
      <c r="B28" s="3"/>
      <c r="C28" s="3"/>
      <c r="D28" s="3"/>
      <c r="E28" s="130"/>
      <c r="F28" s="3"/>
    </row>
    <row r="29" spans="2:6" ht="16.5" customHeight="1" x14ac:dyDescent="0.15">
      <c r="B29" s="257" t="s">
        <v>539</v>
      </c>
      <c r="C29" s="260"/>
      <c r="D29" s="260"/>
      <c r="E29" s="260"/>
      <c r="F29" s="260"/>
    </row>
    <row r="30" spans="2:6" x14ac:dyDescent="0.15">
      <c r="B30" s="258"/>
      <c r="C30" s="261"/>
      <c r="D30" s="261"/>
      <c r="E30" s="261"/>
      <c r="F30" s="261"/>
    </row>
    <row r="31" spans="2:6" x14ac:dyDescent="0.15">
      <c r="B31" s="258"/>
      <c r="C31" s="261"/>
      <c r="D31" s="261"/>
      <c r="E31" s="261"/>
      <c r="F31" s="261"/>
    </row>
    <row r="32" spans="2:6" x14ac:dyDescent="0.15">
      <c r="B32" s="258"/>
      <c r="C32" s="261"/>
      <c r="D32" s="261"/>
      <c r="E32" s="261"/>
      <c r="F32" s="261"/>
    </row>
    <row r="33" spans="2:6" x14ac:dyDescent="0.15">
      <c r="B33" s="259"/>
      <c r="C33" s="262"/>
      <c r="D33" s="262"/>
      <c r="E33" s="262"/>
      <c r="F33" s="262"/>
    </row>
    <row r="39" spans="2:6" ht="16.5" customHeight="1" x14ac:dyDescent="0.15"/>
    <row r="43" spans="2:6" ht="16.5" hidden="1" customHeight="1" x14ac:dyDescent="0.15"/>
    <row r="52" ht="37.5" customHeight="1" x14ac:dyDescent="0.15"/>
    <row r="59" ht="13.5" customHeight="1" x14ac:dyDescent="0.15"/>
    <row r="61" ht="100.5" customHeight="1" x14ac:dyDescent="0.15"/>
  </sheetData>
  <mergeCells count="21">
    <mergeCell ref="B2:F2"/>
    <mergeCell ref="B3:C3"/>
    <mergeCell ref="D3:F3"/>
    <mergeCell ref="E4:F4"/>
    <mergeCell ref="E5:F5"/>
    <mergeCell ref="B6:B7"/>
    <mergeCell ref="C6:C7"/>
    <mergeCell ref="B8:B10"/>
    <mergeCell ref="C8:C10"/>
    <mergeCell ref="B11:B12"/>
    <mergeCell ref="C11:C12"/>
    <mergeCell ref="D26:F26"/>
    <mergeCell ref="D27:F27"/>
    <mergeCell ref="B29:B33"/>
    <mergeCell ref="C29:F33"/>
    <mergeCell ref="B13:B19"/>
    <mergeCell ref="C13:C19"/>
    <mergeCell ref="B20:B22"/>
    <mergeCell ref="C20:C22"/>
    <mergeCell ref="B23:B25"/>
    <mergeCell ref="C23:C25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>
      <selection activeCell="A17" sqref="A17:XFD17"/>
    </sheetView>
  </sheetViews>
  <sheetFormatPr defaultRowHeight="13.5" x14ac:dyDescent="0.15"/>
  <cols>
    <col min="13" max="13" width="14.21875" bestFit="1" customWidth="1"/>
    <col min="14" max="14" width="20.44140625" bestFit="1" customWidth="1"/>
    <col min="17" max="17" width="23.77734375" bestFit="1" customWidth="1"/>
    <col min="18" max="18" width="11.44140625" bestFit="1" customWidth="1"/>
    <col min="19" max="19" width="25.109375" bestFit="1" customWidth="1"/>
    <col min="20" max="20" width="8" bestFit="1" customWidth="1"/>
    <col min="21" max="21" width="10" bestFit="1" customWidth="1"/>
    <col min="22" max="22" width="30.77734375" bestFit="1" customWidth="1"/>
  </cols>
  <sheetData>
    <row r="1" spans="1:22" ht="14.25" thickBot="1" x14ac:dyDescent="0.2"/>
    <row r="2" spans="1:22" ht="17.25" thickBot="1" x14ac:dyDescent="0.2">
      <c r="A2" s="289" t="s">
        <v>330</v>
      </c>
      <c r="B2" s="279" t="s">
        <v>331</v>
      </c>
      <c r="C2" s="279" t="s">
        <v>332</v>
      </c>
      <c r="D2" s="279" t="s">
        <v>333</v>
      </c>
      <c r="E2" s="279" t="s">
        <v>334</v>
      </c>
      <c r="F2" s="281" t="s">
        <v>335</v>
      </c>
      <c r="G2" s="283" t="s">
        <v>336</v>
      </c>
      <c r="H2" s="279" t="s">
        <v>337</v>
      </c>
      <c r="I2" s="283" t="s">
        <v>338</v>
      </c>
      <c r="J2" s="291" t="s">
        <v>339</v>
      </c>
      <c r="K2" s="279" t="s">
        <v>340</v>
      </c>
      <c r="L2" s="281" t="s">
        <v>341</v>
      </c>
      <c r="M2" s="279" t="s">
        <v>342</v>
      </c>
      <c r="N2" s="279" t="s">
        <v>343</v>
      </c>
      <c r="O2" s="281" t="s">
        <v>344</v>
      </c>
      <c r="P2" s="279" t="s">
        <v>345</v>
      </c>
      <c r="Q2" s="279" t="s">
        <v>346</v>
      </c>
      <c r="R2" s="279"/>
      <c r="S2" s="283" t="s">
        <v>347</v>
      </c>
      <c r="T2" s="285" t="s">
        <v>348</v>
      </c>
      <c r="U2" s="287" t="s">
        <v>349</v>
      </c>
      <c r="V2" s="287" t="s">
        <v>350</v>
      </c>
    </row>
    <row r="3" spans="1:22" ht="17.25" thickBot="1" x14ac:dyDescent="0.2">
      <c r="A3" s="290"/>
      <c r="B3" s="280"/>
      <c r="C3" s="280"/>
      <c r="D3" s="280"/>
      <c r="E3" s="280"/>
      <c r="F3" s="282"/>
      <c r="G3" s="284"/>
      <c r="H3" s="280"/>
      <c r="I3" s="284"/>
      <c r="J3" s="292"/>
      <c r="K3" s="280"/>
      <c r="L3" s="282"/>
      <c r="M3" s="280"/>
      <c r="N3" s="280"/>
      <c r="O3" s="282"/>
      <c r="P3" s="280"/>
      <c r="Q3" s="150" t="s">
        <v>351</v>
      </c>
      <c r="R3" s="150" t="s">
        <v>352</v>
      </c>
      <c r="S3" s="284"/>
      <c r="T3" s="286"/>
      <c r="U3" s="288"/>
      <c r="V3" s="288"/>
    </row>
    <row r="4" spans="1:22" ht="17.25" thickTop="1" x14ac:dyDescent="0.3">
      <c r="A4" s="151">
        <v>20</v>
      </c>
      <c r="B4" s="152">
        <v>220</v>
      </c>
      <c r="C4" s="153">
        <f t="shared" ref="C4:C47" si="0">ROUNDUP(A4/(B4*0.9)/3^0.5*1000/0.9,0)</f>
        <v>65</v>
      </c>
      <c r="D4" s="153">
        <f t="shared" ref="D4:D47" si="1">ROUNDUP(B4*2^0.5*0.93,0)</f>
        <v>290</v>
      </c>
      <c r="E4" s="153">
        <f t="shared" ref="E4:E47" si="2">ROUNDUP(A4*1000/D4,0)</f>
        <v>69</v>
      </c>
      <c r="F4" s="154">
        <f t="shared" ref="F4:F47" si="3">30.8*100*C4/(1000*10)</f>
        <v>20.02</v>
      </c>
      <c r="G4" s="155">
        <f t="shared" ref="G4:G47" si="4">C4/(H4*I4)</f>
        <v>1.8571428571428572</v>
      </c>
      <c r="H4" s="152">
        <v>35</v>
      </c>
      <c r="I4" s="152">
        <v>1</v>
      </c>
      <c r="J4" s="152">
        <f t="shared" ref="J4:J47" si="5">L4*0.052</f>
        <v>3.9</v>
      </c>
      <c r="K4" s="152">
        <v>16</v>
      </c>
      <c r="L4" s="152">
        <v>75</v>
      </c>
      <c r="M4" s="152" t="s">
        <v>353</v>
      </c>
      <c r="N4" s="152" t="s">
        <v>354</v>
      </c>
      <c r="O4" s="156">
        <f t="shared" ref="O4:O47" si="6">SUM(C4*1.25)</f>
        <v>81.25</v>
      </c>
      <c r="P4" s="152" t="s">
        <v>355</v>
      </c>
      <c r="Q4" s="152" t="s">
        <v>356</v>
      </c>
      <c r="R4" s="152"/>
      <c r="S4" s="157" t="s">
        <v>357</v>
      </c>
      <c r="T4" s="157" t="s">
        <v>358</v>
      </c>
      <c r="U4" s="152" t="s">
        <v>359</v>
      </c>
      <c r="V4" s="158" t="s">
        <v>360</v>
      </c>
    </row>
    <row r="5" spans="1:22" ht="16.5" x14ac:dyDescent="0.3">
      <c r="A5" s="151">
        <v>20</v>
      </c>
      <c r="B5" s="152">
        <v>380</v>
      </c>
      <c r="C5" s="153">
        <f t="shared" si="0"/>
        <v>38</v>
      </c>
      <c r="D5" s="153">
        <f t="shared" si="1"/>
        <v>500</v>
      </c>
      <c r="E5" s="153">
        <f t="shared" si="2"/>
        <v>40</v>
      </c>
      <c r="F5" s="154">
        <f t="shared" si="3"/>
        <v>11.704000000000001</v>
      </c>
      <c r="G5" s="155">
        <f t="shared" si="4"/>
        <v>1.52</v>
      </c>
      <c r="H5" s="152">
        <v>25</v>
      </c>
      <c r="I5" s="152">
        <v>1</v>
      </c>
      <c r="J5" s="152">
        <f t="shared" si="5"/>
        <v>2.6</v>
      </c>
      <c r="K5" s="152">
        <v>16</v>
      </c>
      <c r="L5" s="152">
        <v>50</v>
      </c>
      <c r="M5" s="152" t="s">
        <v>361</v>
      </c>
      <c r="N5" s="152" t="s">
        <v>362</v>
      </c>
      <c r="O5" s="156">
        <f t="shared" si="6"/>
        <v>47.5</v>
      </c>
      <c r="P5" s="152" t="s">
        <v>363</v>
      </c>
      <c r="Q5" s="152" t="s">
        <v>356</v>
      </c>
      <c r="R5" s="152"/>
      <c r="S5" s="157" t="s">
        <v>357</v>
      </c>
      <c r="T5" s="157" t="s">
        <v>355</v>
      </c>
      <c r="U5" s="152" t="s">
        <v>364</v>
      </c>
      <c r="V5" s="158" t="s">
        <v>360</v>
      </c>
    </row>
    <row r="6" spans="1:22" ht="16.5" x14ac:dyDescent="0.3">
      <c r="A6" s="151">
        <v>20</v>
      </c>
      <c r="B6" s="152">
        <v>440</v>
      </c>
      <c r="C6" s="153">
        <f t="shared" si="0"/>
        <v>33</v>
      </c>
      <c r="D6" s="153">
        <f t="shared" si="1"/>
        <v>579</v>
      </c>
      <c r="E6" s="153">
        <f t="shared" si="2"/>
        <v>35</v>
      </c>
      <c r="F6" s="154">
        <f t="shared" si="3"/>
        <v>10.164</v>
      </c>
      <c r="G6" s="155">
        <f t="shared" si="4"/>
        <v>1.32</v>
      </c>
      <c r="H6" s="152">
        <v>25</v>
      </c>
      <c r="I6" s="152">
        <v>1</v>
      </c>
      <c r="J6" s="152">
        <f t="shared" si="5"/>
        <v>2.6</v>
      </c>
      <c r="K6" s="152">
        <v>16</v>
      </c>
      <c r="L6" s="152">
        <v>50</v>
      </c>
      <c r="M6" s="152" t="s">
        <v>361</v>
      </c>
      <c r="N6" s="152" t="s">
        <v>362</v>
      </c>
      <c r="O6" s="156">
        <f t="shared" si="6"/>
        <v>41.25</v>
      </c>
      <c r="P6" s="152" t="s">
        <v>363</v>
      </c>
      <c r="Q6" s="152" t="s">
        <v>356</v>
      </c>
      <c r="R6" s="152"/>
      <c r="S6" s="157" t="s">
        <v>357</v>
      </c>
      <c r="T6" s="157" t="s">
        <v>355</v>
      </c>
      <c r="U6" s="152" t="s">
        <v>364</v>
      </c>
      <c r="V6" s="158" t="s">
        <v>360</v>
      </c>
    </row>
    <row r="7" spans="1:22" ht="16.5" x14ac:dyDescent="0.3">
      <c r="A7" s="151">
        <v>30</v>
      </c>
      <c r="B7" s="152">
        <v>220</v>
      </c>
      <c r="C7" s="153">
        <f t="shared" si="0"/>
        <v>98</v>
      </c>
      <c r="D7" s="153">
        <f t="shared" si="1"/>
        <v>290</v>
      </c>
      <c r="E7" s="153">
        <f t="shared" si="2"/>
        <v>104</v>
      </c>
      <c r="F7" s="154">
        <f t="shared" si="3"/>
        <v>30.184000000000001</v>
      </c>
      <c r="G7" s="155">
        <f t="shared" si="4"/>
        <v>1.96</v>
      </c>
      <c r="H7" s="152">
        <v>50</v>
      </c>
      <c r="I7" s="152">
        <v>1</v>
      </c>
      <c r="J7" s="152">
        <f t="shared" si="5"/>
        <v>6.5</v>
      </c>
      <c r="K7" s="152">
        <v>16</v>
      </c>
      <c r="L7" s="152">
        <v>125</v>
      </c>
      <c r="M7" s="152" t="s">
        <v>365</v>
      </c>
      <c r="N7" s="152" t="s">
        <v>366</v>
      </c>
      <c r="O7" s="156">
        <f t="shared" si="6"/>
        <v>122.5</v>
      </c>
      <c r="P7" s="152" t="s">
        <v>367</v>
      </c>
      <c r="Q7" s="152" t="s">
        <v>356</v>
      </c>
      <c r="R7" s="159" t="s">
        <v>360</v>
      </c>
      <c r="S7" s="157" t="s">
        <v>357</v>
      </c>
      <c r="T7" s="157" t="s">
        <v>368</v>
      </c>
      <c r="U7" s="152" t="s">
        <v>364</v>
      </c>
      <c r="V7" s="158" t="s">
        <v>360</v>
      </c>
    </row>
    <row r="8" spans="1:22" ht="16.5" x14ac:dyDescent="0.3">
      <c r="A8" s="151">
        <v>30</v>
      </c>
      <c r="B8" s="152">
        <v>380</v>
      </c>
      <c r="C8" s="153">
        <f t="shared" si="0"/>
        <v>57</v>
      </c>
      <c r="D8" s="153">
        <f t="shared" si="1"/>
        <v>500</v>
      </c>
      <c r="E8" s="153">
        <f t="shared" si="2"/>
        <v>60</v>
      </c>
      <c r="F8" s="154">
        <f t="shared" si="3"/>
        <v>17.556000000000001</v>
      </c>
      <c r="G8" s="155">
        <f t="shared" si="4"/>
        <v>1.6285714285714286</v>
      </c>
      <c r="H8" s="152">
        <v>35</v>
      </c>
      <c r="I8" s="152">
        <v>1</v>
      </c>
      <c r="J8" s="152">
        <f t="shared" si="5"/>
        <v>3.9</v>
      </c>
      <c r="K8" s="152">
        <v>16</v>
      </c>
      <c r="L8" s="152">
        <v>75</v>
      </c>
      <c r="M8" s="152" t="s">
        <v>353</v>
      </c>
      <c r="N8" s="152" t="s">
        <v>354</v>
      </c>
      <c r="O8" s="156">
        <f t="shared" si="6"/>
        <v>71.25</v>
      </c>
      <c r="P8" s="152" t="s">
        <v>355</v>
      </c>
      <c r="Q8" s="152" t="s">
        <v>356</v>
      </c>
      <c r="R8" s="159" t="s">
        <v>360</v>
      </c>
      <c r="S8" s="157" t="s">
        <v>357</v>
      </c>
      <c r="T8" s="157" t="s">
        <v>355</v>
      </c>
      <c r="U8" s="152" t="s">
        <v>364</v>
      </c>
      <c r="V8" s="158" t="s">
        <v>360</v>
      </c>
    </row>
    <row r="9" spans="1:22" ht="16.5" x14ac:dyDescent="0.3">
      <c r="A9" s="151">
        <v>30</v>
      </c>
      <c r="B9" s="152">
        <v>440</v>
      </c>
      <c r="C9" s="153">
        <f t="shared" si="0"/>
        <v>49</v>
      </c>
      <c r="D9" s="153">
        <f t="shared" si="1"/>
        <v>579</v>
      </c>
      <c r="E9" s="153">
        <f t="shared" si="2"/>
        <v>52</v>
      </c>
      <c r="F9" s="154">
        <f t="shared" si="3"/>
        <v>15.092000000000001</v>
      </c>
      <c r="G9" s="155">
        <f t="shared" si="4"/>
        <v>1.4</v>
      </c>
      <c r="H9" s="152">
        <v>35</v>
      </c>
      <c r="I9" s="152">
        <v>1</v>
      </c>
      <c r="J9" s="152">
        <f t="shared" si="5"/>
        <v>3.9</v>
      </c>
      <c r="K9" s="152">
        <v>16</v>
      </c>
      <c r="L9" s="152">
        <v>75</v>
      </c>
      <c r="M9" s="152" t="s">
        <v>353</v>
      </c>
      <c r="N9" s="152" t="s">
        <v>354</v>
      </c>
      <c r="O9" s="156">
        <f t="shared" si="6"/>
        <v>61.25</v>
      </c>
      <c r="P9" s="152" t="s">
        <v>355</v>
      </c>
      <c r="Q9" s="152" t="s">
        <v>356</v>
      </c>
      <c r="R9" s="159" t="s">
        <v>360</v>
      </c>
      <c r="S9" s="157" t="s">
        <v>357</v>
      </c>
      <c r="T9" s="157" t="s">
        <v>355</v>
      </c>
      <c r="U9" s="152" t="s">
        <v>364</v>
      </c>
      <c r="V9" s="158" t="s">
        <v>360</v>
      </c>
    </row>
    <row r="10" spans="1:22" ht="16.5" x14ac:dyDescent="0.3">
      <c r="A10" s="151">
        <v>50</v>
      </c>
      <c r="B10" s="152">
        <v>220</v>
      </c>
      <c r="C10" s="153">
        <f t="shared" si="0"/>
        <v>162</v>
      </c>
      <c r="D10" s="153">
        <f t="shared" si="1"/>
        <v>290</v>
      </c>
      <c r="E10" s="153">
        <f t="shared" si="2"/>
        <v>173</v>
      </c>
      <c r="F10" s="154">
        <f t="shared" si="3"/>
        <v>49.896000000000001</v>
      </c>
      <c r="G10" s="155">
        <f t="shared" si="4"/>
        <v>2.3142857142857145</v>
      </c>
      <c r="H10" s="152">
        <v>70</v>
      </c>
      <c r="I10" s="152">
        <v>1</v>
      </c>
      <c r="J10" s="152">
        <f t="shared" si="5"/>
        <v>10.4</v>
      </c>
      <c r="K10" s="152">
        <v>16</v>
      </c>
      <c r="L10" s="152">
        <v>200</v>
      </c>
      <c r="M10" s="152" t="s">
        <v>369</v>
      </c>
      <c r="N10" s="152" t="s">
        <v>370</v>
      </c>
      <c r="O10" s="156">
        <f t="shared" si="6"/>
        <v>202.5</v>
      </c>
      <c r="P10" s="152" t="s">
        <v>371</v>
      </c>
      <c r="Q10" s="152" t="s">
        <v>372</v>
      </c>
      <c r="R10" s="159" t="s">
        <v>360</v>
      </c>
      <c r="S10" s="157" t="s">
        <v>373</v>
      </c>
      <c r="T10" s="157" t="s">
        <v>374</v>
      </c>
      <c r="U10" s="277" t="s">
        <v>375</v>
      </c>
      <c r="V10" s="278"/>
    </row>
    <row r="11" spans="1:22" ht="16.5" x14ac:dyDescent="0.3">
      <c r="A11" s="151">
        <v>50</v>
      </c>
      <c r="B11" s="152">
        <v>380</v>
      </c>
      <c r="C11" s="153">
        <f t="shared" si="0"/>
        <v>94</v>
      </c>
      <c r="D11" s="153">
        <f t="shared" si="1"/>
        <v>500</v>
      </c>
      <c r="E11" s="153">
        <f t="shared" si="2"/>
        <v>100</v>
      </c>
      <c r="F11" s="154">
        <f t="shared" si="3"/>
        <v>28.952000000000002</v>
      </c>
      <c r="G11" s="155">
        <f t="shared" si="4"/>
        <v>1.3428571428571427</v>
      </c>
      <c r="H11" s="152">
        <v>70</v>
      </c>
      <c r="I11" s="152">
        <v>1</v>
      </c>
      <c r="J11" s="152">
        <f t="shared" si="5"/>
        <v>6.5</v>
      </c>
      <c r="K11" s="152">
        <v>16</v>
      </c>
      <c r="L11" s="152">
        <v>125</v>
      </c>
      <c r="M11" s="152" t="s">
        <v>376</v>
      </c>
      <c r="N11" s="152" t="s">
        <v>366</v>
      </c>
      <c r="O11" s="156">
        <f t="shared" si="6"/>
        <v>117.5</v>
      </c>
      <c r="P11" s="152" t="s">
        <v>367</v>
      </c>
      <c r="Q11" s="152" t="s">
        <v>356</v>
      </c>
      <c r="R11" s="159" t="s">
        <v>360</v>
      </c>
      <c r="S11" s="157" t="s">
        <v>357</v>
      </c>
      <c r="T11" s="157" t="s">
        <v>368</v>
      </c>
      <c r="U11" s="152" t="s">
        <v>364</v>
      </c>
      <c r="V11" s="158" t="s">
        <v>360</v>
      </c>
    </row>
    <row r="12" spans="1:22" ht="16.5" x14ac:dyDescent="0.3">
      <c r="A12" s="151">
        <v>50</v>
      </c>
      <c r="B12" s="152">
        <v>440</v>
      </c>
      <c r="C12" s="153">
        <f t="shared" si="0"/>
        <v>81</v>
      </c>
      <c r="D12" s="153">
        <f t="shared" si="1"/>
        <v>579</v>
      </c>
      <c r="E12" s="153">
        <f t="shared" si="2"/>
        <v>87</v>
      </c>
      <c r="F12" s="154">
        <f t="shared" si="3"/>
        <v>24.948</v>
      </c>
      <c r="G12" s="155">
        <f t="shared" si="4"/>
        <v>1.1571428571428573</v>
      </c>
      <c r="H12" s="152">
        <v>70</v>
      </c>
      <c r="I12" s="152">
        <v>1</v>
      </c>
      <c r="J12" s="152">
        <f t="shared" si="5"/>
        <v>5.2</v>
      </c>
      <c r="K12" s="152">
        <v>16</v>
      </c>
      <c r="L12" s="152">
        <v>100</v>
      </c>
      <c r="M12" s="152" t="s">
        <v>376</v>
      </c>
      <c r="N12" s="152" t="s">
        <v>366</v>
      </c>
      <c r="O12" s="156">
        <f t="shared" si="6"/>
        <v>101.25</v>
      </c>
      <c r="P12" s="152" t="s">
        <v>367</v>
      </c>
      <c r="Q12" s="152" t="s">
        <v>356</v>
      </c>
      <c r="R12" s="159" t="s">
        <v>360</v>
      </c>
      <c r="S12" s="157" t="s">
        <v>357</v>
      </c>
      <c r="T12" s="157" t="s">
        <v>368</v>
      </c>
      <c r="U12" s="152" t="s">
        <v>364</v>
      </c>
      <c r="V12" s="158" t="s">
        <v>360</v>
      </c>
    </row>
    <row r="13" spans="1:22" ht="16.5" x14ac:dyDescent="0.3">
      <c r="A13" s="151">
        <v>75</v>
      </c>
      <c r="B13" s="152">
        <v>220</v>
      </c>
      <c r="C13" s="153">
        <f t="shared" si="0"/>
        <v>243</v>
      </c>
      <c r="D13" s="153">
        <f t="shared" si="1"/>
        <v>290</v>
      </c>
      <c r="E13" s="153">
        <f t="shared" si="2"/>
        <v>259</v>
      </c>
      <c r="F13" s="154">
        <f t="shared" si="3"/>
        <v>74.843999999999994</v>
      </c>
      <c r="G13" s="155">
        <f t="shared" si="4"/>
        <v>1.7357142857142858</v>
      </c>
      <c r="H13" s="152">
        <v>70</v>
      </c>
      <c r="I13" s="152">
        <v>2</v>
      </c>
      <c r="J13" s="152">
        <f t="shared" si="5"/>
        <v>15.6</v>
      </c>
      <c r="K13" s="152">
        <v>16</v>
      </c>
      <c r="L13" s="152">
        <v>300</v>
      </c>
      <c r="M13" s="152" t="s">
        <v>377</v>
      </c>
      <c r="N13" s="152" t="s">
        <v>378</v>
      </c>
      <c r="O13" s="156">
        <f t="shared" si="6"/>
        <v>303.75</v>
      </c>
      <c r="P13" s="152" t="s">
        <v>379</v>
      </c>
      <c r="Q13" s="152" t="s">
        <v>372</v>
      </c>
      <c r="R13" s="159" t="s">
        <v>360</v>
      </c>
      <c r="S13" s="157" t="s">
        <v>380</v>
      </c>
      <c r="T13" s="157" t="s">
        <v>379</v>
      </c>
      <c r="U13" s="277" t="s">
        <v>375</v>
      </c>
      <c r="V13" s="278"/>
    </row>
    <row r="14" spans="1:22" ht="16.5" x14ac:dyDescent="0.3">
      <c r="A14" s="151">
        <v>75</v>
      </c>
      <c r="B14" s="152">
        <v>380</v>
      </c>
      <c r="C14" s="153">
        <f t="shared" si="0"/>
        <v>141</v>
      </c>
      <c r="D14" s="153">
        <f t="shared" si="1"/>
        <v>500</v>
      </c>
      <c r="E14" s="153">
        <f t="shared" si="2"/>
        <v>150</v>
      </c>
      <c r="F14" s="154">
        <f t="shared" si="3"/>
        <v>43.427999999999997</v>
      </c>
      <c r="G14" s="155">
        <f t="shared" si="4"/>
        <v>2.0142857142857142</v>
      </c>
      <c r="H14" s="152">
        <v>70</v>
      </c>
      <c r="I14" s="152">
        <v>1</v>
      </c>
      <c r="J14" s="152">
        <f t="shared" si="5"/>
        <v>9.1</v>
      </c>
      <c r="K14" s="152">
        <v>16</v>
      </c>
      <c r="L14" s="152">
        <v>175</v>
      </c>
      <c r="M14" s="152" t="s">
        <v>369</v>
      </c>
      <c r="N14" s="152" t="s">
        <v>370</v>
      </c>
      <c r="O14" s="156">
        <f t="shared" si="6"/>
        <v>176.25</v>
      </c>
      <c r="P14" s="152" t="s">
        <v>371</v>
      </c>
      <c r="Q14" s="152" t="s">
        <v>372</v>
      </c>
      <c r="R14" s="159" t="s">
        <v>360</v>
      </c>
      <c r="S14" s="157" t="s">
        <v>380</v>
      </c>
      <c r="T14" s="157" t="s">
        <v>371</v>
      </c>
      <c r="U14" s="277" t="s">
        <v>375</v>
      </c>
      <c r="V14" s="278"/>
    </row>
    <row r="15" spans="1:22" ht="16.5" x14ac:dyDescent="0.3">
      <c r="A15" s="151">
        <v>75</v>
      </c>
      <c r="B15" s="152">
        <v>440</v>
      </c>
      <c r="C15" s="153">
        <f t="shared" si="0"/>
        <v>122</v>
      </c>
      <c r="D15" s="153">
        <f t="shared" si="1"/>
        <v>579</v>
      </c>
      <c r="E15" s="153">
        <f t="shared" si="2"/>
        <v>130</v>
      </c>
      <c r="F15" s="154">
        <f t="shared" si="3"/>
        <v>37.576000000000001</v>
      </c>
      <c r="G15" s="155">
        <f t="shared" si="4"/>
        <v>1.7428571428571429</v>
      </c>
      <c r="H15" s="152">
        <v>70</v>
      </c>
      <c r="I15" s="152">
        <v>1</v>
      </c>
      <c r="J15" s="152">
        <f t="shared" si="5"/>
        <v>7.8</v>
      </c>
      <c r="K15" s="152">
        <v>16</v>
      </c>
      <c r="L15" s="152">
        <v>150</v>
      </c>
      <c r="M15" s="152" t="s">
        <v>369</v>
      </c>
      <c r="N15" s="152" t="s">
        <v>370</v>
      </c>
      <c r="O15" s="156">
        <f t="shared" si="6"/>
        <v>152.5</v>
      </c>
      <c r="P15" s="152" t="s">
        <v>371</v>
      </c>
      <c r="Q15" s="152" t="s">
        <v>372</v>
      </c>
      <c r="R15" s="159" t="s">
        <v>360</v>
      </c>
      <c r="S15" s="157" t="s">
        <v>380</v>
      </c>
      <c r="T15" s="157" t="s">
        <v>371</v>
      </c>
      <c r="U15" s="277" t="s">
        <v>375</v>
      </c>
      <c r="V15" s="278"/>
    </row>
    <row r="16" spans="1:22" ht="16.5" x14ac:dyDescent="0.3">
      <c r="A16" s="151">
        <v>100</v>
      </c>
      <c r="B16" s="152">
        <v>380</v>
      </c>
      <c r="C16" s="153">
        <f t="shared" si="0"/>
        <v>188</v>
      </c>
      <c r="D16" s="153">
        <f t="shared" si="1"/>
        <v>500</v>
      </c>
      <c r="E16" s="153">
        <f t="shared" si="2"/>
        <v>200</v>
      </c>
      <c r="F16" s="154">
        <f t="shared" si="3"/>
        <v>57.904000000000003</v>
      </c>
      <c r="G16" s="155">
        <f t="shared" si="4"/>
        <v>1.9789473684210526</v>
      </c>
      <c r="H16" s="152">
        <v>95</v>
      </c>
      <c r="I16" s="152">
        <v>1</v>
      </c>
      <c r="J16" s="152">
        <f t="shared" si="5"/>
        <v>10.4</v>
      </c>
      <c r="K16" s="152">
        <v>16</v>
      </c>
      <c r="L16" s="152">
        <v>200</v>
      </c>
      <c r="M16" s="152" t="s">
        <v>369</v>
      </c>
      <c r="N16" s="152" t="s">
        <v>381</v>
      </c>
      <c r="O16" s="156">
        <f t="shared" si="6"/>
        <v>235</v>
      </c>
      <c r="P16" s="152" t="s">
        <v>382</v>
      </c>
      <c r="Q16" s="152" t="s">
        <v>372</v>
      </c>
      <c r="R16" s="159" t="s">
        <v>360</v>
      </c>
      <c r="S16" s="157" t="s">
        <v>380</v>
      </c>
      <c r="T16" s="157" t="s">
        <v>379</v>
      </c>
      <c r="U16" s="277" t="s">
        <v>375</v>
      </c>
      <c r="V16" s="278"/>
    </row>
    <row r="17" spans="1:22" ht="16.5" x14ac:dyDescent="0.3">
      <c r="A17" s="151">
        <v>100</v>
      </c>
      <c r="B17" s="152">
        <v>440</v>
      </c>
      <c r="C17" s="153">
        <f t="shared" si="0"/>
        <v>162</v>
      </c>
      <c r="D17" s="153">
        <f t="shared" si="1"/>
        <v>579</v>
      </c>
      <c r="E17" s="153">
        <f t="shared" si="2"/>
        <v>173</v>
      </c>
      <c r="F17" s="154">
        <f t="shared" si="3"/>
        <v>49.896000000000001</v>
      </c>
      <c r="G17" s="155">
        <f t="shared" si="4"/>
        <v>1.7052631578947368</v>
      </c>
      <c r="H17" s="152">
        <v>95</v>
      </c>
      <c r="I17" s="152">
        <v>1</v>
      </c>
      <c r="J17" s="152">
        <f t="shared" si="5"/>
        <v>10.4</v>
      </c>
      <c r="K17" s="152">
        <v>16</v>
      </c>
      <c r="L17" s="152">
        <v>200</v>
      </c>
      <c r="M17" s="152" t="s">
        <v>369</v>
      </c>
      <c r="N17" s="152" t="s">
        <v>381</v>
      </c>
      <c r="O17" s="156">
        <f t="shared" si="6"/>
        <v>202.5</v>
      </c>
      <c r="P17" s="152" t="s">
        <v>382</v>
      </c>
      <c r="Q17" s="152" t="s">
        <v>372</v>
      </c>
      <c r="R17" s="159" t="s">
        <v>360</v>
      </c>
      <c r="S17" s="157" t="s">
        <v>380</v>
      </c>
      <c r="T17" s="157" t="s">
        <v>379</v>
      </c>
      <c r="U17" s="277" t="s">
        <v>375</v>
      </c>
      <c r="V17" s="278"/>
    </row>
    <row r="18" spans="1:22" ht="16.5" x14ac:dyDescent="0.3">
      <c r="A18" s="151">
        <v>125</v>
      </c>
      <c r="B18" s="152">
        <v>380</v>
      </c>
      <c r="C18" s="153">
        <f t="shared" si="0"/>
        <v>235</v>
      </c>
      <c r="D18" s="153">
        <f t="shared" si="1"/>
        <v>500</v>
      </c>
      <c r="E18" s="153">
        <f t="shared" si="2"/>
        <v>250</v>
      </c>
      <c r="F18" s="154">
        <f t="shared" si="3"/>
        <v>72.38</v>
      </c>
      <c r="G18" s="155">
        <f t="shared" si="4"/>
        <v>1.6785714285714286</v>
      </c>
      <c r="H18" s="152">
        <v>70</v>
      </c>
      <c r="I18" s="152">
        <v>2</v>
      </c>
      <c r="J18" s="152">
        <f t="shared" si="5"/>
        <v>13</v>
      </c>
      <c r="K18" s="152">
        <v>16</v>
      </c>
      <c r="L18" s="152">
        <v>250</v>
      </c>
      <c r="M18" s="152" t="s">
        <v>377</v>
      </c>
      <c r="N18" s="152" t="s">
        <v>378</v>
      </c>
      <c r="O18" s="156">
        <f t="shared" si="6"/>
        <v>293.75</v>
      </c>
      <c r="P18" s="152" t="s">
        <v>379</v>
      </c>
      <c r="Q18" s="152" t="s">
        <v>372</v>
      </c>
      <c r="R18" s="159" t="s">
        <v>360</v>
      </c>
      <c r="S18" s="157" t="s">
        <v>383</v>
      </c>
      <c r="T18" s="157" t="s">
        <v>379</v>
      </c>
      <c r="U18" s="277" t="s">
        <v>375</v>
      </c>
      <c r="V18" s="278"/>
    </row>
    <row r="19" spans="1:22" ht="16.5" x14ac:dyDescent="0.3">
      <c r="A19" s="151">
        <v>125</v>
      </c>
      <c r="B19" s="152">
        <v>440</v>
      </c>
      <c r="C19" s="153">
        <f t="shared" si="0"/>
        <v>203</v>
      </c>
      <c r="D19" s="153">
        <f t="shared" si="1"/>
        <v>579</v>
      </c>
      <c r="E19" s="153">
        <f t="shared" si="2"/>
        <v>216</v>
      </c>
      <c r="F19" s="154">
        <f t="shared" si="3"/>
        <v>62.524000000000001</v>
      </c>
      <c r="G19" s="155">
        <f t="shared" si="4"/>
        <v>1.45</v>
      </c>
      <c r="H19" s="152">
        <v>70</v>
      </c>
      <c r="I19" s="152">
        <v>2</v>
      </c>
      <c r="J19" s="152">
        <f t="shared" si="5"/>
        <v>13</v>
      </c>
      <c r="K19" s="152">
        <v>16</v>
      </c>
      <c r="L19" s="152">
        <v>250</v>
      </c>
      <c r="M19" s="152" t="s">
        <v>384</v>
      </c>
      <c r="N19" s="152" t="s">
        <v>381</v>
      </c>
      <c r="O19" s="156">
        <f t="shared" si="6"/>
        <v>253.75</v>
      </c>
      <c r="P19" s="152" t="s">
        <v>379</v>
      </c>
      <c r="Q19" s="152" t="s">
        <v>372</v>
      </c>
      <c r="R19" s="159" t="s">
        <v>360</v>
      </c>
      <c r="S19" s="157" t="s">
        <v>383</v>
      </c>
      <c r="T19" s="157" t="s">
        <v>379</v>
      </c>
      <c r="U19" s="277" t="s">
        <v>375</v>
      </c>
      <c r="V19" s="278"/>
    </row>
    <row r="20" spans="1:22" ht="16.5" x14ac:dyDescent="0.3">
      <c r="A20" s="151">
        <v>150</v>
      </c>
      <c r="B20" s="152">
        <v>380</v>
      </c>
      <c r="C20" s="153">
        <f t="shared" si="0"/>
        <v>282</v>
      </c>
      <c r="D20" s="153">
        <f t="shared" si="1"/>
        <v>500</v>
      </c>
      <c r="E20" s="153">
        <f t="shared" si="2"/>
        <v>300</v>
      </c>
      <c r="F20" s="154">
        <f t="shared" si="3"/>
        <v>86.855999999999995</v>
      </c>
      <c r="G20" s="155">
        <f t="shared" si="4"/>
        <v>2.0142857142857142</v>
      </c>
      <c r="H20" s="152">
        <v>70</v>
      </c>
      <c r="I20" s="152">
        <v>2</v>
      </c>
      <c r="J20" s="152">
        <f t="shared" si="5"/>
        <v>15.6</v>
      </c>
      <c r="K20" s="152">
        <v>25</v>
      </c>
      <c r="L20" s="152">
        <v>300</v>
      </c>
      <c r="M20" s="152" t="s">
        <v>377</v>
      </c>
      <c r="N20" s="152" t="s">
        <v>378</v>
      </c>
      <c r="O20" s="156">
        <f t="shared" si="6"/>
        <v>352.5</v>
      </c>
      <c r="P20" s="152" t="s">
        <v>385</v>
      </c>
      <c r="Q20" s="152" t="s">
        <v>372</v>
      </c>
      <c r="R20" s="159" t="s">
        <v>360</v>
      </c>
      <c r="S20" s="157" t="s">
        <v>383</v>
      </c>
      <c r="T20" s="157" t="s">
        <v>385</v>
      </c>
      <c r="U20" s="277" t="s">
        <v>375</v>
      </c>
      <c r="V20" s="278"/>
    </row>
    <row r="21" spans="1:22" ht="16.5" x14ac:dyDescent="0.3">
      <c r="A21" s="151">
        <v>150</v>
      </c>
      <c r="B21" s="152">
        <v>440</v>
      </c>
      <c r="C21" s="153">
        <f t="shared" si="0"/>
        <v>243</v>
      </c>
      <c r="D21" s="153">
        <f t="shared" si="1"/>
        <v>579</v>
      </c>
      <c r="E21" s="153">
        <f t="shared" si="2"/>
        <v>260</v>
      </c>
      <c r="F21" s="154">
        <f t="shared" si="3"/>
        <v>74.843999999999994</v>
      </c>
      <c r="G21" s="155">
        <f t="shared" si="4"/>
        <v>1.7357142857142858</v>
      </c>
      <c r="H21" s="152">
        <v>70</v>
      </c>
      <c r="I21" s="152">
        <v>2</v>
      </c>
      <c r="J21" s="152">
        <f t="shared" si="5"/>
        <v>15.6</v>
      </c>
      <c r="K21" s="152">
        <v>25</v>
      </c>
      <c r="L21" s="152">
        <v>300</v>
      </c>
      <c r="M21" s="152" t="s">
        <v>377</v>
      </c>
      <c r="N21" s="152" t="s">
        <v>378</v>
      </c>
      <c r="O21" s="156">
        <f t="shared" si="6"/>
        <v>303.75</v>
      </c>
      <c r="P21" s="152" t="s">
        <v>379</v>
      </c>
      <c r="Q21" s="152" t="s">
        <v>372</v>
      </c>
      <c r="R21" s="159" t="s">
        <v>360</v>
      </c>
      <c r="S21" s="157" t="s">
        <v>383</v>
      </c>
      <c r="T21" s="157" t="s">
        <v>385</v>
      </c>
      <c r="U21" s="277" t="s">
        <v>375</v>
      </c>
      <c r="V21" s="278"/>
    </row>
    <row r="22" spans="1:22" ht="16.5" x14ac:dyDescent="0.3">
      <c r="A22" s="151">
        <v>200</v>
      </c>
      <c r="B22" s="152">
        <v>380</v>
      </c>
      <c r="C22" s="153">
        <f t="shared" si="0"/>
        <v>376</v>
      </c>
      <c r="D22" s="153">
        <f t="shared" si="1"/>
        <v>500</v>
      </c>
      <c r="E22" s="153">
        <f t="shared" si="2"/>
        <v>400</v>
      </c>
      <c r="F22" s="154">
        <f t="shared" si="3"/>
        <v>115.80800000000001</v>
      </c>
      <c r="G22" s="155">
        <f t="shared" si="4"/>
        <v>1.9789473684210526</v>
      </c>
      <c r="H22" s="152">
        <v>95</v>
      </c>
      <c r="I22" s="152">
        <v>2</v>
      </c>
      <c r="J22" s="152">
        <f t="shared" si="5"/>
        <v>20.8</v>
      </c>
      <c r="K22" s="152">
        <v>25</v>
      </c>
      <c r="L22" s="152">
        <v>400</v>
      </c>
      <c r="M22" s="152" t="s">
        <v>386</v>
      </c>
      <c r="N22" s="152" t="s">
        <v>378</v>
      </c>
      <c r="O22" s="156">
        <f t="shared" si="6"/>
        <v>470</v>
      </c>
      <c r="P22" s="152" t="s">
        <v>387</v>
      </c>
      <c r="Q22" s="152" t="s">
        <v>388</v>
      </c>
      <c r="R22" s="159" t="s">
        <v>360</v>
      </c>
      <c r="S22" s="157" t="s">
        <v>383</v>
      </c>
      <c r="T22" s="157" t="s">
        <v>387</v>
      </c>
      <c r="U22" s="277" t="s">
        <v>375</v>
      </c>
      <c r="V22" s="278"/>
    </row>
    <row r="23" spans="1:22" ht="16.5" x14ac:dyDescent="0.3">
      <c r="A23" s="151">
        <v>200</v>
      </c>
      <c r="B23" s="152">
        <v>440</v>
      </c>
      <c r="C23" s="153">
        <f t="shared" si="0"/>
        <v>324</v>
      </c>
      <c r="D23" s="153">
        <f t="shared" si="1"/>
        <v>579</v>
      </c>
      <c r="E23" s="153">
        <f t="shared" si="2"/>
        <v>346</v>
      </c>
      <c r="F23" s="154">
        <f t="shared" si="3"/>
        <v>99.792000000000002</v>
      </c>
      <c r="G23" s="155">
        <f t="shared" si="4"/>
        <v>1.7052631578947368</v>
      </c>
      <c r="H23" s="152">
        <v>95</v>
      </c>
      <c r="I23" s="152">
        <v>2</v>
      </c>
      <c r="J23" s="152">
        <f t="shared" si="5"/>
        <v>20.8</v>
      </c>
      <c r="K23" s="152">
        <v>25</v>
      </c>
      <c r="L23" s="152">
        <v>400</v>
      </c>
      <c r="M23" s="152" t="s">
        <v>386</v>
      </c>
      <c r="N23" s="152" t="s">
        <v>378</v>
      </c>
      <c r="O23" s="156">
        <f t="shared" si="6"/>
        <v>405</v>
      </c>
      <c r="P23" s="152" t="s">
        <v>385</v>
      </c>
      <c r="Q23" s="152" t="s">
        <v>388</v>
      </c>
      <c r="R23" s="159" t="s">
        <v>360</v>
      </c>
      <c r="S23" s="157" t="s">
        <v>383</v>
      </c>
      <c r="T23" s="157" t="s">
        <v>387</v>
      </c>
      <c r="U23" s="277" t="s">
        <v>375</v>
      </c>
      <c r="V23" s="278"/>
    </row>
    <row r="24" spans="1:22" ht="16.5" x14ac:dyDescent="0.3">
      <c r="A24" s="151">
        <v>250</v>
      </c>
      <c r="B24" s="152">
        <v>380</v>
      </c>
      <c r="C24" s="153">
        <f t="shared" si="0"/>
        <v>469</v>
      </c>
      <c r="D24" s="153">
        <f t="shared" si="1"/>
        <v>500</v>
      </c>
      <c r="E24" s="153">
        <f t="shared" si="2"/>
        <v>500</v>
      </c>
      <c r="F24" s="154">
        <f t="shared" si="3"/>
        <v>144.452</v>
      </c>
      <c r="G24" s="155">
        <f t="shared" si="4"/>
        <v>1.9541666666666666</v>
      </c>
      <c r="H24" s="152">
        <v>120</v>
      </c>
      <c r="I24" s="152">
        <v>2</v>
      </c>
      <c r="J24" s="152">
        <f t="shared" si="5"/>
        <v>26</v>
      </c>
      <c r="K24" s="152">
        <v>35</v>
      </c>
      <c r="L24" s="152">
        <v>500</v>
      </c>
      <c r="M24" s="152" t="s">
        <v>389</v>
      </c>
      <c r="N24" s="152" t="s">
        <v>390</v>
      </c>
      <c r="O24" s="156">
        <f t="shared" si="6"/>
        <v>586.25</v>
      </c>
      <c r="P24" s="152" t="s">
        <v>391</v>
      </c>
      <c r="Q24" s="152" t="s">
        <v>388</v>
      </c>
      <c r="R24" s="159" t="s">
        <v>360</v>
      </c>
      <c r="S24" s="157" t="s">
        <v>392</v>
      </c>
      <c r="T24" s="157" t="s">
        <v>391</v>
      </c>
      <c r="U24" s="277" t="s">
        <v>375</v>
      </c>
      <c r="V24" s="278"/>
    </row>
    <row r="25" spans="1:22" ht="16.5" x14ac:dyDescent="0.3">
      <c r="A25" s="151">
        <v>250</v>
      </c>
      <c r="B25" s="152">
        <v>440</v>
      </c>
      <c r="C25" s="153">
        <f t="shared" si="0"/>
        <v>405</v>
      </c>
      <c r="D25" s="153">
        <f t="shared" si="1"/>
        <v>579</v>
      </c>
      <c r="E25" s="153">
        <f t="shared" si="2"/>
        <v>432</v>
      </c>
      <c r="F25" s="154">
        <f t="shared" si="3"/>
        <v>124.74</v>
      </c>
      <c r="G25" s="155">
        <f t="shared" si="4"/>
        <v>1.6875</v>
      </c>
      <c r="H25" s="152">
        <v>120</v>
      </c>
      <c r="I25" s="152">
        <v>2</v>
      </c>
      <c r="J25" s="152">
        <f t="shared" si="5"/>
        <v>26</v>
      </c>
      <c r="K25" s="152">
        <v>35</v>
      </c>
      <c r="L25" s="152">
        <v>500</v>
      </c>
      <c r="M25" s="152" t="s">
        <v>386</v>
      </c>
      <c r="N25" s="152" t="s">
        <v>393</v>
      </c>
      <c r="O25" s="156">
        <f t="shared" si="6"/>
        <v>506.25</v>
      </c>
      <c r="P25" s="152" t="s">
        <v>387</v>
      </c>
      <c r="Q25" s="152" t="s">
        <v>388</v>
      </c>
      <c r="R25" s="159" t="s">
        <v>360</v>
      </c>
      <c r="S25" s="157" t="s">
        <v>392</v>
      </c>
      <c r="T25" s="157" t="s">
        <v>391</v>
      </c>
      <c r="U25" s="277" t="s">
        <v>375</v>
      </c>
      <c r="V25" s="278"/>
    </row>
    <row r="26" spans="1:22" ht="16.5" x14ac:dyDescent="0.3">
      <c r="A26" s="151">
        <v>300</v>
      </c>
      <c r="B26" s="152">
        <v>380</v>
      </c>
      <c r="C26" s="153">
        <f t="shared" si="0"/>
        <v>563</v>
      </c>
      <c r="D26" s="153">
        <f t="shared" si="1"/>
        <v>500</v>
      </c>
      <c r="E26" s="153">
        <f t="shared" si="2"/>
        <v>600</v>
      </c>
      <c r="F26" s="154">
        <f t="shared" si="3"/>
        <v>173.404</v>
      </c>
      <c r="G26" s="155">
        <f t="shared" si="4"/>
        <v>1.8766666666666667</v>
      </c>
      <c r="H26" s="152">
        <v>150</v>
      </c>
      <c r="I26" s="152">
        <v>2</v>
      </c>
      <c r="J26" s="152">
        <f t="shared" si="5"/>
        <v>32.76</v>
      </c>
      <c r="K26" s="152">
        <v>35</v>
      </c>
      <c r="L26" s="152">
        <v>630</v>
      </c>
      <c r="M26" s="152" t="s">
        <v>394</v>
      </c>
      <c r="N26" s="152" t="s">
        <v>390</v>
      </c>
      <c r="O26" s="156">
        <f t="shared" si="6"/>
        <v>703.75</v>
      </c>
      <c r="P26" s="152" t="s">
        <v>395</v>
      </c>
      <c r="Q26" s="152" t="s">
        <v>388</v>
      </c>
      <c r="R26" s="159" t="s">
        <v>360</v>
      </c>
      <c r="S26" s="157" t="s">
        <v>392</v>
      </c>
      <c r="T26" s="157" t="s">
        <v>395</v>
      </c>
      <c r="U26" s="277" t="s">
        <v>375</v>
      </c>
      <c r="V26" s="278"/>
    </row>
    <row r="27" spans="1:22" ht="16.5" x14ac:dyDescent="0.3">
      <c r="A27" s="151">
        <v>300</v>
      </c>
      <c r="B27" s="152">
        <v>440</v>
      </c>
      <c r="C27" s="153">
        <f t="shared" si="0"/>
        <v>486</v>
      </c>
      <c r="D27" s="153">
        <f t="shared" si="1"/>
        <v>579</v>
      </c>
      <c r="E27" s="153">
        <f t="shared" si="2"/>
        <v>519</v>
      </c>
      <c r="F27" s="154">
        <f t="shared" si="3"/>
        <v>149.68799999999999</v>
      </c>
      <c r="G27" s="155">
        <f t="shared" si="4"/>
        <v>1.62</v>
      </c>
      <c r="H27" s="152">
        <v>150</v>
      </c>
      <c r="I27" s="152">
        <v>2</v>
      </c>
      <c r="J27" s="152">
        <f t="shared" si="5"/>
        <v>32.76</v>
      </c>
      <c r="K27" s="152">
        <v>35</v>
      </c>
      <c r="L27" s="152">
        <v>630</v>
      </c>
      <c r="M27" s="152" t="s">
        <v>394</v>
      </c>
      <c r="N27" s="152" t="s">
        <v>390</v>
      </c>
      <c r="O27" s="156">
        <f t="shared" si="6"/>
        <v>607.5</v>
      </c>
      <c r="P27" s="152" t="s">
        <v>391</v>
      </c>
      <c r="Q27" s="152" t="s">
        <v>388</v>
      </c>
      <c r="R27" s="159" t="s">
        <v>360</v>
      </c>
      <c r="S27" s="157" t="s">
        <v>392</v>
      </c>
      <c r="T27" s="157" t="s">
        <v>395</v>
      </c>
      <c r="U27" s="277" t="s">
        <v>375</v>
      </c>
      <c r="V27" s="278"/>
    </row>
    <row r="28" spans="1:22" ht="16.5" x14ac:dyDescent="0.3">
      <c r="A28" s="151">
        <v>350</v>
      </c>
      <c r="B28" s="152">
        <v>440</v>
      </c>
      <c r="C28" s="153">
        <f t="shared" si="0"/>
        <v>567</v>
      </c>
      <c r="D28" s="153">
        <f t="shared" si="1"/>
        <v>579</v>
      </c>
      <c r="E28" s="153">
        <f t="shared" si="2"/>
        <v>605</v>
      </c>
      <c r="F28" s="154">
        <f t="shared" si="3"/>
        <v>174.636</v>
      </c>
      <c r="G28" s="155">
        <f t="shared" si="4"/>
        <v>1.89</v>
      </c>
      <c r="H28" s="152">
        <v>150</v>
      </c>
      <c r="I28" s="152">
        <v>2</v>
      </c>
      <c r="J28" s="152">
        <f t="shared" si="5"/>
        <v>36.4</v>
      </c>
      <c r="K28" s="152">
        <v>50</v>
      </c>
      <c r="L28" s="152">
        <v>700</v>
      </c>
      <c r="M28" s="152" t="s">
        <v>396</v>
      </c>
      <c r="N28" s="152" t="s">
        <v>397</v>
      </c>
      <c r="O28" s="156">
        <f t="shared" si="6"/>
        <v>708.75</v>
      </c>
      <c r="P28" s="152" t="s">
        <v>395</v>
      </c>
      <c r="Q28" s="152" t="s">
        <v>388</v>
      </c>
      <c r="R28" s="159" t="s">
        <v>360</v>
      </c>
      <c r="S28" s="157" t="s">
        <v>392</v>
      </c>
      <c r="T28" s="157" t="s">
        <v>395</v>
      </c>
      <c r="U28" s="277" t="s">
        <v>375</v>
      </c>
      <c r="V28" s="278"/>
    </row>
    <row r="29" spans="1:22" ht="16.5" x14ac:dyDescent="0.3">
      <c r="A29" s="151">
        <v>400</v>
      </c>
      <c r="B29" s="152">
        <v>440</v>
      </c>
      <c r="C29" s="153">
        <f t="shared" si="0"/>
        <v>648</v>
      </c>
      <c r="D29" s="153">
        <f t="shared" si="1"/>
        <v>579</v>
      </c>
      <c r="E29" s="153">
        <f t="shared" si="2"/>
        <v>691</v>
      </c>
      <c r="F29" s="154">
        <f t="shared" si="3"/>
        <v>199.584</v>
      </c>
      <c r="G29" s="155">
        <f t="shared" si="4"/>
        <v>2.16</v>
      </c>
      <c r="H29" s="152">
        <v>150</v>
      </c>
      <c r="I29" s="152">
        <v>2</v>
      </c>
      <c r="J29" s="152">
        <f t="shared" si="5"/>
        <v>41.6</v>
      </c>
      <c r="K29" s="152">
        <v>50</v>
      </c>
      <c r="L29" s="152">
        <v>800</v>
      </c>
      <c r="M29" s="152" t="s">
        <v>396</v>
      </c>
      <c r="N29" s="152" t="s">
        <v>397</v>
      </c>
      <c r="O29" s="156">
        <f t="shared" si="6"/>
        <v>810</v>
      </c>
      <c r="P29" s="152" t="s">
        <v>395</v>
      </c>
      <c r="Q29" s="152" t="s">
        <v>398</v>
      </c>
      <c r="R29" s="159" t="s">
        <v>360</v>
      </c>
      <c r="S29" s="157" t="s">
        <v>392</v>
      </c>
      <c r="T29" s="157" t="s">
        <v>399</v>
      </c>
      <c r="U29" s="277" t="s">
        <v>375</v>
      </c>
      <c r="V29" s="278"/>
    </row>
    <row r="30" spans="1:22" ht="16.5" x14ac:dyDescent="0.3">
      <c r="A30" s="151">
        <v>450</v>
      </c>
      <c r="B30" s="152">
        <v>440</v>
      </c>
      <c r="C30" s="153">
        <f t="shared" si="0"/>
        <v>729</v>
      </c>
      <c r="D30" s="153">
        <f t="shared" si="1"/>
        <v>579</v>
      </c>
      <c r="E30" s="153">
        <f t="shared" si="2"/>
        <v>778</v>
      </c>
      <c r="F30" s="154"/>
      <c r="G30" s="155">
        <f t="shared" si="4"/>
        <v>1.9702702702702704</v>
      </c>
      <c r="H30" s="152">
        <v>185</v>
      </c>
      <c r="I30" s="152">
        <v>2</v>
      </c>
      <c r="J30" s="152">
        <f t="shared" si="5"/>
        <v>41.6</v>
      </c>
      <c r="K30" s="152">
        <v>50</v>
      </c>
      <c r="L30" s="152">
        <v>800</v>
      </c>
      <c r="M30" s="152" t="s">
        <v>396</v>
      </c>
      <c r="N30" s="152" t="s">
        <v>400</v>
      </c>
      <c r="O30" s="156">
        <f t="shared" si="6"/>
        <v>911.25</v>
      </c>
      <c r="P30" s="152" t="s">
        <v>401</v>
      </c>
      <c r="Q30" s="152" t="s">
        <v>398</v>
      </c>
      <c r="R30" s="159" t="s">
        <v>360</v>
      </c>
      <c r="S30" s="157" t="s">
        <v>392</v>
      </c>
      <c r="T30" s="157" t="s">
        <v>399</v>
      </c>
      <c r="U30" s="277" t="s">
        <v>375</v>
      </c>
      <c r="V30" s="278"/>
    </row>
    <row r="31" spans="1:22" ht="16.5" x14ac:dyDescent="0.3">
      <c r="A31" s="151">
        <v>500</v>
      </c>
      <c r="B31" s="152">
        <v>440</v>
      </c>
      <c r="C31" s="153">
        <f t="shared" si="0"/>
        <v>810</v>
      </c>
      <c r="D31" s="153">
        <f t="shared" si="1"/>
        <v>579</v>
      </c>
      <c r="E31" s="153">
        <f t="shared" si="2"/>
        <v>864</v>
      </c>
      <c r="F31" s="154">
        <f t="shared" si="3"/>
        <v>249.48</v>
      </c>
      <c r="G31" s="155">
        <f t="shared" si="4"/>
        <v>2.189189189189189</v>
      </c>
      <c r="H31" s="152">
        <v>185</v>
      </c>
      <c r="I31" s="152">
        <v>2</v>
      </c>
      <c r="J31" s="152">
        <f t="shared" si="5"/>
        <v>52</v>
      </c>
      <c r="K31" s="152">
        <v>70</v>
      </c>
      <c r="L31" s="152">
        <v>1000</v>
      </c>
      <c r="M31" s="152" t="s">
        <v>402</v>
      </c>
      <c r="N31" s="152" t="s">
        <v>403</v>
      </c>
      <c r="O31" s="156">
        <f t="shared" si="6"/>
        <v>1012.5</v>
      </c>
      <c r="P31" s="152" t="s">
        <v>399</v>
      </c>
      <c r="Q31" s="152" t="s">
        <v>398</v>
      </c>
      <c r="R31" s="159" t="s">
        <v>360</v>
      </c>
      <c r="S31" s="157" t="s">
        <v>404</v>
      </c>
      <c r="T31" s="157" t="s">
        <v>405</v>
      </c>
      <c r="U31" s="277" t="s">
        <v>375</v>
      </c>
      <c r="V31" s="278"/>
    </row>
    <row r="32" spans="1:22" ht="16.5" x14ac:dyDescent="0.3">
      <c r="A32" s="151">
        <v>600</v>
      </c>
      <c r="B32" s="152">
        <v>460</v>
      </c>
      <c r="C32" s="153">
        <f t="shared" si="0"/>
        <v>930</v>
      </c>
      <c r="D32" s="153">
        <f t="shared" si="1"/>
        <v>606</v>
      </c>
      <c r="E32" s="153">
        <f t="shared" si="2"/>
        <v>991</v>
      </c>
      <c r="F32" s="154">
        <f t="shared" si="3"/>
        <v>286.44</v>
      </c>
      <c r="G32" s="155">
        <f t="shared" si="4"/>
        <v>1.6756756756756757</v>
      </c>
      <c r="H32" s="152">
        <v>185</v>
      </c>
      <c r="I32" s="152">
        <v>3</v>
      </c>
      <c r="J32" s="152">
        <f t="shared" si="5"/>
        <v>62.4</v>
      </c>
      <c r="K32" s="152">
        <v>70</v>
      </c>
      <c r="L32" s="152">
        <v>1200</v>
      </c>
      <c r="M32" s="152" t="s">
        <v>406</v>
      </c>
      <c r="N32" s="152" t="s">
        <v>403</v>
      </c>
      <c r="O32" s="156">
        <f t="shared" si="6"/>
        <v>1162.5</v>
      </c>
      <c r="P32" s="152" t="s">
        <v>407</v>
      </c>
      <c r="Q32" s="152" t="s">
        <v>398</v>
      </c>
      <c r="R32" s="159" t="s">
        <v>360</v>
      </c>
      <c r="S32" s="157" t="s">
        <v>408</v>
      </c>
      <c r="T32" s="157" t="s">
        <v>405</v>
      </c>
      <c r="U32" s="152" t="s">
        <v>409</v>
      </c>
      <c r="V32" s="160" t="s">
        <v>410</v>
      </c>
    </row>
    <row r="33" spans="1:22" ht="16.5" x14ac:dyDescent="0.3">
      <c r="A33" s="151">
        <v>700</v>
      </c>
      <c r="B33" s="152">
        <v>460</v>
      </c>
      <c r="C33" s="153">
        <f t="shared" si="0"/>
        <v>1085</v>
      </c>
      <c r="D33" s="153">
        <f t="shared" si="1"/>
        <v>606</v>
      </c>
      <c r="E33" s="153">
        <f t="shared" si="2"/>
        <v>1156</v>
      </c>
      <c r="F33" s="154">
        <f t="shared" si="3"/>
        <v>334.18</v>
      </c>
      <c r="G33" s="155">
        <f t="shared" si="4"/>
        <v>1.4662162162162162</v>
      </c>
      <c r="H33" s="152">
        <v>185</v>
      </c>
      <c r="I33" s="152">
        <v>4</v>
      </c>
      <c r="J33" s="152">
        <f t="shared" si="5"/>
        <v>65</v>
      </c>
      <c r="K33" s="152">
        <v>70</v>
      </c>
      <c r="L33" s="152">
        <v>1250</v>
      </c>
      <c r="M33" s="152" t="s">
        <v>411</v>
      </c>
      <c r="N33" s="152" t="s">
        <v>412</v>
      </c>
      <c r="O33" s="156">
        <f t="shared" si="6"/>
        <v>1356.25</v>
      </c>
      <c r="P33" s="159" t="s">
        <v>413</v>
      </c>
      <c r="Q33" s="152" t="s">
        <v>414</v>
      </c>
      <c r="R33" s="159" t="s">
        <v>413</v>
      </c>
      <c r="S33" s="157" t="s">
        <v>415</v>
      </c>
      <c r="T33" s="157" t="s">
        <v>416</v>
      </c>
      <c r="U33" s="152" t="s">
        <v>417</v>
      </c>
      <c r="V33" s="160" t="s">
        <v>418</v>
      </c>
    </row>
    <row r="34" spans="1:22" ht="16.5" x14ac:dyDescent="0.3">
      <c r="A34" s="151">
        <v>750</v>
      </c>
      <c r="B34" s="152">
        <v>460</v>
      </c>
      <c r="C34" s="153">
        <f t="shared" si="0"/>
        <v>1163</v>
      </c>
      <c r="D34" s="153">
        <f t="shared" si="1"/>
        <v>606</v>
      </c>
      <c r="E34" s="153">
        <f t="shared" si="2"/>
        <v>1238</v>
      </c>
      <c r="F34" s="154">
        <f t="shared" si="3"/>
        <v>358.20400000000001</v>
      </c>
      <c r="G34" s="155">
        <f t="shared" si="4"/>
        <v>1.5716216216216217</v>
      </c>
      <c r="H34" s="152">
        <v>185</v>
      </c>
      <c r="I34" s="152">
        <v>4</v>
      </c>
      <c r="J34" s="152">
        <f t="shared" si="5"/>
        <v>65</v>
      </c>
      <c r="K34" s="152">
        <v>70</v>
      </c>
      <c r="L34" s="152">
        <v>1250</v>
      </c>
      <c r="M34" s="152" t="s">
        <v>411</v>
      </c>
      <c r="N34" s="152" t="s">
        <v>412</v>
      </c>
      <c r="O34" s="156">
        <f t="shared" si="6"/>
        <v>1453.75</v>
      </c>
      <c r="P34" s="159" t="s">
        <v>413</v>
      </c>
      <c r="Q34" s="152" t="s">
        <v>414</v>
      </c>
      <c r="R34" s="159" t="s">
        <v>413</v>
      </c>
      <c r="S34" s="157" t="s">
        <v>415</v>
      </c>
      <c r="T34" s="157" t="s">
        <v>419</v>
      </c>
      <c r="U34" s="152" t="s">
        <v>417</v>
      </c>
      <c r="V34" s="160" t="s">
        <v>418</v>
      </c>
    </row>
    <row r="35" spans="1:22" ht="16.5" x14ac:dyDescent="0.3">
      <c r="A35" s="151">
        <v>800</v>
      </c>
      <c r="B35" s="152">
        <v>460</v>
      </c>
      <c r="C35" s="153">
        <f t="shared" si="0"/>
        <v>1240</v>
      </c>
      <c r="D35" s="153">
        <f t="shared" si="1"/>
        <v>606</v>
      </c>
      <c r="E35" s="153">
        <f t="shared" si="2"/>
        <v>1321</v>
      </c>
      <c r="F35" s="154">
        <f t="shared" si="3"/>
        <v>381.92</v>
      </c>
      <c r="G35" s="155">
        <f t="shared" si="4"/>
        <v>1.6756756756756757</v>
      </c>
      <c r="H35" s="152">
        <v>185</v>
      </c>
      <c r="I35" s="152">
        <v>4</v>
      </c>
      <c r="J35" s="152">
        <f t="shared" si="5"/>
        <v>83.2</v>
      </c>
      <c r="K35" s="152">
        <v>95</v>
      </c>
      <c r="L35" s="152">
        <v>1600</v>
      </c>
      <c r="M35" s="152" t="s">
        <v>420</v>
      </c>
      <c r="N35" s="152" t="s">
        <v>421</v>
      </c>
      <c r="O35" s="156">
        <f t="shared" si="6"/>
        <v>1550</v>
      </c>
      <c r="P35" s="159" t="s">
        <v>413</v>
      </c>
      <c r="Q35" s="152" t="s">
        <v>414</v>
      </c>
      <c r="R35" s="159" t="s">
        <v>413</v>
      </c>
      <c r="S35" s="157" t="s">
        <v>415</v>
      </c>
      <c r="T35" s="157" t="s">
        <v>419</v>
      </c>
      <c r="U35" s="152" t="s">
        <v>417</v>
      </c>
      <c r="V35" s="160" t="s">
        <v>418</v>
      </c>
    </row>
    <row r="36" spans="1:22" ht="16.5" x14ac:dyDescent="0.3">
      <c r="A36" s="151">
        <v>1000</v>
      </c>
      <c r="B36" s="152">
        <v>460</v>
      </c>
      <c r="C36" s="153">
        <f t="shared" si="0"/>
        <v>1550</v>
      </c>
      <c r="D36" s="153">
        <f t="shared" si="1"/>
        <v>606</v>
      </c>
      <c r="E36" s="153">
        <f t="shared" si="2"/>
        <v>1651</v>
      </c>
      <c r="F36" s="154">
        <f t="shared" si="3"/>
        <v>477.4</v>
      </c>
      <c r="G36" s="155">
        <f t="shared" si="4"/>
        <v>1.6145833333333333</v>
      </c>
      <c r="H36" s="152">
        <v>240</v>
      </c>
      <c r="I36" s="152">
        <v>4</v>
      </c>
      <c r="J36" s="152">
        <f t="shared" si="5"/>
        <v>104</v>
      </c>
      <c r="K36" s="152">
        <v>120</v>
      </c>
      <c r="L36" s="152">
        <v>2000</v>
      </c>
      <c r="M36" s="152" t="s">
        <v>422</v>
      </c>
      <c r="N36" s="152" t="s">
        <v>423</v>
      </c>
      <c r="O36" s="156">
        <f t="shared" si="6"/>
        <v>1937.5</v>
      </c>
      <c r="P36" s="159" t="s">
        <v>413</v>
      </c>
      <c r="Q36" s="152" t="s">
        <v>424</v>
      </c>
      <c r="R36" s="152" t="s">
        <v>425</v>
      </c>
      <c r="S36" s="157" t="s">
        <v>415</v>
      </c>
      <c r="T36" s="157" t="s">
        <v>426</v>
      </c>
      <c r="U36" s="152" t="s">
        <v>417</v>
      </c>
      <c r="V36" s="160" t="s">
        <v>418</v>
      </c>
    </row>
    <row r="37" spans="1:22" ht="16.5" x14ac:dyDescent="0.3">
      <c r="A37" s="151">
        <v>1200</v>
      </c>
      <c r="B37" s="152">
        <v>460</v>
      </c>
      <c r="C37" s="153">
        <f t="shared" si="0"/>
        <v>1860</v>
      </c>
      <c r="D37" s="153">
        <f t="shared" si="1"/>
        <v>606</v>
      </c>
      <c r="E37" s="153">
        <f t="shared" si="2"/>
        <v>1981</v>
      </c>
      <c r="F37" s="154">
        <f t="shared" si="3"/>
        <v>572.88</v>
      </c>
      <c r="G37" s="155">
        <f t="shared" si="4"/>
        <v>1.55</v>
      </c>
      <c r="H37" s="152">
        <v>300</v>
      </c>
      <c r="I37" s="152">
        <v>4</v>
      </c>
      <c r="J37" s="152">
        <f t="shared" si="5"/>
        <v>130</v>
      </c>
      <c r="K37" s="152">
        <v>150</v>
      </c>
      <c r="L37" s="152">
        <v>2500</v>
      </c>
      <c r="M37" s="152" t="s">
        <v>427</v>
      </c>
      <c r="N37" s="152" t="s">
        <v>428</v>
      </c>
      <c r="O37" s="156">
        <f t="shared" si="6"/>
        <v>2325</v>
      </c>
      <c r="P37" s="159" t="s">
        <v>413</v>
      </c>
      <c r="Q37" s="152"/>
      <c r="R37" s="152" t="s">
        <v>425</v>
      </c>
      <c r="S37" s="157" t="s">
        <v>415</v>
      </c>
      <c r="T37" s="157" t="s">
        <v>426</v>
      </c>
      <c r="U37" s="152" t="s">
        <v>417</v>
      </c>
      <c r="V37" s="160" t="s">
        <v>429</v>
      </c>
    </row>
    <row r="38" spans="1:22" ht="16.5" x14ac:dyDescent="0.3">
      <c r="A38" s="151">
        <v>1250</v>
      </c>
      <c r="B38" s="152">
        <v>460</v>
      </c>
      <c r="C38" s="153">
        <f t="shared" si="0"/>
        <v>1937</v>
      </c>
      <c r="D38" s="153">
        <f t="shared" si="1"/>
        <v>606</v>
      </c>
      <c r="E38" s="153">
        <f t="shared" si="2"/>
        <v>2063</v>
      </c>
      <c r="F38" s="154">
        <f t="shared" si="3"/>
        <v>596.596</v>
      </c>
      <c r="G38" s="155">
        <f t="shared" si="4"/>
        <v>1.6141666666666667</v>
      </c>
      <c r="H38" s="152">
        <v>300</v>
      </c>
      <c r="I38" s="152">
        <v>4</v>
      </c>
      <c r="J38" s="152">
        <f t="shared" si="5"/>
        <v>130</v>
      </c>
      <c r="K38" s="152">
        <v>150</v>
      </c>
      <c r="L38" s="152">
        <v>2500</v>
      </c>
      <c r="M38" s="152" t="s">
        <v>430</v>
      </c>
      <c r="N38" s="152" t="s">
        <v>431</v>
      </c>
      <c r="O38" s="156">
        <f t="shared" si="6"/>
        <v>2421.25</v>
      </c>
      <c r="P38" s="159" t="s">
        <v>432</v>
      </c>
      <c r="Q38" s="152"/>
      <c r="R38" s="152" t="s">
        <v>433</v>
      </c>
      <c r="S38" s="157" t="s">
        <v>434</v>
      </c>
      <c r="T38" s="157" t="s">
        <v>435</v>
      </c>
      <c r="U38" s="152" t="s">
        <v>436</v>
      </c>
      <c r="V38" s="160" t="s">
        <v>429</v>
      </c>
    </row>
    <row r="39" spans="1:22" ht="16.5" x14ac:dyDescent="0.3">
      <c r="A39" s="151">
        <v>1500</v>
      </c>
      <c r="B39" s="152">
        <v>460</v>
      </c>
      <c r="C39" s="153">
        <f t="shared" si="0"/>
        <v>2325</v>
      </c>
      <c r="D39" s="153">
        <f t="shared" si="1"/>
        <v>606</v>
      </c>
      <c r="E39" s="153">
        <f t="shared" si="2"/>
        <v>2476</v>
      </c>
      <c r="F39" s="154">
        <f t="shared" si="3"/>
        <v>716.1</v>
      </c>
      <c r="G39" s="155">
        <f t="shared" si="4"/>
        <v>1.55</v>
      </c>
      <c r="H39" s="152">
        <v>300</v>
      </c>
      <c r="I39" s="152">
        <v>5</v>
      </c>
      <c r="J39" s="152">
        <f t="shared" si="5"/>
        <v>130</v>
      </c>
      <c r="K39" s="152">
        <v>150</v>
      </c>
      <c r="L39" s="152">
        <v>2500</v>
      </c>
      <c r="M39" s="152" t="s">
        <v>430</v>
      </c>
      <c r="N39" s="152" t="s">
        <v>431</v>
      </c>
      <c r="O39" s="156">
        <f t="shared" si="6"/>
        <v>2906.25</v>
      </c>
      <c r="P39" s="159" t="s">
        <v>432</v>
      </c>
      <c r="Q39" s="152" t="s">
        <v>437</v>
      </c>
      <c r="R39" s="152" t="s">
        <v>433</v>
      </c>
      <c r="S39" s="157" t="s">
        <v>434</v>
      </c>
      <c r="T39" s="157" t="s">
        <v>438</v>
      </c>
      <c r="U39" s="152" t="s">
        <v>417</v>
      </c>
      <c r="V39" s="160" t="s">
        <v>439</v>
      </c>
    </row>
    <row r="40" spans="1:22" ht="16.5" x14ac:dyDescent="0.3">
      <c r="A40" s="151">
        <v>1500</v>
      </c>
      <c r="B40" s="152">
        <v>650</v>
      </c>
      <c r="C40" s="153">
        <f t="shared" si="0"/>
        <v>1645</v>
      </c>
      <c r="D40" s="153">
        <f t="shared" si="1"/>
        <v>855</v>
      </c>
      <c r="E40" s="153">
        <f t="shared" si="2"/>
        <v>1755</v>
      </c>
      <c r="F40" s="154">
        <f t="shared" si="3"/>
        <v>506.66</v>
      </c>
      <c r="G40" s="155">
        <f t="shared" si="4"/>
        <v>1.7135416666666667</v>
      </c>
      <c r="H40" s="152">
        <v>240</v>
      </c>
      <c r="I40" s="152">
        <v>4</v>
      </c>
      <c r="J40" s="152">
        <f t="shared" si="5"/>
        <v>104</v>
      </c>
      <c r="K40" s="152">
        <v>120</v>
      </c>
      <c r="L40" s="152">
        <v>2000</v>
      </c>
      <c r="M40" s="152" t="s">
        <v>422</v>
      </c>
      <c r="N40" s="152" t="s">
        <v>423</v>
      </c>
      <c r="O40" s="156">
        <f t="shared" si="6"/>
        <v>2056.25</v>
      </c>
      <c r="P40" s="159" t="s">
        <v>413</v>
      </c>
      <c r="Q40" s="152"/>
      <c r="R40" s="152" t="s">
        <v>425</v>
      </c>
      <c r="S40" s="157" t="s">
        <v>415</v>
      </c>
      <c r="T40" s="157" t="s">
        <v>426</v>
      </c>
      <c r="U40" s="152" t="s">
        <v>417</v>
      </c>
      <c r="V40" s="160" t="s">
        <v>439</v>
      </c>
    </row>
    <row r="41" spans="1:22" ht="16.5" x14ac:dyDescent="0.3">
      <c r="A41" s="151">
        <v>1600</v>
      </c>
      <c r="B41" s="152">
        <v>690</v>
      </c>
      <c r="C41" s="153">
        <f>ROUNDUP(A41/(B41*0.9)/3^0.5*1000/0.9,0)</f>
        <v>1653</v>
      </c>
      <c r="D41" s="153">
        <f>ROUNDUP(B41*2^0.5*0.93,0)</f>
        <v>908</v>
      </c>
      <c r="E41" s="153">
        <f>ROUNDUP(A41*1000/D41,0)</f>
        <v>1763</v>
      </c>
      <c r="F41" s="154">
        <f>30.8*100*C41/(1000*10)</f>
        <v>509.12400000000002</v>
      </c>
      <c r="G41" s="155">
        <f>C41/(H41*I41)</f>
        <v>1.721875</v>
      </c>
      <c r="H41" s="152">
        <v>240</v>
      </c>
      <c r="I41" s="152">
        <v>4</v>
      </c>
      <c r="J41" s="152">
        <f>L41*0.052</f>
        <v>104</v>
      </c>
      <c r="K41" s="152">
        <v>120</v>
      </c>
      <c r="L41" s="152">
        <v>2000</v>
      </c>
      <c r="M41" s="152" t="s">
        <v>422</v>
      </c>
      <c r="N41" s="152" t="s">
        <v>423</v>
      </c>
      <c r="O41" s="156">
        <f>SUM(C41*1.25)</f>
        <v>2066.25</v>
      </c>
      <c r="P41" s="159" t="s">
        <v>360</v>
      </c>
      <c r="Q41" s="152"/>
      <c r="R41" s="152" t="s">
        <v>425</v>
      </c>
      <c r="S41" s="157" t="s">
        <v>415</v>
      </c>
      <c r="T41" s="157" t="s">
        <v>426</v>
      </c>
      <c r="U41" s="152" t="s">
        <v>409</v>
      </c>
      <c r="V41" s="160" t="s">
        <v>516</v>
      </c>
    </row>
    <row r="42" spans="1:22" ht="16.5" x14ac:dyDescent="0.3">
      <c r="A42" s="151">
        <v>2000</v>
      </c>
      <c r="B42" s="152">
        <v>460</v>
      </c>
      <c r="C42" s="153">
        <f t="shared" si="0"/>
        <v>3100</v>
      </c>
      <c r="D42" s="153">
        <f t="shared" si="1"/>
        <v>606</v>
      </c>
      <c r="E42" s="153">
        <f t="shared" si="2"/>
        <v>3301</v>
      </c>
      <c r="F42" s="154">
        <f t="shared" si="3"/>
        <v>954.8</v>
      </c>
      <c r="G42" s="155">
        <f t="shared" si="4"/>
        <v>1.2916666666666667</v>
      </c>
      <c r="H42" s="152">
        <v>400</v>
      </c>
      <c r="I42" s="152">
        <v>6</v>
      </c>
      <c r="J42" s="152">
        <f t="shared" si="5"/>
        <v>166.4</v>
      </c>
      <c r="K42" s="152">
        <v>185</v>
      </c>
      <c r="L42" s="152">
        <v>3200</v>
      </c>
      <c r="M42" s="152" t="s">
        <v>440</v>
      </c>
      <c r="N42" s="152" t="s">
        <v>441</v>
      </c>
      <c r="O42" s="156">
        <f t="shared" si="6"/>
        <v>3875</v>
      </c>
      <c r="P42" s="159" t="s">
        <v>413</v>
      </c>
      <c r="Q42" s="152" t="s">
        <v>442</v>
      </c>
      <c r="R42" s="152" t="s">
        <v>443</v>
      </c>
      <c r="S42" s="157" t="s">
        <v>415</v>
      </c>
      <c r="T42" s="157" t="s">
        <v>444</v>
      </c>
      <c r="U42" s="152" t="s">
        <v>417</v>
      </c>
      <c r="V42" s="160" t="s">
        <v>445</v>
      </c>
    </row>
    <row r="43" spans="1:22" ht="16.5" x14ac:dyDescent="0.3">
      <c r="A43" s="151">
        <v>2000</v>
      </c>
      <c r="B43" s="152">
        <v>650</v>
      </c>
      <c r="C43" s="153">
        <f t="shared" si="0"/>
        <v>2194</v>
      </c>
      <c r="D43" s="153">
        <f t="shared" si="1"/>
        <v>855</v>
      </c>
      <c r="E43" s="153">
        <f t="shared" si="2"/>
        <v>2340</v>
      </c>
      <c r="F43" s="154">
        <f t="shared" si="3"/>
        <v>675.75199999999995</v>
      </c>
      <c r="G43" s="155">
        <f t="shared" si="4"/>
        <v>1.4626666666666666</v>
      </c>
      <c r="H43" s="152">
        <v>300</v>
      </c>
      <c r="I43" s="152">
        <v>5</v>
      </c>
      <c r="J43" s="152">
        <f t="shared" si="5"/>
        <v>130</v>
      </c>
      <c r="K43" s="152">
        <v>150</v>
      </c>
      <c r="L43" s="152">
        <v>2500</v>
      </c>
      <c r="M43" s="152" t="s">
        <v>427</v>
      </c>
      <c r="N43" s="152" t="s">
        <v>428</v>
      </c>
      <c r="O43" s="156">
        <f t="shared" si="6"/>
        <v>2742.5</v>
      </c>
      <c r="P43" s="159" t="s">
        <v>413</v>
      </c>
      <c r="Q43" s="152" t="s">
        <v>446</v>
      </c>
      <c r="R43" s="152" t="s">
        <v>425</v>
      </c>
      <c r="S43" s="157" t="s">
        <v>415</v>
      </c>
      <c r="T43" s="157" t="s">
        <v>438</v>
      </c>
      <c r="U43" s="152" t="s">
        <v>417</v>
      </c>
      <c r="V43" s="160" t="s">
        <v>439</v>
      </c>
    </row>
    <row r="44" spans="1:22" ht="16.5" x14ac:dyDescent="0.3">
      <c r="A44" s="151">
        <v>2500</v>
      </c>
      <c r="B44" s="152">
        <v>460</v>
      </c>
      <c r="C44" s="153">
        <f t="shared" si="0"/>
        <v>3874</v>
      </c>
      <c r="D44" s="153">
        <f t="shared" si="1"/>
        <v>606</v>
      </c>
      <c r="E44" s="153">
        <f t="shared" si="2"/>
        <v>4126</v>
      </c>
      <c r="F44" s="154">
        <f t="shared" si="3"/>
        <v>1193.192</v>
      </c>
      <c r="G44" s="155">
        <f t="shared" si="4"/>
        <v>1.6141666666666667</v>
      </c>
      <c r="H44" s="152">
        <v>400</v>
      </c>
      <c r="I44" s="152">
        <v>6</v>
      </c>
      <c r="J44" s="152">
        <f t="shared" si="5"/>
        <v>208</v>
      </c>
      <c r="K44" s="152">
        <v>240</v>
      </c>
      <c r="L44" s="152">
        <v>4000</v>
      </c>
      <c r="M44" s="152" t="s">
        <v>447</v>
      </c>
      <c r="N44" s="152" t="s">
        <v>441</v>
      </c>
      <c r="O44" s="156">
        <f t="shared" si="6"/>
        <v>4842.5</v>
      </c>
      <c r="P44" s="159" t="s">
        <v>413</v>
      </c>
      <c r="Q44" s="152" t="s">
        <v>442</v>
      </c>
      <c r="R44" s="152" t="s">
        <v>443</v>
      </c>
      <c r="S44" s="157" t="s">
        <v>415</v>
      </c>
      <c r="T44" s="157" t="s">
        <v>448</v>
      </c>
      <c r="U44" s="152" t="s">
        <v>417</v>
      </c>
      <c r="V44" s="160" t="s">
        <v>445</v>
      </c>
    </row>
    <row r="45" spans="1:22" ht="16.5" x14ac:dyDescent="0.3">
      <c r="A45" s="161">
        <v>2500</v>
      </c>
      <c r="B45" s="152">
        <v>650</v>
      </c>
      <c r="C45" s="153">
        <f t="shared" si="0"/>
        <v>2742</v>
      </c>
      <c r="D45" s="153">
        <f t="shared" si="1"/>
        <v>855</v>
      </c>
      <c r="E45" s="153">
        <f t="shared" si="2"/>
        <v>2924</v>
      </c>
      <c r="F45" s="162"/>
      <c r="G45" s="155">
        <f t="shared" si="4"/>
        <v>1.1425000000000001</v>
      </c>
      <c r="H45" s="152">
        <v>400</v>
      </c>
      <c r="I45" s="152">
        <v>6</v>
      </c>
      <c r="J45" s="152">
        <f t="shared" si="5"/>
        <v>166.4</v>
      </c>
      <c r="K45" s="152">
        <v>185</v>
      </c>
      <c r="L45" s="152">
        <v>3200</v>
      </c>
      <c r="M45" s="152" t="s">
        <v>440</v>
      </c>
      <c r="N45" s="152" t="s">
        <v>441</v>
      </c>
      <c r="O45" s="156">
        <f t="shared" si="6"/>
        <v>3427.5</v>
      </c>
      <c r="P45" s="159" t="s">
        <v>413</v>
      </c>
      <c r="Q45" s="152" t="s">
        <v>442</v>
      </c>
      <c r="R45" s="152" t="s">
        <v>443</v>
      </c>
      <c r="S45" s="157" t="s">
        <v>415</v>
      </c>
      <c r="T45" s="157" t="s">
        <v>444</v>
      </c>
      <c r="U45" s="152" t="s">
        <v>417</v>
      </c>
      <c r="V45" s="160" t="s">
        <v>445</v>
      </c>
    </row>
    <row r="46" spans="1:22" ht="16.5" x14ac:dyDescent="0.3">
      <c r="A46" s="161">
        <v>3000</v>
      </c>
      <c r="B46" s="163">
        <v>460</v>
      </c>
      <c r="C46" s="164">
        <f>ROUNDUP(A46/(B46*0.9)/3^0.5*1000/0.9,0)</f>
        <v>4649</v>
      </c>
      <c r="D46" s="164">
        <f t="shared" si="1"/>
        <v>606</v>
      </c>
      <c r="E46" s="164">
        <f t="shared" si="2"/>
        <v>4951</v>
      </c>
      <c r="F46" s="162">
        <f>30.8*100*C46/(1000*10)</f>
        <v>1431.8920000000001</v>
      </c>
      <c r="G46" s="165">
        <f t="shared" si="4"/>
        <v>1.5496666666666667</v>
      </c>
      <c r="H46" s="163">
        <v>500</v>
      </c>
      <c r="I46" s="163">
        <v>6</v>
      </c>
      <c r="J46" s="163">
        <f t="shared" si="5"/>
        <v>208</v>
      </c>
      <c r="K46" s="163">
        <v>240</v>
      </c>
      <c r="L46" s="163">
        <v>4000</v>
      </c>
      <c r="M46" s="163" t="s">
        <v>447</v>
      </c>
      <c r="N46" s="163" t="s">
        <v>441</v>
      </c>
      <c r="O46" s="166">
        <f t="shared" si="6"/>
        <v>5811.25</v>
      </c>
      <c r="P46" s="167" t="s">
        <v>413</v>
      </c>
      <c r="Q46" s="163" t="s">
        <v>442</v>
      </c>
      <c r="R46" s="163" t="s">
        <v>443</v>
      </c>
      <c r="S46" s="157" t="s">
        <v>415</v>
      </c>
      <c r="T46" s="168" t="s">
        <v>449</v>
      </c>
      <c r="U46" s="163" t="s">
        <v>436</v>
      </c>
      <c r="V46" s="169" t="s">
        <v>450</v>
      </c>
    </row>
    <row r="47" spans="1:22" ht="17.25" thickBot="1" x14ac:dyDescent="0.35">
      <c r="A47" s="170">
        <v>3000</v>
      </c>
      <c r="B47" s="171">
        <v>650</v>
      </c>
      <c r="C47" s="172">
        <f t="shared" si="0"/>
        <v>3290</v>
      </c>
      <c r="D47" s="172">
        <f t="shared" si="1"/>
        <v>855</v>
      </c>
      <c r="E47" s="172">
        <f t="shared" si="2"/>
        <v>3509</v>
      </c>
      <c r="F47" s="173">
        <f t="shared" si="3"/>
        <v>1013.32</v>
      </c>
      <c r="G47" s="174">
        <f t="shared" si="4"/>
        <v>1.3708333333333333</v>
      </c>
      <c r="H47" s="171">
        <v>400</v>
      </c>
      <c r="I47" s="171">
        <v>6</v>
      </c>
      <c r="J47" s="171">
        <f t="shared" si="5"/>
        <v>166.4</v>
      </c>
      <c r="K47" s="171">
        <v>185</v>
      </c>
      <c r="L47" s="171">
        <v>3200</v>
      </c>
      <c r="M47" s="171" t="s">
        <v>451</v>
      </c>
      <c r="N47" s="171" t="s">
        <v>452</v>
      </c>
      <c r="O47" s="175">
        <f t="shared" si="6"/>
        <v>4112.5</v>
      </c>
      <c r="P47" s="176" t="s">
        <v>453</v>
      </c>
      <c r="Q47" s="171" t="s">
        <v>442</v>
      </c>
      <c r="R47" s="171" t="s">
        <v>454</v>
      </c>
      <c r="S47" s="177" t="s">
        <v>455</v>
      </c>
      <c r="T47" s="171" t="s">
        <v>456</v>
      </c>
      <c r="U47" s="171" t="s">
        <v>409</v>
      </c>
      <c r="V47" s="178" t="s">
        <v>450</v>
      </c>
    </row>
  </sheetData>
  <mergeCells count="41"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U14:V14"/>
    <mergeCell ref="M2:M3"/>
    <mergeCell ref="N2:N3"/>
    <mergeCell ref="O2:O3"/>
    <mergeCell ref="P2:P3"/>
    <mergeCell ref="Q2:R2"/>
    <mergeCell ref="S2:S3"/>
    <mergeCell ref="T2:T3"/>
    <mergeCell ref="U2:U3"/>
    <mergeCell ref="V2:V3"/>
    <mergeCell ref="U10:V10"/>
    <mergeCell ref="U13:V13"/>
    <mergeCell ref="U26:V26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27:V27"/>
    <mergeCell ref="U28:V28"/>
    <mergeCell ref="U29:V29"/>
    <mergeCell ref="U30:V30"/>
    <mergeCell ref="U31:V3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T18"/>
  <sheetViews>
    <sheetView workbookViewId="0">
      <selection activeCell="G42" sqref="G42"/>
    </sheetView>
  </sheetViews>
  <sheetFormatPr defaultRowHeight="13.5" x14ac:dyDescent="0.15"/>
  <cols>
    <col min="2" max="2" width="13" customWidth="1"/>
    <col min="6" max="6" width="7.21875" bestFit="1" customWidth="1"/>
    <col min="13" max="13" width="8.5546875" bestFit="1" customWidth="1"/>
    <col min="14" max="14" width="9.21875" bestFit="1" customWidth="1"/>
    <col min="15" max="15" width="8.77734375" bestFit="1" customWidth="1"/>
    <col min="16" max="16" width="9" bestFit="1" customWidth="1"/>
    <col min="17" max="17" width="9.21875" bestFit="1" customWidth="1"/>
    <col min="18" max="18" width="11.21875" bestFit="1" customWidth="1"/>
    <col min="19" max="19" width="8.5546875" bestFit="1" customWidth="1"/>
  </cols>
  <sheetData>
    <row r="1" spans="2:20" ht="14.25" thickBot="1" x14ac:dyDescent="0.2"/>
    <row r="2" spans="2:20" ht="17.25" thickBot="1" x14ac:dyDescent="0.2">
      <c r="B2" s="293" t="s">
        <v>189</v>
      </c>
      <c r="C2" s="295" t="s">
        <v>190</v>
      </c>
      <c r="D2" s="295"/>
      <c r="E2" s="295"/>
      <c r="F2" s="295"/>
      <c r="G2" s="295"/>
      <c r="H2" s="295"/>
      <c r="I2" s="295"/>
      <c r="J2" s="295"/>
      <c r="K2" s="295"/>
      <c r="L2" s="296" t="s">
        <v>191</v>
      </c>
      <c r="M2" s="296"/>
      <c r="N2" s="296"/>
      <c r="O2" s="297" t="s">
        <v>192</v>
      </c>
      <c r="P2" s="297"/>
      <c r="Q2" s="297"/>
      <c r="R2" s="298" t="s">
        <v>193</v>
      </c>
      <c r="S2" s="298"/>
      <c r="T2" s="299"/>
    </row>
    <row r="3" spans="2:20" ht="16.5" x14ac:dyDescent="0.15">
      <c r="B3" s="294"/>
      <c r="C3" s="4" t="s">
        <v>194</v>
      </c>
      <c r="D3" s="5" t="s">
        <v>195</v>
      </c>
      <c r="E3" s="5" t="s">
        <v>196</v>
      </c>
      <c r="F3" s="5" t="s">
        <v>197</v>
      </c>
      <c r="G3" s="5" t="s">
        <v>198</v>
      </c>
      <c r="H3" s="5" t="s">
        <v>199</v>
      </c>
      <c r="I3" s="6" t="s">
        <v>200</v>
      </c>
      <c r="J3" s="6" t="s">
        <v>201</v>
      </c>
      <c r="K3" s="6" t="s">
        <v>202</v>
      </c>
      <c r="L3" s="7" t="s">
        <v>203</v>
      </c>
      <c r="M3" s="8" t="s">
        <v>204</v>
      </c>
      <c r="N3" s="9" t="s">
        <v>205</v>
      </c>
      <c r="O3" s="10" t="s">
        <v>206</v>
      </c>
      <c r="P3" s="11" t="s">
        <v>207</v>
      </c>
      <c r="Q3" s="12" t="s">
        <v>208</v>
      </c>
      <c r="R3" s="13" t="s">
        <v>209</v>
      </c>
      <c r="S3" s="14" t="s">
        <v>210</v>
      </c>
      <c r="T3" s="15" t="s">
        <v>211</v>
      </c>
    </row>
    <row r="4" spans="2:20" x14ac:dyDescent="0.15">
      <c r="B4" s="16">
        <v>42689</v>
      </c>
      <c r="C4" s="17">
        <v>157</v>
      </c>
      <c r="D4" s="18">
        <v>577</v>
      </c>
      <c r="E4" s="19">
        <v>272</v>
      </c>
      <c r="F4" s="19">
        <v>14.44</v>
      </c>
      <c r="G4" s="20">
        <v>3</v>
      </c>
      <c r="H4" s="18">
        <v>384</v>
      </c>
      <c r="I4" s="21">
        <v>30</v>
      </c>
      <c r="J4" s="22">
        <f>COS(PI()*I4/180)</f>
        <v>0.86602540378443871</v>
      </c>
      <c r="K4" s="23">
        <f>(C4*1000)/(H4*J4*D4*0.9)*100</f>
        <v>90.911636119507065</v>
      </c>
      <c r="L4" s="24">
        <v>200</v>
      </c>
      <c r="M4" s="25">
        <f t="shared" ref="M4:M18" si="0">(L4/C4)^0.5*H4</f>
        <v>433.40747365102106</v>
      </c>
      <c r="N4" s="26">
        <f>(L4*1000)/(M4*J4*D4*0.9)*100</f>
        <v>102.60880868759499</v>
      </c>
      <c r="O4" s="27">
        <v>11</v>
      </c>
      <c r="P4" s="28">
        <f t="shared" ref="P4:P18" si="1">G4/O4*H4</f>
        <v>104.72727272727272</v>
      </c>
      <c r="Q4" s="29">
        <f>(C4*1000)/(P4*J4*D4*0.9)*100</f>
        <v>333.3426657715259</v>
      </c>
      <c r="R4" s="30">
        <v>100</v>
      </c>
      <c r="S4" s="31">
        <f t="shared" ref="S4:S18" si="2">(R4/C4)^0.5*P4</f>
        <v>83.581462809700056</v>
      </c>
      <c r="T4" s="32">
        <f>(R4*1000)/(S4*J4*D4*0.9)*100</f>
        <v>266.03640958572907</v>
      </c>
    </row>
    <row r="5" spans="2:20" x14ac:dyDescent="0.15">
      <c r="B5" s="16"/>
      <c r="C5" s="33">
        <v>40</v>
      </c>
      <c r="D5" s="34">
        <v>566.29999999999995</v>
      </c>
      <c r="E5" s="35">
        <v>70.599999999999994</v>
      </c>
      <c r="F5" s="35">
        <v>17.34</v>
      </c>
      <c r="G5" s="36">
        <v>12</v>
      </c>
      <c r="H5" s="34">
        <v>127</v>
      </c>
      <c r="I5" s="37">
        <v>30</v>
      </c>
      <c r="J5" s="38">
        <f t="shared" ref="J5:J18" si="3">COS(PI()*I5/180)</f>
        <v>0.86602540378443871</v>
      </c>
      <c r="K5" s="39">
        <f t="shared" ref="K5:K18" si="4">(C5*1000)/(H5*J5*D5*0.9)*100</f>
        <v>71.356997456853833</v>
      </c>
      <c r="L5" s="40">
        <v>78</v>
      </c>
      <c r="M5" s="41">
        <f t="shared" si="0"/>
        <v>177.34584855586556</v>
      </c>
      <c r="N5" s="42">
        <f t="shared" ref="N5:N18" si="5">(L5*1000)/(M5*J5*D5*0.9)*100</f>
        <v>99.644624129011689</v>
      </c>
      <c r="O5" s="43">
        <v>10</v>
      </c>
      <c r="P5" s="44">
        <f t="shared" si="1"/>
        <v>152.4</v>
      </c>
      <c r="Q5" s="45">
        <f t="shared" ref="Q5:Q18" si="6">(C5*1000)/(P5*J5*D5*0.9)*100</f>
        <v>59.464164547378182</v>
      </c>
      <c r="R5" s="46">
        <v>100</v>
      </c>
      <c r="S5" s="47">
        <f t="shared" si="2"/>
        <v>240.96555770483053</v>
      </c>
      <c r="T5" s="48">
        <f t="shared" ref="T5:T18" si="7">(R5*1000)/(S5*J5*D5*0.9)*100</f>
        <v>94.021099564375305</v>
      </c>
    </row>
    <row r="6" spans="2:20" x14ac:dyDescent="0.15">
      <c r="B6" s="16"/>
      <c r="C6" s="33">
        <v>20</v>
      </c>
      <c r="D6" s="34">
        <v>565.1</v>
      </c>
      <c r="E6" s="35">
        <v>35.5</v>
      </c>
      <c r="F6" s="35">
        <v>17.55</v>
      </c>
      <c r="G6" s="36">
        <v>12</v>
      </c>
      <c r="H6" s="34">
        <v>91</v>
      </c>
      <c r="I6" s="37">
        <v>30</v>
      </c>
      <c r="J6" s="38">
        <f t="shared" si="3"/>
        <v>0.86602540378443871</v>
      </c>
      <c r="K6" s="39">
        <f t="shared" si="4"/>
        <v>49.898806131722992</v>
      </c>
      <c r="L6" s="40">
        <v>100</v>
      </c>
      <c r="M6" s="41">
        <f t="shared" si="0"/>
        <v>203.48218595248088</v>
      </c>
      <c r="N6" s="42">
        <f t="shared" si="5"/>
        <v>111.57712250661591</v>
      </c>
      <c r="O6" s="43">
        <v>11</v>
      </c>
      <c r="P6" s="44">
        <f t="shared" si="1"/>
        <v>99.272727272727266</v>
      </c>
      <c r="Q6" s="45">
        <f t="shared" si="6"/>
        <v>45.740572287412753</v>
      </c>
      <c r="R6" s="46">
        <v>100</v>
      </c>
      <c r="S6" s="47">
        <f t="shared" si="2"/>
        <v>221.98056649361547</v>
      </c>
      <c r="T6" s="48">
        <f t="shared" si="7"/>
        <v>102.27902896439795</v>
      </c>
    </row>
    <row r="7" spans="2:20" x14ac:dyDescent="0.15">
      <c r="B7" s="16"/>
      <c r="C7" s="33">
        <v>20</v>
      </c>
      <c r="D7" s="34">
        <v>565.1</v>
      </c>
      <c r="E7" s="35">
        <v>35.5</v>
      </c>
      <c r="F7" s="35">
        <v>17.55</v>
      </c>
      <c r="G7" s="36">
        <v>12</v>
      </c>
      <c r="H7" s="34">
        <v>91</v>
      </c>
      <c r="I7" s="37">
        <v>30</v>
      </c>
      <c r="J7" s="38">
        <f t="shared" si="3"/>
        <v>0.86602540378443871</v>
      </c>
      <c r="K7" s="39">
        <f t="shared" si="4"/>
        <v>49.898806131722992</v>
      </c>
      <c r="L7" s="40">
        <v>80</v>
      </c>
      <c r="M7" s="41">
        <f t="shared" si="0"/>
        <v>182</v>
      </c>
      <c r="N7" s="42">
        <f t="shared" si="5"/>
        <v>99.797612263445984</v>
      </c>
      <c r="O7" s="43">
        <v>10</v>
      </c>
      <c r="P7" s="44">
        <f t="shared" si="1"/>
        <v>109.2</v>
      </c>
      <c r="Q7" s="45">
        <f t="shared" si="6"/>
        <v>41.582338443102493</v>
      </c>
      <c r="R7" s="46">
        <v>100</v>
      </c>
      <c r="S7" s="47">
        <f t="shared" si="2"/>
        <v>244.17862314297705</v>
      </c>
      <c r="T7" s="48">
        <f t="shared" si="7"/>
        <v>92.980935422179954</v>
      </c>
    </row>
    <row r="8" spans="2:20" x14ac:dyDescent="0.15">
      <c r="B8" s="49"/>
      <c r="C8" s="33"/>
      <c r="D8" s="34"/>
      <c r="E8" s="35"/>
      <c r="F8" s="35"/>
      <c r="G8" s="36"/>
      <c r="H8" s="34"/>
      <c r="I8" s="37">
        <v>30</v>
      </c>
      <c r="J8" s="38">
        <f t="shared" si="3"/>
        <v>0.86602540378443871</v>
      </c>
      <c r="K8" s="39" t="e">
        <f t="shared" si="4"/>
        <v>#DIV/0!</v>
      </c>
      <c r="L8" s="40"/>
      <c r="M8" s="41" t="e">
        <f t="shared" si="0"/>
        <v>#DIV/0!</v>
      </c>
      <c r="N8" s="42" t="e">
        <f t="shared" si="5"/>
        <v>#DIV/0!</v>
      </c>
      <c r="O8" s="43"/>
      <c r="P8" s="44" t="e">
        <f t="shared" si="1"/>
        <v>#DIV/0!</v>
      </c>
      <c r="Q8" s="45" t="e">
        <f t="shared" si="6"/>
        <v>#DIV/0!</v>
      </c>
      <c r="R8" s="46"/>
      <c r="S8" s="47" t="e">
        <f t="shared" si="2"/>
        <v>#DIV/0!</v>
      </c>
      <c r="T8" s="48" t="e">
        <f t="shared" si="7"/>
        <v>#DIV/0!</v>
      </c>
    </row>
    <row r="9" spans="2:20" x14ac:dyDescent="0.15">
      <c r="B9" s="49"/>
      <c r="C9" s="33"/>
      <c r="D9" s="34"/>
      <c r="E9" s="35"/>
      <c r="F9" s="35"/>
      <c r="G9" s="36"/>
      <c r="H9" s="34"/>
      <c r="I9" s="37">
        <v>30</v>
      </c>
      <c r="J9" s="38">
        <f t="shared" si="3"/>
        <v>0.86602540378443871</v>
      </c>
      <c r="K9" s="39" t="e">
        <f t="shared" si="4"/>
        <v>#DIV/0!</v>
      </c>
      <c r="L9" s="40"/>
      <c r="M9" s="41" t="e">
        <f t="shared" si="0"/>
        <v>#DIV/0!</v>
      </c>
      <c r="N9" s="42" t="e">
        <f t="shared" si="5"/>
        <v>#DIV/0!</v>
      </c>
      <c r="O9" s="43"/>
      <c r="P9" s="44" t="e">
        <f t="shared" si="1"/>
        <v>#DIV/0!</v>
      </c>
      <c r="Q9" s="45" t="e">
        <f t="shared" si="6"/>
        <v>#DIV/0!</v>
      </c>
      <c r="R9" s="46"/>
      <c r="S9" s="47" t="e">
        <f t="shared" si="2"/>
        <v>#DIV/0!</v>
      </c>
      <c r="T9" s="48" t="e">
        <f t="shared" si="7"/>
        <v>#DIV/0!</v>
      </c>
    </row>
    <row r="10" spans="2:20" x14ac:dyDescent="0.15">
      <c r="B10" s="49"/>
      <c r="C10" s="33"/>
      <c r="D10" s="34"/>
      <c r="E10" s="35"/>
      <c r="F10" s="35"/>
      <c r="G10" s="36"/>
      <c r="H10" s="34"/>
      <c r="I10" s="37">
        <v>30</v>
      </c>
      <c r="J10" s="38">
        <f t="shared" si="3"/>
        <v>0.86602540378443871</v>
      </c>
      <c r="K10" s="39" t="e">
        <f t="shared" si="4"/>
        <v>#DIV/0!</v>
      </c>
      <c r="L10" s="40"/>
      <c r="M10" s="41" t="e">
        <f t="shared" si="0"/>
        <v>#DIV/0!</v>
      </c>
      <c r="N10" s="42" t="e">
        <f t="shared" si="5"/>
        <v>#DIV/0!</v>
      </c>
      <c r="O10" s="43"/>
      <c r="P10" s="44" t="e">
        <f t="shared" si="1"/>
        <v>#DIV/0!</v>
      </c>
      <c r="Q10" s="45" t="e">
        <f t="shared" si="6"/>
        <v>#DIV/0!</v>
      </c>
      <c r="R10" s="46"/>
      <c r="S10" s="47" t="e">
        <f t="shared" si="2"/>
        <v>#DIV/0!</v>
      </c>
      <c r="T10" s="48" t="e">
        <f t="shared" si="7"/>
        <v>#DIV/0!</v>
      </c>
    </row>
    <row r="11" spans="2:20" x14ac:dyDescent="0.15">
      <c r="B11" s="49"/>
      <c r="C11" s="33"/>
      <c r="D11" s="34"/>
      <c r="E11" s="35"/>
      <c r="F11" s="35"/>
      <c r="G11" s="36"/>
      <c r="H11" s="34"/>
      <c r="I11" s="37">
        <v>30</v>
      </c>
      <c r="J11" s="38">
        <f t="shared" si="3"/>
        <v>0.86602540378443871</v>
      </c>
      <c r="K11" s="39" t="e">
        <f t="shared" si="4"/>
        <v>#DIV/0!</v>
      </c>
      <c r="L11" s="40"/>
      <c r="M11" s="41" t="e">
        <f t="shared" si="0"/>
        <v>#DIV/0!</v>
      </c>
      <c r="N11" s="42" t="e">
        <f t="shared" si="5"/>
        <v>#DIV/0!</v>
      </c>
      <c r="O11" s="43"/>
      <c r="P11" s="44" t="e">
        <f t="shared" si="1"/>
        <v>#DIV/0!</v>
      </c>
      <c r="Q11" s="45" t="e">
        <f t="shared" si="6"/>
        <v>#DIV/0!</v>
      </c>
      <c r="R11" s="46"/>
      <c r="S11" s="47" t="e">
        <f t="shared" si="2"/>
        <v>#DIV/0!</v>
      </c>
      <c r="T11" s="48" t="e">
        <f t="shared" si="7"/>
        <v>#DIV/0!</v>
      </c>
    </row>
    <row r="12" spans="2:20" x14ac:dyDescent="0.15">
      <c r="B12" s="49"/>
      <c r="C12" s="33"/>
      <c r="D12" s="34"/>
      <c r="E12" s="35"/>
      <c r="F12" s="35"/>
      <c r="G12" s="36"/>
      <c r="H12" s="34"/>
      <c r="I12" s="37">
        <v>30</v>
      </c>
      <c r="J12" s="38">
        <f t="shared" si="3"/>
        <v>0.86602540378443871</v>
      </c>
      <c r="K12" s="39" t="e">
        <f t="shared" si="4"/>
        <v>#DIV/0!</v>
      </c>
      <c r="L12" s="40"/>
      <c r="M12" s="41" t="e">
        <f t="shared" si="0"/>
        <v>#DIV/0!</v>
      </c>
      <c r="N12" s="42" t="e">
        <f t="shared" si="5"/>
        <v>#DIV/0!</v>
      </c>
      <c r="O12" s="43"/>
      <c r="P12" s="44" t="e">
        <f t="shared" si="1"/>
        <v>#DIV/0!</v>
      </c>
      <c r="Q12" s="45" t="e">
        <f t="shared" si="6"/>
        <v>#DIV/0!</v>
      </c>
      <c r="R12" s="46"/>
      <c r="S12" s="47" t="e">
        <f t="shared" si="2"/>
        <v>#DIV/0!</v>
      </c>
      <c r="T12" s="48" t="e">
        <f t="shared" si="7"/>
        <v>#DIV/0!</v>
      </c>
    </row>
    <row r="13" spans="2:20" x14ac:dyDescent="0.15">
      <c r="B13" s="49"/>
      <c r="C13" s="33"/>
      <c r="D13" s="34"/>
      <c r="E13" s="35"/>
      <c r="F13" s="35"/>
      <c r="G13" s="36"/>
      <c r="H13" s="34"/>
      <c r="I13" s="37">
        <v>30</v>
      </c>
      <c r="J13" s="38">
        <f t="shared" si="3"/>
        <v>0.86602540378443871</v>
      </c>
      <c r="K13" s="39" t="e">
        <f t="shared" si="4"/>
        <v>#DIV/0!</v>
      </c>
      <c r="L13" s="40"/>
      <c r="M13" s="41" t="e">
        <f t="shared" si="0"/>
        <v>#DIV/0!</v>
      </c>
      <c r="N13" s="42" t="e">
        <f t="shared" si="5"/>
        <v>#DIV/0!</v>
      </c>
      <c r="O13" s="43"/>
      <c r="P13" s="44" t="e">
        <f t="shared" si="1"/>
        <v>#DIV/0!</v>
      </c>
      <c r="Q13" s="45" t="e">
        <f t="shared" si="6"/>
        <v>#DIV/0!</v>
      </c>
      <c r="R13" s="46"/>
      <c r="S13" s="47" t="e">
        <f t="shared" si="2"/>
        <v>#DIV/0!</v>
      </c>
      <c r="T13" s="48" t="e">
        <f t="shared" si="7"/>
        <v>#DIV/0!</v>
      </c>
    </row>
    <row r="14" spans="2:20" x14ac:dyDescent="0.15">
      <c r="B14" s="49"/>
      <c r="C14" s="33"/>
      <c r="D14" s="34"/>
      <c r="E14" s="35"/>
      <c r="F14" s="35"/>
      <c r="G14" s="36"/>
      <c r="H14" s="34"/>
      <c r="I14" s="37">
        <v>30</v>
      </c>
      <c r="J14" s="38">
        <f t="shared" si="3"/>
        <v>0.86602540378443871</v>
      </c>
      <c r="K14" s="39" t="e">
        <f t="shared" si="4"/>
        <v>#DIV/0!</v>
      </c>
      <c r="L14" s="40"/>
      <c r="M14" s="41" t="e">
        <f t="shared" si="0"/>
        <v>#DIV/0!</v>
      </c>
      <c r="N14" s="42" t="e">
        <f t="shared" si="5"/>
        <v>#DIV/0!</v>
      </c>
      <c r="O14" s="43"/>
      <c r="P14" s="44" t="e">
        <f t="shared" si="1"/>
        <v>#DIV/0!</v>
      </c>
      <c r="Q14" s="45" t="e">
        <f t="shared" si="6"/>
        <v>#DIV/0!</v>
      </c>
      <c r="R14" s="46"/>
      <c r="S14" s="47" t="e">
        <f t="shared" si="2"/>
        <v>#DIV/0!</v>
      </c>
      <c r="T14" s="48" t="e">
        <f t="shared" si="7"/>
        <v>#DIV/0!</v>
      </c>
    </row>
    <row r="15" spans="2:20" x14ac:dyDescent="0.15">
      <c r="B15" s="49"/>
      <c r="C15" s="33"/>
      <c r="D15" s="34"/>
      <c r="E15" s="35"/>
      <c r="F15" s="35"/>
      <c r="G15" s="36"/>
      <c r="H15" s="34"/>
      <c r="I15" s="37">
        <v>30</v>
      </c>
      <c r="J15" s="38">
        <f t="shared" si="3"/>
        <v>0.86602540378443871</v>
      </c>
      <c r="K15" s="39" t="e">
        <f t="shared" si="4"/>
        <v>#DIV/0!</v>
      </c>
      <c r="L15" s="40"/>
      <c r="M15" s="41" t="e">
        <f t="shared" si="0"/>
        <v>#DIV/0!</v>
      </c>
      <c r="N15" s="42" t="e">
        <f t="shared" si="5"/>
        <v>#DIV/0!</v>
      </c>
      <c r="O15" s="43"/>
      <c r="P15" s="44" t="e">
        <f t="shared" si="1"/>
        <v>#DIV/0!</v>
      </c>
      <c r="Q15" s="45" t="e">
        <f t="shared" si="6"/>
        <v>#DIV/0!</v>
      </c>
      <c r="R15" s="46"/>
      <c r="S15" s="47" t="e">
        <f t="shared" si="2"/>
        <v>#DIV/0!</v>
      </c>
      <c r="T15" s="48" t="e">
        <f t="shared" si="7"/>
        <v>#DIV/0!</v>
      </c>
    </row>
    <row r="16" spans="2:20" x14ac:dyDescent="0.15">
      <c r="B16" s="49"/>
      <c r="C16" s="33"/>
      <c r="D16" s="34"/>
      <c r="E16" s="35"/>
      <c r="F16" s="35"/>
      <c r="G16" s="36"/>
      <c r="H16" s="34"/>
      <c r="I16" s="37">
        <v>30</v>
      </c>
      <c r="J16" s="38">
        <f t="shared" si="3"/>
        <v>0.86602540378443871</v>
      </c>
      <c r="K16" s="39" t="e">
        <f t="shared" si="4"/>
        <v>#DIV/0!</v>
      </c>
      <c r="L16" s="40"/>
      <c r="M16" s="41" t="e">
        <f t="shared" si="0"/>
        <v>#DIV/0!</v>
      </c>
      <c r="N16" s="42" t="e">
        <f t="shared" si="5"/>
        <v>#DIV/0!</v>
      </c>
      <c r="O16" s="43"/>
      <c r="P16" s="44" t="e">
        <f t="shared" si="1"/>
        <v>#DIV/0!</v>
      </c>
      <c r="Q16" s="45" t="e">
        <f t="shared" si="6"/>
        <v>#DIV/0!</v>
      </c>
      <c r="R16" s="46"/>
      <c r="S16" s="47" t="e">
        <f t="shared" si="2"/>
        <v>#DIV/0!</v>
      </c>
      <c r="T16" s="48" t="e">
        <f t="shared" si="7"/>
        <v>#DIV/0!</v>
      </c>
    </row>
    <row r="17" spans="2:20" x14ac:dyDescent="0.15">
      <c r="B17" s="49"/>
      <c r="C17" s="33"/>
      <c r="D17" s="34"/>
      <c r="E17" s="35"/>
      <c r="F17" s="35"/>
      <c r="G17" s="36"/>
      <c r="H17" s="34"/>
      <c r="I17" s="37">
        <v>30</v>
      </c>
      <c r="J17" s="38">
        <f t="shared" si="3"/>
        <v>0.86602540378443871</v>
      </c>
      <c r="K17" s="39" t="e">
        <f t="shared" si="4"/>
        <v>#DIV/0!</v>
      </c>
      <c r="L17" s="40"/>
      <c r="M17" s="41" t="e">
        <f t="shared" si="0"/>
        <v>#DIV/0!</v>
      </c>
      <c r="N17" s="42" t="e">
        <f t="shared" si="5"/>
        <v>#DIV/0!</v>
      </c>
      <c r="O17" s="43"/>
      <c r="P17" s="44" t="e">
        <f t="shared" si="1"/>
        <v>#DIV/0!</v>
      </c>
      <c r="Q17" s="45" t="e">
        <f t="shared" si="6"/>
        <v>#DIV/0!</v>
      </c>
      <c r="R17" s="46"/>
      <c r="S17" s="47" t="e">
        <f t="shared" si="2"/>
        <v>#DIV/0!</v>
      </c>
      <c r="T17" s="48" t="e">
        <f t="shared" si="7"/>
        <v>#DIV/0!</v>
      </c>
    </row>
    <row r="18" spans="2:20" ht="14.25" thickBot="1" x14ac:dyDescent="0.2">
      <c r="B18" s="50"/>
      <c r="C18" s="51"/>
      <c r="D18" s="52"/>
      <c r="E18" s="53"/>
      <c r="F18" s="53"/>
      <c r="G18" s="54"/>
      <c r="H18" s="52"/>
      <c r="I18" s="55">
        <v>30</v>
      </c>
      <c r="J18" s="56">
        <f t="shared" si="3"/>
        <v>0.86602540378443871</v>
      </c>
      <c r="K18" s="57" t="e">
        <f t="shared" si="4"/>
        <v>#DIV/0!</v>
      </c>
      <c r="L18" s="58"/>
      <c r="M18" s="59" t="e">
        <f t="shared" si="0"/>
        <v>#DIV/0!</v>
      </c>
      <c r="N18" s="60" t="e">
        <f t="shared" si="5"/>
        <v>#DIV/0!</v>
      </c>
      <c r="O18" s="61"/>
      <c r="P18" s="62" t="e">
        <f t="shared" si="1"/>
        <v>#DIV/0!</v>
      </c>
      <c r="Q18" s="63" t="e">
        <f t="shared" si="6"/>
        <v>#DIV/0!</v>
      </c>
      <c r="R18" s="64"/>
      <c r="S18" s="65" t="e">
        <f t="shared" si="2"/>
        <v>#DIV/0!</v>
      </c>
      <c r="T18" s="66" t="e">
        <f t="shared" si="7"/>
        <v>#DIV/0!</v>
      </c>
    </row>
  </sheetData>
  <mergeCells count="5">
    <mergeCell ref="B2:B3"/>
    <mergeCell ref="C2:K2"/>
    <mergeCell ref="L2:N2"/>
    <mergeCell ref="O2:Q2"/>
    <mergeCell ref="R2:T2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직렬공진_PAM,PWM_30kHz</vt:lpstr>
      <vt:lpstr>설계 결과표</vt:lpstr>
      <vt:lpstr>SW 요청자료</vt:lpstr>
      <vt:lpstr>입력정류부</vt:lpstr>
      <vt:lpstr>LCD 데이터를 이용한 듀티계산</vt:lpstr>
    </vt:vector>
  </TitlesOfParts>
  <Company>PSTEK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shh</dc:creator>
  <cp:lastModifiedBy>young kwon ahn</cp:lastModifiedBy>
  <cp:lastPrinted>2006-06-20T05:42:32Z</cp:lastPrinted>
  <dcterms:created xsi:type="dcterms:W3CDTF">2002-10-01T05:20:05Z</dcterms:created>
  <dcterms:modified xsi:type="dcterms:W3CDTF">2021-03-29T06:24:01Z</dcterms:modified>
</cp:coreProperties>
</file>