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0" yWindow="0" windowWidth="20052" windowHeight="10800" tabRatio="821"/>
  </bookViews>
  <sheets>
    <sheet name="직렬공진_PAM,PWM_200kHz" sheetId="54" r:id="rId1"/>
    <sheet name="설계 결과표" sheetId="47" r:id="rId2"/>
    <sheet name="SW 요청자료" sheetId="46" r:id="rId3"/>
    <sheet name="입력정류부" sheetId="45" r:id="rId4"/>
    <sheet name="LCD 데이터를 이용한 듀티계산" sheetId="40" r:id="rId5"/>
    <sheet name="Sheet1" sheetId="55" r:id="rId6"/>
  </sheets>
  <calcPr calcId="145621"/>
</workbook>
</file>

<file path=xl/calcChain.xml><?xml version="1.0" encoding="utf-8"?>
<calcChain xmlns="http://schemas.openxmlformats.org/spreadsheetml/2006/main">
  <c r="M34" i="54" l="1"/>
  <c r="L34" i="54"/>
  <c r="M20" i="54"/>
  <c r="L20" i="54"/>
  <c r="M14" i="54"/>
  <c r="M18" i="54" s="1"/>
  <c r="L14" i="54"/>
  <c r="L18" i="54" s="1"/>
  <c r="M10" i="54"/>
  <c r="M11" i="54" s="1"/>
  <c r="L10" i="54"/>
  <c r="L39" i="54" s="1"/>
  <c r="L41" i="54" s="1"/>
  <c r="M6" i="54"/>
  <c r="M8" i="54" s="1"/>
  <c r="L6" i="54"/>
  <c r="L8" i="54" s="1"/>
  <c r="K34" i="54"/>
  <c r="J34" i="54"/>
  <c r="K20" i="54"/>
  <c r="J20" i="54"/>
  <c r="K14" i="54"/>
  <c r="K18" i="54" s="1"/>
  <c r="J14" i="54"/>
  <c r="J18" i="54" s="1"/>
  <c r="K10" i="54"/>
  <c r="K39" i="54" s="1"/>
  <c r="K41" i="54" s="1"/>
  <c r="J10" i="54"/>
  <c r="J39" i="54" s="1"/>
  <c r="J41" i="54" s="1"/>
  <c r="K6" i="54"/>
  <c r="K8" i="54" s="1"/>
  <c r="J6" i="54"/>
  <c r="J8" i="54" s="1"/>
  <c r="J23" i="54" l="1"/>
  <c r="L24" i="54"/>
  <c r="L27" i="54" s="1"/>
  <c r="L23" i="54"/>
  <c r="M23" i="54"/>
  <c r="M24" i="54"/>
  <c r="M27" i="54" s="1"/>
  <c r="M39" i="54"/>
  <c r="M41" i="54" s="1"/>
  <c r="L11" i="54"/>
  <c r="J24" i="54"/>
  <c r="J27" i="54" s="1"/>
  <c r="K24" i="54"/>
  <c r="K27" i="54" s="1"/>
  <c r="K23" i="54"/>
  <c r="J11" i="54"/>
  <c r="K11" i="54"/>
  <c r="I34" i="54"/>
  <c r="I20" i="54"/>
  <c r="I14" i="54"/>
  <c r="I18" i="54" s="1"/>
  <c r="I24" i="54" s="1"/>
  <c r="I27" i="54" s="1"/>
  <c r="I10" i="54"/>
  <c r="I39" i="54" s="1"/>
  <c r="I41" i="54" s="1"/>
  <c r="I6" i="54"/>
  <c r="I8" i="54" s="1"/>
  <c r="M25" i="54" l="1"/>
  <c r="M26" i="54"/>
  <c r="L26" i="54"/>
  <c r="L25" i="54"/>
  <c r="L30" i="54"/>
  <c r="M30" i="54"/>
  <c r="K26" i="54"/>
  <c r="K25" i="54"/>
  <c r="K30" i="54"/>
  <c r="J26" i="54"/>
  <c r="J25" i="54"/>
  <c r="J30" i="54"/>
  <c r="I30" i="54"/>
  <c r="I11" i="54"/>
  <c r="I23" i="54"/>
  <c r="M28" i="54" l="1"/>
  <c r="K28" i="54"/>
  <c r="K33" i="54" s="1"/>
  <c r="K43" i="54" s="1"/>
  <c r="L28" i="54"/>
  <c r="L33" i="54" s="1"/>
  <c r="L43" i="54" s="1"/>
  <c r="J28" i="54"/>
  <c r="J33" i="54" s="1"/>
  <c r="J43" i="54" s="1"/>
  <c r="L32" i="54"/>
  <c r="L31" i="54"/>
  <c r="L45" i="54"/>
  <c r="L46" i="54" s="1"/>
  <c r="L47" i="54" s="1"/>
  <c r="L48" i="54" s="1"/>
  <c r="M45" i="54"/>
  <c r="M46" i="54" s="1"/>
  <c r="M47" i="54" s="1"/>
  <c r="M48" i="54" s="1"/>
  <c r="M33" i="54"/>
  <c r="M43" i="54" s="1"/>
  <c r="M32" i="54"/>
  <c r="M31" i="54"/>
  <c r="K45" i="54"/>
  <c r="K46" i="54" s="1"/>
  <c r="K47" i="54" s="1"/>
  <c r="K48" i="54" s="1"/>
  <c r="K32" i="54"/>
  <c r="K31" i="54"/>
  <c r="J45" i="54"/>
  <c r="J46" i="54" s="1"/>
  <c r="J47" i="54" s="1"/>
  <c r="J48" i="54" s="1"/>
  <c r="J32" i="54"/>
  <c r="J31" i="54"/>
  <c r="I26" i="54"/>
  <c r="I25" i="54"/>
  <c r="I31" i="54"/>
  <c r="I45" i="54"/>
  <c r="I46" i="54" s="1"/>
  <c r="I47" i="54" s="1"/>
  <c r="I48" i="54" s="1"/>
  <c r="I32" i="54"/>
  <c r="I28" i="54" l="1"/>
  <c r="I33" i="54" s="1"/>
  <c r="I43" i="54" s="1"/>
  <c r="M36" i="54"/>
  <c r="M35" i="54"/>
  <c r="L35" i="54"/>
  <c r="L36" i="54"/>
  <c r="J36" i="54"/>
  <c r="J35" i="54"/>
  <c r="K36" i="54"/>
  <c r="K35" i="54"/>
  <c r="I35" i="54"/>
  <c r="I36" i="54"/>
  <c r="J5" i="45" l="1"/>
  <c r="D5" i="45"/>
  <c r="E5" i="45" s="1"/>
  <c r="C5" i="45"/>
  <c r="G5" i="45" s="1"/>
  <c r="O5" i="45" l="1"/>
  <c r="F5" i="45"/>
  <c r="G34" i="54"/>
  <c r="F34" i="54"/>
  <c r="G20" i="54"/>
  <c r="F20" i="54"/>
  <c r="G14" i="54"/>
  <c r="G18" i="54" s="1"/>
  <c r="G24" i="54" s="1"/>
  <c r="G27" i="54" s="1"/>
  <c r="F14" i="54"/>
  <c r="F18" i="54" s="1"/>
  <c r="G10" i="54"/>
  <c r="G39" i="54" s="1"/>
  <c r="G41" i="54" s="1"/>
  <c r="F10" i="54"/>
  <c r="F39" i="54" s="1"/>
  <c r="F41" i="54" s="1"/>
  <c r="G6" i="54"/>
  <c r="G8" i="54" s="1"/>
  <c r="F6" i="54"/>
  <c r="F8" i="54" s="1"/>
  <c r="T7" i="54"/>
  <c r="T28" i="54"/>
  <c r="T27" i="54"/>
  <c r="T26" i="54"/>
  <c r="D14" i="54"/>
  <c r="F11" i="54" l="1"/>
  <c r="F23" i="54"/>
  <c r="F25" i="54" s="1"/>
  <c r="T9" i="54"/>
  <c r="T14" i="54" s="1"/>
  <c r="T29" i="54"/>
  <c r="G30" i="54"/>
  <c r="G11" i="54"/>
  <c r="G23" i="54"/>
  <c r="F24" i="54"/>
  <c r="F27" i="54" s="1"/>
  <c r="F26" i="54" l="1"/>
  <c r="F28" i="54" s="1"/>
  <c r="F30" i="54"/>
  <c r="G26" i="54"/>
  <c r="G25" i="54"/>
  <c r="G31" i="54"/>
  <c r="G45" i="54"/>
  <c r="G46" i="54" s="1"/>
  <c r="G47" i="54" s="1"/>
  <c r="G48" i="54" s="1"/>
  <c r="G32" i="54"/>
  <c r="G28" i="54" l="1"/>
  <c r="G33" i="54" s="1"/>
  <c r="G43" i="54" s="1"/>
  <c r="G35" i="54"/>
  <c r="G36" i="54"/>
  <c r="F32" i="54"/>
  <c r="F33" i="54"/>
  <c r="F43" i="54" s="1"/>
  <c r="F31" i="54"/>
  <c r="F45" i="54"/>
  <c r="F46" i="54" s="1"/>
  <c r="F47" i="54" s="1"/>
  <c r="F48" i="54" s="1"/>
  <c r="F35" i="54" l="1"/>
  <c r="F36" i="54"/>
  <c r="V15" i="54" l="1"/>
  <c r="V16" i="54" s="1"/>
  <c r="O12" i="54" l="1"/>
  <c r="O13" i="54" s="1"/>
  <c r="D34" i="54"/>
  <c r="D20" i="54"/>
  <c r="D18" i="54"/>
  <c r="D24" i="54" s="1"/>
  <c r="D27" i="54" s="1"/>
  <c r="D10" i="54"/>
  <c r="D39" i="54" s="1"/>
  <c r="D41" i="54" s="1"/>
  <c r="D6" i="54"/>
  <c r="D8" i="54" s="1"/>
  <c r="D11" i="54" l="1"/>
  <c r="D30" i="54"/>
  <c r="D23" i="54"/>
  <c r="G21" i="54" s="1"/>
  <c r="D26" i="54" l="1"/>
  <c r="D25" i="54"/>
  <c r="D31" i="54"/>
  <c r="D45" i="54"/>
  <c r="D46" i="54" s="1"/>
  <c r="D47" i="54" s="1"/>
  <c r="D48" i="54" s="1"/>
  <c r="D32" i="54"/>
  <c r="D28" i="54" l="1"/>
  <c r="D33" i="54" s="1"/>
  <c r="D43" i="54" s="1"/>
  <c r="D35" i="54"/>
  <c r="D36" i="54"/>
  <c r="C14" i="54" l="1"/>
  <c r="C18" i="54" s="1"/>
  <c r="F17" i="46" l="1"/>
  <c r="F18" i="46" s="1"/>
  <c r="S26" i="54" l="1"/>
  <c r="S27" i="54" l="1"/>
  <c r="S28" i="54"/>
  <c r="S29" i="54" l="1"/>
  <c r="AB74" i="54"/>
  <c r="AB76" i="54" s="1"/>
  <c r="C69" i="54"/>
  <c r="AB68" i="54"/>
  <c r="X62" i="54"/>
  <c r="X65" i="54" s="1"/>
  <c r="X67" i="54" s="1"/>
  <c r="S61" i="54"/>
  <c r="X57" i="54"/>
  <c r="S55" i="54"/>
  <c r="AB48" i="54"/>
  <c r="S48" i="54"/>
  <c r="S49" i="54" s="1"/>
  <c r="S47" i="54"/>
  <c r="AF43" i="54"/>
  <c r="X43" i="54"/>
  <c r="X39" i="54"/>
  <c r="AF38" i="54"/>
  <c r="S38" i="54"/>
  <c r="AF37" i="54"/>
  <c r="S37" i="54"/>
  <c r="X35" i="54"/>
  <c r="X47" i="54" s="1"/>
  <c r="X48" i="54" s="1"/>
  <c r="X49" i="54" s="1"/>
  <c r="C34" i="54"/>
  <c r="AF32" i="54"/>
  <c r="AB29" i="54"/>
  <c r="AF28" i="54"/>
  <c r="X28" i="54"/>
  <c r="AF24" i="54"/>
  <c r="X22" i="54"/>
  <c r="C20" i="54"/>
  <c r="C24" i="54"/>
  <c r="C27" i="54" s="1"/>
  <c r="AF17" i="54"/>
  <c r="AF18" i="54" s="1"/>
  <c r="AF19" i="54" s="1"/>
  <c r="X17" i="54"/>
  <c r="C10" i="54"/>
  <c r="C39" i="54" s="1"/>
  <c r="C41" i="54" s="1"/>
  <c r="AF8" i="54"/>
  <c r="AB8" i="54"/>
  <c r="X8" i="54"/>
  <c r="S7" i="54"/>
  <c r="C6" i="54"/>
  <c r="C8" i="54" s="1"/>
  <c r="S9" i="54" l="1"/>
  <c r="S14" i="54" s="1"/>
  <c r="S39" i="54"/>
  <c r="S40" i="54" s="1"/>
  <c r="X50" i="54"/>
  <c r="X51" i="54" s="1"/>
  <c r="X44" i="54"/>
  <c r="AB9" i="54"/>
  <c r="C23" i="54"/>
  <c r="F21" i="54" s="1"/>
  <c r="C11" i="54"/>
  <c r="AB12" i="54"/>
  <c r="AB17" i="54" s="1"/>
  <c r="AB19" i="54" s="1"/>
  <c r="AB21" i="54" s="1"/>
  <c r="C30" i="54"/>
  <c r="AB52" i="54"/>
  <c r="AB55" i="54" s="1"/>
  <c r="AB58" i="54" s="1"/>
  <c r="AB60" i="54" s="1"/>
  <c r="AB30" i="54"/>
  <c r="AB49" i="54"/>
  <c r="AB77" i="54"/>
  <c r="AB33" i="54"/>
  <c r="AB36" i="54" s="1"/>
  <c r="AB38" i="54" s="1"/>
  <c r="AB40" i="54" s="1"/>
  <c r="AB69" i="54"/>
  <c r="AB41" i="54" l="1"/>
  <c r="AB61" i="54"/>
  <c r="C45" i="54"/>
  <c r="C32" i="54"/>
  <c r="C31" i="54"/>
  <c r="C56" i="54"/>
  <c r="C26" i="54"/>
  <c r="C25" i="54"/>
  <c r="AB22" i="54"/>
  <c r="C62" i="54" l="1"/>
  <c r="C61" i="54"/>
  <c r="C64" i="54" s="1"/>
  <c r="C55" i="54"/>
  <c r="C52" i="54"/>
  <c r="C46" i="54"/>
  <c r="C47" i="54" s="1"/>
  <c r="C48" i="54" s="1"/>
  <c r="C28" i="54"/>
  <c r="C33" i="54" s="1"/>
  <c r="C43" i="54" s="1"/>
  <c r="C68" i="54" s="1"/>
  <c r="C36" i="54"/>
  <c r="C35" i="54"/>
  <c r="C57" i="54" l="1"/>
  <c r="C65" i="54"/>
  <c r="C72" i="54" l="1"/>
  <c r="C75" i="54" s="1"/>
  <c r="C77" i="54" s="1"/>
  <c r="C70" i="54"/>
  <c r="C73" i="54" s="1"/>
  <c r="C71" i="54"/>
  <c r="C74" i="54" s="1"/>
  <c r="C91" i="54" l="1"/>
  <c r="C85" i="54"/>
  <c r="C83" i="54"/>
  <c r="C89" i="54" s="1"/>
  <c r="C90" i="54"/>
  <c r="C84" i="54"/>
  <c r="C82" i="54"/>
  <c r="C88" i="54" s="1"/>
  <c r="C94" i="54"/>
  <c r="C79" i="54"/>
  <c r="J42" i="45" l="1"/>
  <c r="D42" i="45"/>
  <c r="E42" i="45" s="1"/>
  <c r="C42" i="45"/>
  <c r="O42" i="45" s="1"/>
  <c r="F42" i="45"/>
  <c r="G42" i="45"/>
  <c r="J48" i="45"/>
  <c r="D48" i="45"/>
  <c r="E48" i="45"/>
  <c r="C48" i="45"/>
  <c r="F48" i="45"/>
  <c r="J47" i="45"/>
  <c r="F47" i="45"/>
  <c r="D47" i="45"/>
  <c r="E47" i="45" s="1"/>
  <c r="C47" i="45"/>
  <c r="G47" i="45" s="1"/>
  <c r="J46" i="45"/>
  <c r="D46" i="45"/>
  <c r="E46" i="45" s="1"/>
  <c r="C46" i="45"/>
  <c r="G46" i="45" s="1"/>
  <c r="J45" i="45"/>
  <c r="D45" i="45"/>
  <c r="E45" i="45"/>
  <c r="C45" i="45"/>
  <c r="F45" i="45" s="1"/>
  <c r="J44" i="45"/>
  <c r="D44" i="45"/>
  <c r="E44" i="45"/>
  <c r="C44" i="45"/>
  <c r="F44" i="45" s="1"/>
  <c r="J43" i="45"/>
  <c r="D43" i="45"/>
  <c r="E43" i="45" s="1"/>
  <c r="C43" i="45"/>
  <c r="F43" i="45"/>
  <c r="J41" i="45"/>
  <c r="D41" i="45"/>
  <c r="E41" i="45" s="1"/>
  <c r="C41" i="45"/>
  <c r="O41" i="45" s="1"/>
  <c r="J40" i="45"/>
  <c r="D40" i="45"/>
  <c r="E40" i="45"/>
  <c r="C40" i="45"/>
  <c r="F40" i="45" s="1"/>
  <c r="J39" i="45"/>
  <c r="D39" i="45"/>
  <c r="E39" i="45"/>
  <c r="C39" i="45"/>
  <c r="F39" i="45" s="1"/>
  <c r="J38" i="45"/>
  <c r="D38" i="45"/>
  <c r="E38" i="45" s="1"/>
  <c r="C38" i="45"/>
  <c r="F38" i="45"/>
  <c r="J37" i="45"/>
  <c r="D37" i="45"/>
  <c r="E37" i="45" s="1"/>
  <c r="C37" i="45"/>
  <c r="G37" i="45" s="1"/>
  <c r="J36" i="45"/>
  <c r="D36" i="45"/>
  <c r="E36" i="45"/>
  <c r="C36" i="45"/>
  <c r="F36" i="45" s="1"/>
  <c r="J35" i="45"/>
  <c r="D35" i="45"/>
  <c r="E35" i="45"/>
  <c r="C35" i="45"/>
  <c r="F35" i="45" s="1"/>
  <c r="J34" i="45"/>
  <c r="D34" i="45"/>
  <c r="E34" i="45" s="1"/>
  <c r="C34" i="45"/>
  <c r="F34" i="45"/>
  <c r="J33" i="45"/>
  <c r="D33" i="45"/>
  <c r="E33" i="45"/>
  <c r="C33" i="45"/>
  <c r="G33" i="45" s="1"/>
  <c r="J32" i="45"/>
  <c r="D32" i="45"/>
  <c r="E32" i="45"/>
  <c r="C32" i="45"/>
  <c r="F32" i="45" s="1"/>
  <c r="J31" i="45"/>
  <c r="D31" i="45"/>
  <c r="E31" i="45"/>
  <c r="C31" i="45"/>
  <c r="G31" i="45" s="1"/>
  <c r="J30" i="45"/>
  <c r="D30" i="45"/>
  <c r="E30" i="45"/>
  <c r="C30" i="45"/>
  <c r="F30" i="45" s="1"/>
  <c r="J29" i="45"/>
  <c r="D29" i="45"/>
  <c r="E29" i="45"/>
  <c r="C29" i="45"/>
  <c r="O29" i="45" s="1"/>
  <c r="J28" i="45"/>
  <c r="D28" i="45"/>
  <c r="E28" i="45" s="1"/>
  <c r="C28" i="45"/>
  <c r="F28" i="45"/>
  <c r="J27" i="45"/>
  <c r="F27" i="45"/>
  <c r="D27" i="45"/>
  <c r="E27" i="45" s="1"/>
  <c r="C27" i="45"/>
  <c r="G27" i="45" s="1"/>
  <c r="J26" i="45"/>
  <c r="D26" i="45"/>
  <c r="E26" i="45" s="1"/>
  <c r="C26" i="45"/>
  <c r="J25" i="45"/>
  <c r="D25" i="45"/>
  <c r="E25" i="45"/>
  <c r="C25" i="45"/>
  <c r="G25" i="45" s="1"/>
  <c r="J24" i="45"/>
  <c r="D24" i="45"/>
  <c r="E24" i="45" s="1"/>
  <c r="C24" i="45"/>
  <c r="F24" i="45" s="1"/>
  <c r="J23" i="45"/>
  <c r="D23" i="45"/>
  <c r="E23" i="45"/>
  <c r="C23" i="45"/>
  <c r="F23" i="45" s="1"/>
  <c r="J22" i="45"/>
  <c r="D22" i="45"/>
  <c r="E22" i="45" s="1"/>
  <c r="C22" i="45"/>
  <c r="J21" i="45"/>
  <c r="F21" i="45"/>
  <c r="D21" i="45"/>
  <c r="E21" i="45" s="1"/>
  <c r="C21" i="45"/>
  <c r="G21" i="45" s="1"/>
  <c r="O21" i="45"/>
  <c r="J20" i="45"/>
  <c r="D20" i="45"/>
  <c r="E20" i="45" s="1"/>
  <c r="C20" i="45"/>
  <c r="F20" i="45" s="1"/>
  <c r="J19" i="45"/>
  <c r="D19" i="45"/>
  <c r="E19" i="45" s="1"/>
  <c r="C19" i="45"/>
  <c r="F19" i="45" s="1"/>
  <c r="J18" i="45"/>
  <c r="G18" i="45"/>
  <c r="D18" i="45"/>
  <c r="E18" i="45" s="1"/>
  <c r="C18" i="45"/>
  <c r="J17" i="45"/>
  <c r="D17" i="45"/>
  <c r="E17" i="45" s="1"/>
  <c r="C17" i="45"/>
  <c r="O17" i="45" s="1"/>
  <c r="J16" i="45"/>
  <c r="D16" i="45"/>
  <c r="E16" i="45" s="1"/>
  <c r="C16" i="45"/>
  <c r="O16" i="45" s="1"/>
  <c r="J15" i="45"/>
  <c r="D15" i="45"/>
  <c r="E15" i="45" s="1"/>
  <c r="C15" i="45"/>
  <c r="F15" i="45" s="1"/>
  <c r="J14" i="45"/>
  <c r="D14" i="45"/>
  <c r="E14" i="45" s="1"/>
  <c r="C14" i="45"/>
  <c r="F14" i="45" s="1"/>
  <c r="J13" i="45"/>
  <c r="D13" i="45"/>
  <c r="E13" i="45" s="1"/>
  <c r="C13" i="45"/>
  <c r="O13" i="45" s="1"/>
  <c r="J12" i="45"/>
  <c r="D12" i="45"/>
  <c r="E12" i="45" s="1"/>
  <c r="C12" i="45"/>
  <c r="F12" i="45" s="1"/>
  <c r="J11" i="45"/>
  <c r="D11" i="45"/>
  <c r="E11" i="45" s="1"/>
  <c r="C11" i="45"/>
  <c r="O11" i="45" s="1"/>
  <c r="J10" i="45"/>
  <c r="D10" i="45"/>
  <c r="E10" i="45" s="1"/>
  <c r="C10" i="45"/>
  <c r="F10" i="45" s="1"/>
  <c r="J9" i="45"/>
  <c r="D9" i="45"/>
  <c r="E9" i="45" s="1"/>
  <c r="C9" i="45"/>
  <c r="O9" i="45" s="1"/>
  <c r="J8" i="45"/>
  <c r="F8" i="45"/>
  <c r="E8" i="45"/>
  <c r="D8" i="45"/>
  <c r="C8" i="45"/>
  <c r="O8" i="45" s="1"/>
  <c r="G8" i="45"/>
  <c r="J7" i="45"/>
  <c r="D7" i="45"/>
  <c r="E7" i="45" s="1"/>
  <c r="C7" i="45"/>
  <c r="F7" i="45" s="1"/>
  <c r="J6" i="45"/>
  <c r="D6" i="45"/>
  <c r="E6" i="45" s="1"/>
  <c r="C6" i="45"/>
  <c r="G6" i="45" s="1"/>
  <c r="J4" i="45"/>
  <c r="D4" i="45"/>
  <c r="E4" i="45" s="1"/>
  <c r="C4" i="45"/>
  <c r="G4" i="45" s="1"/>
  <c r="P18" i="40"/>
  <c r="S18" i="40" s="1"/>
  <c r="T18" i="40" s="1"/>
  <c r="M18" i="40"/>
  <c r="N18" i="40" s="1"/>
  <c r="J18" i="40"/>
  <c r="K18" i="40"/>
  <c r="P17" i="40"/>
  <c r="Q17" i="40" s="1"/>
  <c r="M17" i="40"/>
  <c r="N17" i="40" s="1"/>
  <c r="J17" i="40"/>
  <c r="K17" i="40"/>
  <c r="P16" i="40"/>
  <c r="Q16" i="40" s="1"/>
  <c r="S16" i="40"/>
  <c r="T16" i="40"/>
  <c r="M16" i="40"/>
  <c r="N16" i="40" s="1"/>
  <c r="J16" i="40"/>
  <c r="K16" i="40"/>
  <c r="P15" i="40"/>
  <c r="S15" i="40" s="1"/>
  <c r="T15" i="40" s="1"/>
  <c r="N15" i="40"/>
  <c r="M15" i="40"/>
  <c r="J15" i="40"/>
  <c r="K15" i="40"/>
  <c r="P14" i="40"/>
  <c r="S14" i="40" s="1"/>
  <c r="T14" i="40" s="1"/>
  <c r="M14" i="40"/>
  <c r="N14" i="40" s="1"/>
  <c r="J14" i="40"/>
  <c r="K14" i="40"/>
  <c r="P13" i="40"/>
  <c r="S13" i="40" s="1"/>
  <c r="T13" i="40" s="1"/>
  <c r="N13" i="40"/>
  <c r="M13" i="40"/>
  <c r="J13" i="40"/>
  <c r="K13" i="40"/>
  <c r="P12" i="40"/>
  <c r="S12" i="40" s="1"/>
  <c r="T12" i="40" s="1"/>
  <c r="M12" i="40"/>
  <c r="J12" i="40"/>
  <c r="N12" i="40" s="1"/>
  <c r="K12" i="40"/>
  <c r="P11" i="40"/>
  <c r="M11" i="40"/>
  <c r="J11" i="40"/>
  <c r="Q11" i="40" s="1"/>
  <c r="P10" i="40"/>
  <c r="S10" i="40" s="1"/>
  <c r="T10" i="40" s="1"/>
  <c r="M10" i="40"/>
  <c r="N10" i="40" s="1"/>
  <c r="J10" i="40"/>
  <c r="K10" i="40"/>
  <c r="P9" i="40"/>
  <c r="Q9" i="40" s="1"/>
  <c r="M9" i="40"/>
  <c r="J9" i="40"/>
  <c r="K9" i="40"/>
  <c r="P8" i="40"/>
  <c r="Q8" i="40" s="1"/>
  <c r="N8" i="40"/>
  <c r="M8" i="40"/>
  <c r="J8" i="40"/>
  <c r="K8" i="40"/>
  <c r="P7" i="40"/>
  <c r="S7" i="40" s="1"/>
  <c r="T7" i="40" s="1"/>
  <c r="M7" i="40"/>
  <c r="N7" i="40" s="1"/>
  <c r="J7" i="40"/>
  <c r="K7" i="40" s="1"/>
  <c r="P6" i="40"/>
  <c r="Q6" i="40" s="1"/>
  <c r="N6" i="40"/>
  <c r="M6" i="40"/>
  <c r="J6" i="40"/>
  <c r="K6" i="40"/>
  <c r="P5" i="40"/>
  <c r="S5" i="40" s="1"/>
  <c r="T5" i="40" s="1"/>
  <c r="M5" i="40"/>
  <c r="N5" i="40" s="1"/>
  <c r="J5" i="40"/>
  <c r="K5" i="40" s="1"/>
  <c r="P4" i="40"/>
  <c r="Q4" i="40" s="1"/>
  <c r="S4" i="40"/>
  <c r="T4" i="40" s="1"/>
  <c r="M4" i="40"/>
  <c r="N4" i="40" s="1"/>
  <c r="J4" i="40"/>
  <c r="K4" i="40"/>
  <c r="Q13" i="40"/>
  <c r="Q15" i="40"/>
  <c r="Q18" i="40"/>
  <c r="F26" i="45"/>
  <c r="O26" i="45"/>
  <c r="O14" i="45"/>
  <c r="O30" i="45"/>
  <c r="F13" i="45"/>
  <c r="F18" i="45"/>
  <c r="O18" i="45"/>
  <c r="G26" i="45"/>
  <c r="G41" i="45"/>
  <c r="G13" i="45"/>
  <c r="G14" i="45"/>
  <c r="G30" i="45"/>
  <c r="O46" i="45"/>
  <c r="G32" i="45"/>
  <c r="G48" i="45"/>
  <c r="K11" i="40"/>
  <c r="N11" i="40"/>
  <c r="F9" i="45"/>
  <c r="N9" i="40"/>
  <c r="O27" i="45"/>
  <c r="S6" i="40"/>
  <c r="T6" i="40" s="1"/>
  <c r="Q14" i="40"/>
  <c r="O37" i="45"/>
  <c r="F41" i="45"/>
  <c r="F22" i="45"/>
  <c r="G22" i="45"/>
  <c r="O22" i="45"/>
  <c r="G34" i="45"/>
  <c r="O34" i="45"/>
  <c r="G38" i="45"/>
  <c r="O38" i="45"/>
  <c r="G43" i="45"/>
  <c r="O43" i="45"/>
  <c r="G7" i="45"/>
  <c r="G20" i="45"/>
  <c r="O23" i="45"/>
  <c r="O28" i="45"/>
  <c r="O35" i="45"/>
  <c r="O39" i="45"/>
  <c r="O44" i="45"/>
  <c r="S11" i="40"/>
  <c r="T11" i="40"/>
  <c r="G23" i="45"/>
  <c r="G28" i="45"/>
  <c r="G35" i="45"/>
  <c r="G39" i="45"/>
  <c r="G44" i="45"/>
  <c r="O48" i="45"/>
  <c r="O4" i="45" l="1"/>
  <c r="S9" i="40"/>
  <c r="T9" i="40" s="1"/>
  <c r="O33" i="45"/>
  <c r="O31" i="45"/>
  <c r="O47" i="45"/>
  <c r="F37" i="45"/>
  <c r="G40" i="45"/>
  <c r="F33" i="45"/>
  <c r="Q7" i="40"/>
  <c r="S8" i="40"/>
  <c r="T8" i="40" s="1"/>
  <c r="O20" i="45"/>
  <c r="O25" i="45"/>
  <c r="F25" i="45"/>
  <c r="O32" i="45"/>
  <c r="S17" i="40"/>
  <c r="T17" i="40" s="1"/>
  <c r="G45" i="45"/>
  <c r="G29" i="45"/>
  <c r="Q12" i="40"/>
  <c r="O19" i="45"/>
  <c r="O24" i="45"/>
  <c r="G36" i="45"/>
  <c r="F29" i="45"/>
  <c r="Q5" i="40"/>
  <c r="F4" i="45"/>
  <c r="G19" i="45"/>
  <c r="G24" i="45"/>
  <c r="O36" i="45"/>
  <c r="O40" i="45"/>
  <c r="O45" i="45"/>
  <c r="G16" i="45"/>
  <c r="F16" i="45"/>
  <c r="Q10" i="40"/>
  <c r="O6" i="45"/>
  <c r="F11" i="45"/>
  <c r="F6" i="45"/>
  <c r="G11" i="45"/>
  <c r="G9" i="45"/>
  <c r="F17" i="45"/>
  <c r="G17" i="45"/>
  <c r="G10" i="45"/>
  <c r="O10" i="45"/>
  <c r="G15" i="45"/>
  <c r="G12" i="45"/>
  <c r="O7" i="45"/>
  <c r="O12" i="45"/>
  <c r="O15" i="45"/>
</calcChain>
</file>

<file path=xl/sharedStrings.xml><?xml version="1.0" encoding="utf-8"?>
<sst xmlns="http://schemas.openxmlformats.org/spreadsheetml/2006/main" count="1185" uniqueCount="629">
  <si>
    <t>V</t>
    <phoneticPr fontId="3" type="noConversion"/>
  </si>
  <si>
    <t>kW</t>
    <phoneticPr fontId="3" type="noConversion"/>
  </si>
  <si>
    <t>A</t>
    <phoneticPr fontId="3" type="noConversion"/>
  </si>
  <si>
    <t>㎟</t>
  </si>
  <si>
    <t>kHz</t>
    <phoneticPr fontId="3" type="noConversion"/>
  </si>
  <si>
    <t>mJ</t>
    <phoneticPr fontId="3" type="noConversion"/>
  </si>
  <si>
    <t>W</t>
    <phoneticPr fontId="3" type="noConversion"/>
  </si>
  <si>
    <t>%</t>
    <phoneticPr fontId="3" type="noConversion"/>
  </si>
  <si>
    <t>Total Gate Charge</t>
    <phoneticPr fontId="3" type="noConversion"/>
  </si>
  <si>
    <t>게이트 구동손실</t>
    <phoneticPr fontId="3" type="noConversion"/>
  </si>
  <si>
    <t>코일턴수</t>
    <phoneticPr fontId="3" type="noConversion"/>
  </si>
  <si>
    <t>Turns</t>
    <phoneticPr fontId="3" type="noConversion"/>
  </si>
  <si>
    <t>내부직경</t>
    <phoneticPr fontId="3" type="noConversion"/>
  </si>
  <si>
    <t>mm</t>
    <phoneticPr fontId="3" type="noConversion"/>
  </si>
  <si>
    <t>높이</t>
    <phoneticPr fontId="3" type="noConversion"/>
  </si>
  <si>
    <t>uH</t>
    <phoneticPr fontId="3" type="noConversion"/>
  </si>
  <si>
    <t>Vdc</t>
    <phoneticPr fontId="3" type="noConversion"/>
  </si>
  <si>
    <t>Idc</t>
    <phoneticPr fontId="3" type="noConversion"/>
  </si>
  <si>
    <t>Po</t>
    <phoneticPr fontId="3" type="noConversion"/>
  </si>
  <si>
    <t>Tesla</t>
    <phoneticPr fontId="3" type="noConversion"/>
  </si>
  <si>
    <t>일차 최대전압</t>
    <phoneticPr fontId="3" type="noConversion"/>
  </si>
  <si>
    <t>최대자속밀도</t>
    <phoneticPr fontId="3" type="noConversion"/>
  </si>
  <si>
    <t>중족단면적</t>
    <phoneticPr fontId="3" type="noConversion"/>
  </si>
  <si>
    <t>cmSq</t>
    <phoneticPr fontId="3" type="noConversion"/>
  </si>
  <si>
    <t>스위칭주파수</t>
    <phoneticPr fontId="3" type="noConversion"/>
  </si>
  <si>
    <t>Hz</t>
    <phoneticPr fontId="3" type="noConversion"/>
  </si>
  <si>
    <t>최소 일차턴수</t>
    <phoneticPr fontId="3" type="noConversion"/>
  </si>
  <si>
    <t>공진콘덴서</t>
    <phoneticPr fontId="3" type="noConversion"/>
  </si>
  <si>
    <t>uF</t>
    <phoneticPr fontId="3" type="noConversion"/>
  </si>
  <si>
    <t>공진인덕터</t>
    <phoneticPr fontId="3" type="noConversion"/>
  </si>
  <si>
    <t>공진주파수</t>
    <phoneticPr fontId="3" type="noConversion"/>
  </si>
  <si>
    <t>Hz (결과)</t>
    <phoneticPr fontId="3" type="noConversion"/>
  </si>
  <si>
    <t>콘덴서</t>
    <phoneticPr fontId="3" type="noConversion"/>
  </si>
  <si>
    <t>uF</t>
  </si>
  <si>
    <t>인가주파수</t>
    <phoneticPr fontId="3" type="noConversion"/>
  </si>
  <si>
    <t>통전전류</t>
    <phoneticPr fontId="3" type="noConversion"/>
  </si>
  <si>
    <t>콘덴서전압</t>
    <phoneticPr fontId="3" type="noConversion"/>
  </si>
  <si>
    <t>주파수</t>
    <phoneticPr fontId="3" type="noConversion"/>
  </si>
  <si>
    <t>판사이거리</t>
    <phoneticPr fontId="3" type="noConversion"/>
  </si>
  <si>
    <t>판길이</t>
    <phoneticPr fontId="3" type="noConversion"/>
  </si>
  <si>
    <t>nH</t>
    <phoneticPr fontId="3" type="noConversion"/>
  </si>
  <si>
    <t>Q</t>
    <phoneticPr fontId="3" type="noConversion"/>
  </si>
  <si>
    <t>:1</t>
    <phoneticPr fontId="3" type="noConversion"/>
  </si>
  <si>
    <t>Ptot / IGBT CASE</t>
    <phoneticPr fontId="3" type="noConversion"/>
  </si>
  <si>
    <t>VDC</t>
    <phoneticPr fontId="3" type="noConversion"/>
  </si>
  <si>
    <t>uC</t>
    <phoneticPr fontId="3" type="noConversion"/>
  </si>
  <si>
    <t>W MAX</t>
    <phoneticPr fontId="3" type="noConversion"/>
  </si>
  <si>
    <t>KVA</t>
    <phoneticPr fontId="3" type="noConversion"/>
  </si>
  <si>
    <t>℃</t>
  </si>
  <si>
    <t>EA</t>
    <phoneticPr fontId="3" type="noConversion"/>
  </si>
  <si>
    <t>mm^2</t>
    <phoneticPr fontId="3" type="noConversion"/>
  </si>
  <si>
    <t>Current Density</t>
    <phoneticPr fontId="3" type="noConversion"/>
  </si>
  <si>
    <t>콘덴서값</t>
    <phoneticPr fontId="3" type="noConversion"/>
  </si>
  <si>
    <t>1차 공진전류</t>
    <phoneticPr fontId="3" type="noConversion"/>
  </si>
  <si>
    <t>입력전력</t>
    <phoneticPr fontId="3" type="noConversion"/>
  </si>
  <si>
    <t>공진전압</t>
    <phoneticPr fontId="3" type="noConversion"/>
  </si>
  <si>
    <t>VAC</t>
    <phoneticPr fontId="3" type="noConversion"/>
  </si>
  <si>
    <t>2차공진전류</t>
    <phoneticPr fontId="3" type="noConversion"/>
  </si>
  <si>
    <t>K/W</t>
    <phoneticPr fontId="3" type="noConversion"/>
  </si>
  <si>
    <t>℃</t>
    <phoneticPr fontId="3" type="noConversion"/>
  </si>
  <si>
    <t>냉각수 출수 온도</t>
    <phoneticPr fontId="3" type="noConversion"/>
  </si>
  <si>
    <t>냉각수 유량</t>
    <phoneticPr fontId="3" type="noConversion"/>
  </si>
  <si>
    <t>lpm</t>
    <phoneticPr fontId="3" type="noConversion"/>
  </si>
  <si>
    <t>냉각수 입수 온도 최대</t>
    <phoneticPr fontId="3" type="noConversion"/>
  </si>
  <si>
    <t>입력선전류</t>
    <phoneticPr fontId="3" type="noConversion"/>
  </si>
  <si>
    <t>입력선 단면적</t>
    <phoneticPr fontId="3" type="noConversion"/>
  </si>
  <si>
    <t>병렬</t>
    <phoneticPr fontId="3" type="noConversion"/>
  </si>
  <si>
    <t>직렬</t>
    <phoneticPr fontId="3" type="noConversion"/>
  </si>
  <si>
    <t>R</t>
    <phoneticPr fontId="3" type="noConversion"/>
  </si>
  <si>
    <t>Conduction Loss/Device</t>
    <phoneticPr fontId="3" type="noConversion"/>
  </si>
  <si>
    <t>Total Solid Device Loss</t>
    <phoneticPr fontId="3" type="noConversion"/>
  </si>
  <si>
    <t>공진콘덴서 전압</t>
    <phoneticPr fontId="3" type="noConversion"/>
  </si>
  <si>
    <t>Duty</t>
    <phoneticPr fontId="3" type="noConversion"/>
  </si>
  <si>
    <t>역율</t>
    <phoneticPr fontId="3" type="noConversion"/>
  </si>
  <si>
    <t>A/㎟</t>
    <phoneticPr fontId="3" type="noConversion"/>
  </si>
  <si>
    <t>L</t>
    <phoneticPr fontId="3" type="noConversion"/>
  </si>
  <si>
    <t>C</t>
    <phoneticPr fontId="3" type="noConversion"/>
  </si>
  <si>
    <t>Fr</t>
    <phoneticPr fontId="3" type="noConversion"/>
  </si>
  <si>
    <t>Phase MIN</t>
    <phoneticPr fontId="3" type="noConversion"/>
  </si>
  <si>
    <t>°</t>
    <phoneticPr fontId="3" type="noConversion"/>
  </si>
  <si>
    <t>TAN(Phase MIN)</t>
    <phoneticPr fontId="3" type="noConversion"/>
  </si>
  <si>
    <t>Fs</t>
    <phoneticPr fontId="3" type="noConversion"/>
  </si>
  <si>
    <t>Zl</t>
    <phoneticPr fontId="3" type="noConversion"/>
  </si>
  <si>
    <t>mΩ</t>
    <phoneticPr fontId="3" type="noConversion"/>
  </si>
  <si>
    <t>Zc</t>
    <phoneticPr fontId="3" type="noConversion"/>
  </si>
  <si>
    <t>Z</t>
    <phoneticPr fontId="3" type="noConversion"/>
  </si>
  <si>
    <t>HB/FB</t>
    <phoneticPr fontId="3" type="noConversion"/>
  </si>
  <si>
    <t>Half Bridge = 2, Full Bridge = 1</t>
    <phoneticPr fontId="3" type="noConversion"/>
  </si>
  <si>
    <t>Turn Ratio</t>
    <phoneticPr fontId="3" type="noConversion"/>
  </si>
  <si>
    <t>Vac secondary</t>
    <phoneticPr fontId="3" type="noConversion"/>
  </si>
  <si>
    <t>Ir primary</t>
    <phoneticPr fontId="3" type="noConversion"/>
  </si>
  <si>
    <t>Ir avg</t>
    <phoneticPr fontId="3" type="noConversion"/>
  </si>
  <si>
    <t>Ir avg DC</t>
    <phoneticPr fontId="3" type="noConversion"/>
  </si>
  <si>
    <t>Ir avg DC/Idc</t>
    <phoneticPr fontId="3" type="noConversion"/>
  </si>
  <si>
    <t>출력케이블L값</t>
    <phoneticPr fontId="3" type="noConversion"/>
  </si>
  <si>
    <t>부하 인덕턴스</t>
    <phoneticPr fontId="3" type="noConversion"/>
  </si>
  <si>
    <t>코일 병렬 수</t>
    <phoneticPr fontId="3" type="noConversion"/>
  </si>
  <si>
    <t>무부하 인덕턴스</t>
    <phoneticPr fontId="3" type="noConversion"/>
  </si>
  <si>
    <t>L값 감소율</t>
    <phoneticPr fontId="3" type="noConversion"/>
  </si>
  <si>
    <t>코일 직렬 수</t>
    <phoneticPr fontId="3" type="noConversion"/>
  </si>
  <si>
    <t>IR</t>
    <phoneticPr fontId="3" type="noConversion"/>
  </si>
  <si>
    <t>Qsw-cap</t>
    <phoneticPr fontId="3" type="noConversion"/>
  </si>
  <si>
    <t>COS(Phase MIN)</t>
    <phoneticPr fontId="3" type="noConversion"/>
  </si>
  <si>
    <t>Vac for Irmax at inphase</t>
    <phoneticPr fontId="3" type="noConversion"/>
  </si>
  <si>
    <t>Vac for Irmax with phase</t>
    <phoneticPr fontId="3" type="noConversion"/>
  </si>
  <si>
    <t>Irmax at R</t>
    <phoneticPr fontId="3" type="noConversion"/>
  </si>
  <si>
    <t>코일 L값</t>
    <phoneticPr fontId="3" type="noConversion"/>
  </si>
  <si>
    <t>인버터 출력전류</t>
    <phoneticPr fontId="3" type="noConversion"/>
  </si>
  <si>
    <t>DC LINK C값</t>
    <phoneticPr fontId="3" type="noConversion"/>
  </si>
  <si>
    <t>DC LINK CAP RIPPLE Voltage</t>
    <phoneticPr fontId="3" type="noConversion"/>
  </si>
  <si>
    <t>VDC 평균값</t>
    <phoneticPr fontId="3" type="noConversion"/>
  </si>
  <si>
    <t>DC LINK CAP RIPPLE Current</t>
    <phoneticPr fontId="3" type="noConversion"/>
  </si>
  <si>
    <t>동작주파수</t>
    <phoneticPr fontId="3" type="noConversion"/>
  </si>
  <si>
    <t>DC LINK CAP 리플 함유율(peak to peak)</t>
    <phoneticPr fontId="3" type="noConversion"/>
  </si>
  <si>
    <t>IGBT IC RMS전류</t>
    <phoneticPr fontId="3" type="noConversion"/>
  </si>
  <si>
    <t>파형 및 LCD 확인</t>
    <phoneticPr fontId="3" type="noConversion"/>
  </si>
  <si>
    <t>Switching Frequency</t>
    <phoneticPr fontId="3" type="noConversion"/>
  </si>
  <si>
    <t>DATA SHEET 확인</t>
    <phoneticPr fontId="3" type="noConversion"/>
  </si>
  <si>
    <t>게이트 전압</t>
    <phoneticPr fontId="3" type="noConversion"/>
  </si>
  <si>
    <t>게이트드라이버 전위차(예를 들어 +15V,-10V 일때는 25V)</t>
    <phoneticPr fontId="3" type="noConversion"/>
  </si>
  <si>
    <t>Off Switching Energy</t>
    <phoneticPr fontId="3" type="noConversion"/>
  </si>
  <si>
    <t>DATA SHEET 확인(Switching Current 에 해당하는 Off Switching Energy)</t>
    <phoneticPr fontId="3" type="noConversion"/>
  </si>
  <si>
    <t>On Switching Energy(ZVS)</t>
    <phoneticPr fontId="3" type="noConversion"/>
  </si>
  <si>
    <t>Diode 역방향 회복 Energy(ZVS)</t>
    <phoneticPr fontId="3" type="noConversion"/>
  </si>
  <si>
    <t>IGBT Switching Loss/Device</t>
    <phoneticPr fontId="3" type="noConversion"/>
  </si>
  <si>
    <t>Diode 역방향 회복 손실(ZVS)</t>
    <phoneticPr fontId="3" type="noConversion"/>
  </si>
  <si>
    <t>스너버 손실 비율</t>
  </si>
  <si>
    <t>스너버 없으면 100%, 스너버 최소 손실비율(55% 감소)</t>
    <phoneticPr fontId="3" type="noConversion"/>
  </si>
  <si>
    <t>IGBT Switching Loss/Device_스너버손실비율 포함</t>
    <phoneticPr fontId="3" type="noConversion"/>
  </si>
  <si>
    <t>IC 평균전류</t>
    <phoneticPr fontId="3" type="noConversion"/>
  </si>
  <si>
    <t>IGBT VCE Saturation</t>
    <phoneticPr fontId="3" type="noConversion"/>
  </si>
  <si>
    <t>DATA SHEET 확인(IC 평균전류에 해당하는 Vce saturation 확인)</t>
    <phoneticPr fontId="3" type="noConversion"/>
  </si>
  <si>
    <t>Diode Vf</t>
    <phoneticPr fontId="3" type="noConversion"/>
  </si>
  <si>
    <t>DATA SHEET 확인(IC 평균전류에 해당하는 Diode Vf 확인)</t>
    <phoneticPr fontId="3" type="noConversion"/>
  </si>
  <si>
    <t>위상지연각</t>
    <phoneticPr fontId="3" type="noConversion"/>
  </si>
  <si>
    <t>IGBT Conduction Loss</t>
    <phoneticPr fontId="3" type="noConversion"/>
  </si>
  <si>
    <t>Diode Conduction Loss</t>
    <phoneticPr fontId="3" type="noConversion"/>
  </si>
  <si>
    <t>모듈 Package 당 IGBT(switching device)수량</t>
    <phoneticPr fontId="3" type="noConversion"/>
  </si>
  <si>
    <t>열저항(Junction-Case)-IGBT</t>
    <phoneticPr fontId="3" type="noConversion"/>
  </si>
  <si>
    <t>Case온도(IGBT,Tj=125℃기준)</t>
    <phoneticPr fontId="3" type="noConversion"/>
  </si>
  <si>
    <t>표기된 온도 이상은 사용 불가</t>
    <phoneticPr fontId="3" type="noConversion"/>
  </si>
  <si>
    <t>Case온도(Diode,Tj=125℃기준)</t>
    <phoneticPr fontId="3" type="noConversion"/>
  </si>
  <si>
    <t>Case온도- IGBT  온도차</t>
    <phoneticPr fontId="3" type="noConversion"/>
  </si>
  <si>
    <t>Case온도- Diode 온도차</t>
    <phoneticPr fontId="3" type="noConversion"/>
  </si>
  <si>
    <t>열저항(Case-Heatsink)-IGBT(lPaste = 1 W/(m·K)기준)</t>
    <phoneticPr fontId="3" type="noConversion"/>
  </si>
  <si>
    <t>열저항(Case-Heatsink)-Diode(lPaste = 1 W/(m·K)기준)</t>
    <phoneticPr fontId="3" type="noConversion"/>
  </si>
  <si>
    <t>Heatsink온도-IGBT바닥면 중심</t>
    <phoneticPr fontId="3" type="noConversion"/>
  </si>
  <si>
    <t>Heatsink온도-Diode바닥면 중심</t>
    <phoneticPr fontId="3" type="noConversion"/>
  </si>
  <si>
    <t>Heatsink온도-케이스간 온도차-IGBT</t>
    <phoneticPr fontId="3" type="noConversion"/>
  </si>
  <si>
    <t>Heatsink온도-케이스간 온도차-Diode</t>
    <phoneticPr fontId="3" type="noConversion"/>
  </si>
  <si>
    <t>수냉방열판과의 열저항의 기준이 없어 60℃를 기준으로함</t>
    <phoneticPr fontId="3" type="noConversion"/>
  </si>
  <si>
    <t>유량</t>
    <phoneticPr fontId="3" type="noConversion"/>
  </si>
  <si>
    <t>Vdc 전압</t>
    <phoneticPr fontId="5" type="noConversion"/>
  </si>
  <si>
    <t>Vdc</t>
    <phoneticPr fontId="5" type="noConversion"/>
  </si>
  <si>
    <t>C스너버 개당 C값</t>
    <phoneticPr fontId="5" type="noConversion"/>
  </si>
  <si>
    <t>nF</t>
    <phoneticPr fontId="5" type="noConversion"/>
  </si>
  <si>
    <t>스너버 C값(POLE 기준)</t>
    <phoneticPr fontId="4" type="noConversion"/>
  </si>
  <si>
    <t>nF</t>
    <phoneticPr fontId="4" type="noConversion"/>
  </si>
  <si>
    <t>C스너버 보드당 C갯수</t>
    <phoneticPr fontId="5" type="noConversion"/>
  </si>
  <si>
    <t>개</t>
    <phoneticPr fontId="5" type="noConversion"/>
  </si>
  <si>
    <t>VDC 전압</t>
    <phoneticPr fontId="4" type="noConversion"/>
  </si>
  <si>
    <t>V</t>
    <phoneticPr fontId="4" type="noConversion"/>
  </si>
  <si>
    <t>보드를 겹침 수량</t>
    <phoneticPr fontId="5" type="noConversion"/>
  </si>
  <si>
    <t>스위칭전류</t>
    <phoneticPr fontId="4" type="noConversion"/>
  </si>
  <si>
    <t>A</t>
    <phoneticPr fontId="4" type="noConversion"/>
  </si>
  <si>
    <t>상하 고려</t>
    <phoneticPr fontId="5" type="noConversion"/>
  </si>
  <si>
    <t>스위칭시 전압 상승시간</t>
    <phoneticPr fontId="4" type="noConversion"/>
  </si>
  <si>
    <t>ns</t>
    <phoneticPr fontId="4" type="noConversion"/>
  </si>
  <si>
    <t>상하 데드타임</t>
    <phoneticPr fontId="5" type="noConversion"/>
  </si>
  <si>
    <t>us</t>
    <phoneticPr fontId="5" type="noConversion"/>
  </si>
  <si>
    <t>모듈 출력전류</t>
    <phoneticPr fontId="5" type="noConversion"/>
  </si>
  <si>
    <t>Arms</t>
    <phoneticPr fontId="5" type="noConversion"/>
  </si>
  <si>
    <t>운전 모듈 수량</t>
    <phoneticPr fontId="5" type="noConversion"/>
  </si>
  <si>
    <t>대</t>
    <phoneticPr fontId="5" type="noConversion"/>
  </si>
  <si>
    <t>인버터 출력전류</t>
    <phoneticPr fontId="5" type="noConversion"/>
  </si>
  <si>
    <t>정격전류시 상승시간</t>
    <phoneticPr fontId="5" type="noConversion"/>
  </si>
  <si>
    <t>ON-POLE</t>
    <phoneticPr fontId="5" type="noConversion"/>
  </si>
  <si>
    <t>스위칭각</t>
    <phoneticPr fontId="5" type="noConversion"/>
  </si>
  <si>
    <t>deg</t>
    <phoneticPr fontId="5" type="noConversion"/>
  </si>
  <si>
    <t>스위칭 전류</t>
    <phoneticPr fontId="5" type="noConversion"/>
  </si>
  <si>
    <t>A</t>
    <phoneticPr fontId="5" type="noConversion"/>
  </si>
  <si>
    <t>전압 상승 소요시간</t>
    <phoneticPr fontId="5" type="noConversion"/>
  </si>
  <si>
    <t>nsec</t>
    <phoneticPr fontId="5" type="noConversion"/>
  </si>
  <si>
    <t>데드타임 에 맞추기 위한</t>
    <phoneticPr fontId="5" type="noConversion"/>
  </si>
  <si>
    <t>ZVS 모듈 스위칭 전류</t>
    <phoneticPr fontId="5" type="noConversion"/>
  </si>
  <si>
    <t>ZVS 모듈 전류</t>
    <phoneticPr fontId="5" type="noConversion"/>
  </si>
  <si>
    <t>정격전류 대비 율</t>
    <phoneticPr fontId="5" type="noConversion"/>
  </si>
  <si>
    <t>%</t>
    <phoneticPr fontId="5" type="noConversion"/>
  </si>
  <si>
    <t>정격전력 대비 율</t>
    <phoneticPr fontId="5" type="noConversion"/>
  </si>
  <si>
    <t>날짜</t>
    <phoneticPr fontId="5" type="noConversion"/>
  </si>
  <si>
    <t>운전데이터</t>
    <phoneticPr fontId="5" type="noConversion"/>
  </si>
  <si>
    <t>운전데이터기준_예상데이터</t>
    <phoneticPr fontId="5" type="noConversion"/>
  </si>
  <si>
    <t>운전데이터 기준_탭비변경 예상데이터</t>
    <phoneticPr fontId="5" type="noConversion"/>
  </si>
  <si>
    <t>탭비변경 기준_예상데이터</t>
    <phoneticPr fontId="5" type="noConversion"/>
  </si>
  <si>
    <t>Po[kW]</t>
    <phoneticPr fontId="5" type="noConversion"/>
  </si>
  <si>
    <t>Vo[V]</t>
    <phoneticPr fontId="5" type="noConversion"/>
  </si>
  <si>
    <t>Io[A]</t>
    <phoneticPr fontId="5" type="noConversion"/>
  </si>
  <si>
    <t>Fr[kHz]</t>
    <phoneticPr fontId="5" type="noConversion"/>
  </si>
  <si>
    <t>M/T 탭비</t>
    <phoneticPr fontId="5" type="noConversion"/>
  </si>
  <si>
    <t>Ir[A]</t>
    <phoneticPr fontId="5" type="noConversion"/>
  </si>
  <si>
    <t>위상각</t>
    <phoneticPr fontId="5" type="noConversion"/>
  </si>
  <si>
    <r>
      <t>cos</t>
    </r>
    <r>
      <rPr>
        <b/>
        <sz val="11"/>
        <color indexed="8"/>
        <rFont val="맑은 고딕"/>
        <family val="3"/>
        <charset val="129"/>
      </rPr>
      <t>θ</t>
    </r>
    <phoneticPr fontId="5" type="noConversion"/>
  </si>
  <si>
    <t>Duty</t>
    <phoneticPr fontId="5" type="noConversion"/>
  </si>
  <si>
    <t>예상 Po[kW]</t>
    <phoneticPr fontId="5" type="noConversion"/>
  </si>
  <si>
    <t>예상 Ir</t>
    <phoneticPr fontId="5" type="noConversion"/>
  </si>
  <si>
    <t>예상 Duty</t>
    <phoneticPr fontId="5" type="noConversion"/>
  </si>
  <si>
    <t>변경 탭비</t>
    <phoneticPr fontId="5" type="noConversion"/>
  </si>
  <si>
    <t>변경 Ir[A]</t>
    <phoneticPr fontId="5" type="noConversion"/>
  </si>
  <si>
    <t>변경 Duty</t>
    <phoneticPr fontId="5" type="noConversion"/>
  </si>
  <si>
    <t>예상 Po[kW]</t>
    <phoneticPr fontId="5" type="noConversion"/>
  </si>
  <si>
    <t>예상 Ir</t>
    <phoneticPr fontId="5" type="noConversion"/>
  </si>
  <si>
    <t>예상 Duty</t>
    <phoneticPr fontId="5" type="noConversion"/>
  </si>
  <si>
    <t>사용 재료</t>
    <phoneticPr fontId="5" type="noConversion"/>
  </si>
  <si>
    <t>타프피치 동</t>
    <phoneticPr fontId="5" type="noConversion"/>
  </si>
  <si>
    <t>도체 고유전기저항</t>
    <phoneticPr fontId="3" type="noConversion"/>
  </si>
  <si>
    <t>[Ωm×10E-8]</t>
    <phoneticPr fontId="3" type="noConversion"/>
  </si>
  <si>
    <t>도체의 온도저항계수</t>
    <phoneticPr fontId="3" type="noConversion"/>
  </si>
  <si>
    <t>at 20℃</t>
    <phoneticPr fontId="3" type="noConversion"/>
  </si>
  <si>
    <t>도체의 온도</t>
    <phoneticPr fontId="3" type="noConversion"/>
  </si>
  <si>
    <t xml:space="preserve">도체의 산출저항 </t>
    <phoneticPr fontId="3" type="noConversion"/>
  </si>
  <si>
    <t>도체의 산출 전도도</t>
    <phoneticPr fontId="5" type="noConversion"/>
  </si>
  <si>
    <t>[SIMENS/m]</t>
    <phoneticPr fontId="5" type="noConversion"/>
  </si>
  <si>
    <t>비투자율</t>
    <phoneticPr fontId="3" type="noConversion"/>
  </si>
  <si>
    <t>ui</t>
    <phoneticPr fontId="4" type="noConversion"/>
  </si>
  <si>
    <t>[Hz]</t>
    <phoneticPr fontId="3" type="noConversion"/>
  </si>
  <si>
    <t>[mm]</t>
    <phoneticPr fontId="4" type="noConversion"/>
  </si>
  <si>
    <t>&lt;공진 C 계산 공식&gt;</t>
    <phoneticPr fontId="3" type="noConversion"/>
  </si>
  <si>
    <t>전체 탭</t>
    <phoneticPr fontId="3" type="noConversion"/>
  </si>
  <si>
    <t>사용 탭</t>
    <phoneticPr fontId="3" type="noConversion"/>
  </si>
  <si>
    <t>정격 전압</t>
    <phoneticPr fontId="3" type="noConversion"/>
  </si>
  <si>
    <t>정격 전류</t>
    <phoneticPr fontId="3" type="noConversion"/>
  </si>
  <si>
    <t>단위 C 용량</t>
    <phoneticPr fontId="3" type="noConversion"/>
  </si>
  <si>
    <t>사용가능 전압</t>
    <phoneticPr fontId="3" type="noConversion"/>
  </si>
  <si>
    <t>사용가능 전류</t>
    <phoneticPr fontId="3" type="noConversion"/>
  </si>
  <si>
    <t>탭</t>
    <phoneticPr fontId="3" type="noConversion"/>
  </si>
  <si>
    <t>직렬 연결 수량</t>
    <phoneticPr fontId="3" type="noConversion"/>
  </si>
  <si>
    <t>병렬 연결 수량</t>
    <phoneticPr fontId="3" type="noConversion"/>
  </si>
  <si>
    <t>&lt;Q값 계산 공식 :공진 C 기준&gt;</t>
    <phoneticPr fontId="3" type="noConversion"/>
  </si>
  <si>
    <t>&lt;위상각 계산 공식&gt;</t>
    <phoneticPr fontId="3" type="noConversion"/>
  </si>
  <si>
    <t>인버터 관련</t>
    <phoneticPr fontId="3" type="noConversion"/>
  </si>
  <si>
    <t>정류부 관련</t>
    <phoneticPr fontId="3" type="noConversion"/>
  </si>
  <si>
    <t>&lt;트랜스포머 최소 턴수 계산 공식&gt;</t>
    <phoneticPr fontId="3" type="noConversion"/>
  </si>
  <si>
    <t>turn</t>
    <phoneticPr fontId="3" type="noConversion"/>
  </si>
  <si>
    <t>전력</t>
    <phoneticPr fontId="3" type="noConversion"/>
  </si>
  <si>
    <t>입력 선전압</t>
    <phoneticPr fontId="3" type="noConversion"/>
  </si>
  <si>
    <t xml:space="preserve">비고 </t>
    <phoneticPr fontId="3" type="noConversion"/>
  </si>
  <si>
    <t>M/T 1차 구형파 전압으로 얻을 수 있는 AC 전압의 최대값</t>
    <phoneticPr fontId="3" type="noConversion"/>
  </si>
  <si>
    <t>공진 주파수</t>
    <phoneticPr fontId="3" type="noConversion"/>
  </si>
  <si>
    <t>&lt;콘덴서 내전압 계산 공식&gt;</t>
    <phoneticPr fontId="3" type="noConversion"/>
  </si>
  <si>
    <t>&lt;스너버C 용량 적정성 검토 계산 공식&gt;</t>
    <phoneticPr fontId="3" type="noConversion"/>
  </si>
  <si>
    <t>&lt;Dead Time 계산 공식&gt;</t>
    <phoneticPr fontId="3" type="noConversion"/>
  </si>
  <si>
    <t>[mmSQ]</t>
    <phoneticPr fontId="4" type="noConversion"/>
  </si>
  <si>
    <t>[A]</t>
    <phoneticPr fontId="3" type="noConversion"/>
  </si>
  <si>
    <t>[W]</t>
    <phoneticPr fontId="3" type="noConversion"/>
  </si>
  <si>
    <t>Skin Depth</t>
    <phoneticPr fontId="3" type="noConversion"/>
  </si>
  <si>
    <t>배선길이</t>
    <phoneticPr fontId="3" type="noConversion"/>
  </si>
  <si>
    <t>인가전류</t>
    <phoneticPr fontId="3" type="noConversion"/>
  </si>
  <si>
    <t>발열량</t>
    <phoneticPr fontId="3" type="noConversion"/>
  </si>
  <si>
    <t>파이프 외경</t>
    <phoneticPr fontId="3" type="noConversion"/>
  </si>
  <si>
    <t>가로(외곽)</t>
    <phoneticPr fontId="3" type="noConversion"/>
  </si>
  <si>
    <t>세로(외곽)</t>
    <phoneticPr fontId="3" type="noConversion"/>
  </si>
  <si>
    <t>&lt;Fault 발생시 L에 의한 VDC 상승전압 계산공식&gt;</t>
    <phoneticPr fontId="3" type="noConversion"/>
  </si>
  <si>
    <t>전체 C 용량</t>
    <phoneticPr fontId="3" type="noConversion"/>
  </si>
  <si>
    <t>kw</t>
    <phoneticPr fontId="3" type="noConversion"/>
  </si>
  <si>
    <t>COSθ</t>
    <phoneticPr fontId="3" type="noConversion"/>
  </si>
  <si>
    <t>θ (위상각, Phase)</t>
    <phoneticPr fontId="3" type="noConversion"/>
  </si>
  <si>
    <t>코일 전압(출력케이블 포함)</t>
    <phoneticPr fontId="3" type="noConversion"/>
  </si>
  <si>
    <t>공진콘덴서 기준의 Q값(예상데이터, 측정 및 계산 데이터)</t>
    <phoneticPr fontId="3" type="noConversion"/>
  </si>
  <si>
    <t>M/T 1차 전류(인버터 출력 전류)</t>
    <phoneticPr fontId="3" type="noConversion"/>
  </si>
  <si>
    <t>공진 전류(코일전류, C/T 1차전류)</t>
    <phoneticPr fontId="3" type="noConversion"/>
  </si>
  <si>
    <t>동작 주파수 (Q값 ,위상각 등에 따라 달라짐)</t>
    <phoneticPr fontId="3" type="noConversion"/>
  </si>
  <si>
    <t>&lt;DC LINK CAPACITOR 리플 전압,전류 계산 공식&gt;</t>
    <phoneticPr fontId="3" type="noConversion"/>
  </si>
  <si>
    <t>인버터의 위상각(기준 30° ,상황에 따라 20° 까지 적용)</t>
    <phoneticPr fontId="3" type="noConversion"/>
  </si>
  <si>
    <t>100%이하(98%정도이하),Turn Ratio값을 조정하여 변경</t>
    <phoneticPr fontId="3" type="noConversion"/>
  </si>
  <si>
    <t>Matching Transformer 의 권선비(Duty가 100%넘지 않도록 조정)</t>
    <phoneticPr fontId="3" type="noConversion"/>
  </si>
  <si>
    <t>단면적</t>
    <phoneticPr fontId="3" type="noConversion"/>
  </si>
  <si>
    <t xml:space="preserve">부스바 폭(너비) </t>
    <phoneticPr fontId="3" type="noConversion"/>
  </si>
  <si>
    <t xml:space="preserve">단면적 </t>
    <phoneticPr fontId="3" type="noConversion"/>
  </si>
  <si>
    <t>Min(스킨뎁스,두께)</t>
    <phoneticPr fontId="3" type="noConversion"/>
  </si>
  <si>
    <t>두께 : 파이프</t>
    <phoneticPr fontId="3" type="noConversion"/>
  </si>
  <si>
    <t xml:space="preserve">두께 : 부스바 </t>
    <phoneticPr fontId="3" type="noConversion"/>
  </si>
  <si>
    <t>&lt;코일 인덕턴스 계산 공식, C/T 및 출력케이블포함&gt;</t>
    <phoneticPr fontId="3" type="noConversion"/>
  </si>
  <si>
    <t>C/T권선비</t>
    <phoneticPr fontId="3" type="noConversion"/>
  </si>
  <si>
    <t>C/T1차 인덕턴스</t>
    <phoneticPr fontId="3" type="noConversion"/>
  </si>
  <si>
    <t>VDC (Fault 발생시 상승전압)</t>
    <phoneticPr fontId="3" type="noConversion"/>
  </si>
  <si>
    <t>VDC (동작: RUN 중)</t>
    <phoneticPr fontId="3" type="noConversion"/>
  </si>
  <si>
    <t>트랜스포머 권선비</t>
    <phoneticPr fontId="3" type="noConversion"/>
  </si>
  <si>
    <t>열저항(Junction-Case)-Diode</t>
    <phoneticPr fontId="3" type="noConversion"/>
  </si>
  <si>
    <t>&lt;평판 인덕턴스 계산 공식&gt;</t>
    <phoneticPr fontId="3" type="noConversion"/>
  </si>
  <si>
    <t>코일 혹은 C/T 1차측 L값 (측정값 혹은 설계 값)</t>
    <phoneticPr fontId="3" type="noConversion"/>
  </si>
  <si>
    <t>공진 콘덴서 총 C값 (Fs 및 Fr을 원하는 주파수에 맞게 C값을 조정)</t>
    <phoneticPr fontId="3" type="noConversion"/>
  </si>
  <si>
    <t>Vdc 전압</t>
    <phoneticPr fontId="3" type="noConversion"/>
  </si>
  <si>
    <t>상당 입력 선전류 (차단기 및 FUSE 선정 기준)</t>
    <phoneticPr fontId="3" type="noConversion"/>
  </si>
  <si>
    <t>Idc 전류 (정류다이오드 선정 기준)</t>
    <phoneticPr fontId="3" type="noConversion"/>
  </si>
  <si>
    <t>기입순서</t>
    <phoneticPr fontId="3" type="noConversion"/>
  </si>
  <si>
    <t>Switching Current(peak)</t>
    <phoneticPr fontId="3" type="noConversion"/>
  </si>
  <si>
    <t>IGBT 병렬 수량</t>
    <phoneticPr fontId="3" type="noConversion"/>
  </si>
  <si>
    <t>IGBT Loss (Total)</t>
    <phoneticPr fontId="3" type="noConversion"/>
  </si>
  <si>
    <t>Diode Loss (Total)</t>
    <phoneticPr fontId="3" type="noConversion"/>
  </si>
  <si>
    <t>IGBT 1EA 당 흐르는 IC RMS 전류</t>
    <phoneticPr fontId="3" type="noConversion"/>
  </si>
  <si>
    <t>IGBT 병렬 연결 수량</t>
    <phoneticPr fontId="3" type="noConversion"/>
  </si>
  <si>
    <t>정현파 기준 PEAK치로 계산 (IC RMS *1.414)</t>
    <phoneticPr fontId="3" type="noConversion"/>
  </si>
  <si>
    <t>Loss %</t>
    <phoneticPr fontId="3" type="noConversion"/>
  </si>
  <si>
    <t>약 30% 이하가 되어야 함</t>
    <phoneticPr fontId="3" type="noConversion"/>
  </si>
  <si>
    <t>SINGLE 모듈: 1, DUAL 모듈: 2(62mm package)</t>
    <phoneticPr fontId="3" type="noConversion"/>
  </si>
  <si>
    <t>Total Loss/Module</t>
    <phoneticPr fontId="3" type="noConversion"/>
  </si>
  <si>
    <t>Vc Voltage</t>
    <phoneticPr fontId="3" type="noConversion"/>
  </si>
  <si>
    <t>Vl Voltage</t>
    <phoneticPr fontId="3" type="noConversion"/>
  </si>
  <si>
    <t xml:space="preserve">Vac max </t>
    <phoneticPr fontId="3" type="noConversion"/>
  </si>
  <si>
    <t>M/T 2차 구형파 전압으로 얻을 수 있는 AC 전압의 최대값</t>
    <phoneticPr fontId="3" type="noConversion"/>
  </si>
  <si>
    <t>Zl at Fr</t>
    <phoneticPr fontId="3" type="noConversion"/>
  </si>
  <si>
    <t xml:space="preserve">직렬공진회로 설계 시트_PAM,PWM </t>
    <phoneticPr fontId="3" type="noConversion"/>
  </si>
  <si>
    <t>IGBT 발열량 계산(기초)</t>
    <phoneticPr fontId="3" type="noConversion"/>
  </si>
  <si>
    <t>&lt;평판 커패시턴스 계산 공식&gt;</t>
    <phoneticPr fontId="3" type="noConversion"/>
  </si>
  <si>
    <t>판 면적</t>
    <phoneticPr fontId="3" type="noConversion"/>
  </si>
  <si>
    <t>비유전율</t>
    <phoneticPr fontId="3" type="noConversion"/>
  </si>
  <si>
    <t>판폭</t>
    <phoneticPr fontId="3" type="noConversion"/>
  </si>
  <si>
    <t>nF</t>
    <phoneticPr fontId="3" type="noConversion"/>
  </si>
  <si>
    <t>테프론(2.1)</t>
    <phoneticPr fontId="3" type="noConversion"/>
  </si>
  <si>
    <t>내부도체외경</t>
    <phoneticPr fontId="3" type="noConversion"/>
  </si>
  <si>
    <t>절연체두께</t>
    <phoneticPr fontId="3" type="noConversion"/>
  </si>
  <si>
    <t>외부도체내경</t>
    <phoneticPr fontId="3" type="noConversion"/>
  </si>
  <si>
    <t>공기유전율 (ε0)</t>
    <phoneticPr fontId="7" type="noConversion"/>
  </si>
  <si>
    <t>비유전율 (εr)</t>
    <phoneticPr fontId="3" type="noConversion"/>
  </si>
  <si>
    <t>C(단위길이당 1m 당)</t>
    <phoneticPr fontId="3" type="noConversion"/>
  </si>
  <si>
    <t>케이블 길이</t>
    <phoneticPr fontId="3" type="noConversion"/>
  </si>
  <si>
    <t xml:space="preserve">C값 </t>
    <phoneticPr fontId="3" type="noConversion"/>
  </si>
  <si>
    <t>m</t>
    <phoneticPr fontId="3" type="noConversion"/>
  </si>
  <si>
    <t>&lt;동축케이블 커패시턴스 계산 공식&gt;</t>
    <phoneticPr fontId="3" type="noConversion"/>
  </si>
  <si>
    <t>정격전력</t>
    <phoneticPr fontId="8" type="noConversion"/>
  </si>
  <si>
    <t>입력전압</t>
    <phoneticPr fontId="8" type="noConversion"/>
  </si>
  <si>
    <t>입력선전류</t>
    <phoneticPr fontId="8" type="noConversion"/>
  </si>
  <si>
    <t>DC전압</t>
    <phoneticPr fontId="8" type="noConversion"/>
  </si>
  <si>
    <t>DC전류</t>
    <phoneticPr fontId="8" type="noConversion"/>
  </si>
  <si>
    <t>필요SQ</t>
    <phoneticPr fontId="8" type="noConversion"/>
  </si>
  <si>
    <t>SQ당 전류</t>
    <phoneticPr fontId="8" type="noConversion"/>
  </si>
  <si>
    <t>인입선SQ</t>
    <phoneticPr fontId="8" type="noConversion"/>
  </si>
  <si>
    <t>가닥수</t>
    <phoneticPr fontId="8" type="noConversion"/>
  </si>
  <si>
    <t>접지선필요SQ</t>
    <phoneticPr fontId="8" type="noConversion"/>
  </si>
  <si>
    <t>접지선SQ</t>
    <phoneticPr fontId="8" type="noConversion"/>
  </si>
  <si>
    <t>차단기 용량</t>
    <phoneticPr fontId="8" type="noConversion"/>
  </si>
  <si>
    <t xml:space="preserve">Main차단기 </t>
    <phoneticPr fontId="8" type="noConversion"/>
  </si>
  <si>
    <t>3상입력선SQ</t>
    <phoneticPr fontId="8" type="noConversion"/>
  </si>
  <si>
    <t>퓨즈용량</t>
    <phoneticPr fontId="8" type="noConversion"/>
  </si>
  <si>
    <t>퓨즈</t>
    <phoneticPr fontId="8" type="noConversion"/>
  </si>
  <si>
    <t>정류소자</t>
    <phoneticPr fontId="8" type="noConversion"/>
  </si>
  <si>
    <t>DC REACTOR</t>
    <phoneticPr fontId="8" type="noConversion"/>
  </si>
  <si>
    <t>션트저항</t>
    <phoneticPr fontId="8" type="noConversion"/>
  </si>
  <si>
    <t>초기충전</t>
    <phoneticPr fontId="8" type="noConversion"/>
  </si>
  <si>
    <t>DC과전압보호</t>
    <phoneticPr fontId="8" type="noConversion"/>
  </si>
  <si>
    <t>다이오드</t>
    <phoneticPr fontId="8" type="noConversion"/>
  </si>
  <si>
    <t>SCR</t>
    <phoneticPr fontId="8" type="noConversion"/>
  </si>
  <si>
    <t>GMC-75</t>
    <phoneticPr fontId="8" type="noConversion"/>
  </si>
  <si>
    <t>25 (연선)</t>
    <phoneticPr fontId="8" type="noConversion"/>
  </si>
  <si>
    <t>100A</t>
    <phoneticPr fontId="8" type="noConversion"/>
  </si>
  <si>
    <t>DDB6U215N16L</t>
    <phoneticPr fontId="8" type="noConversion"/>
  </si>
  <si>
    <t>50XF</t>
  </si>
  <si>
    <t>100A</t>
    <phoneticPr fontId="8" type="noConversion"/>
  </si>
  <si>
    <t>INRUSH_V6</t>
    <phoneticPr fontId="8" type="noConversion"/>
  </si>
  <si>
    <t>-</t>
    <phoneticPr fontId="8" type="noConversion"/>
  </si>
  <si>
    <t>GMC-50</t>
    <phoneticPr fontId="8" type="noConversion"/>
  </si>
  <si>
    <t>16 (연선)</t>
    <phoneticPr fontId="8" type="noConversion"/>
  </si>
  <si>
    <t>50A</t>
    <phoneticPr fontId="8" type="noConversion"/>
  </si>
  <si>
    <t>INRUSH_V6</t>
    <phoneticPr fontId="8" type="noConversion"/>
  </si>
  <si>
    <t>GMC-125</t>
    <phoneticPr fontId="8" type="noConversion"/>
  </si>
  <si>
    <t>35 (연선)</t>
    <phoneticPr fontId="8" type="noConversion"/>
  </si>
  <si>
    <t>120A</t>
    <phoneticPr fontId="8" type="noConversion"/>
  </si>
  <si>
    <t>150A</t>
    <phoneticPr fontId="8" type="noConversion"/>
  </si>
  <si>
    <t>ABS203c 200A</t>
    <phoneticPr fontId="8" type="noConversion"/>
  </si>
  <si>
    <t>50 (연선)</t>
    <phoneticPr fontId="8" type="noConversion"/>
  </si>
  <si>
    <t>200A</t>
    <phoneticPr fontId="8" type="noConversion"/>
  </si>
  <si>
    <t>DD171N16K/MDD17216N1</t>
    <phoneticPr fontId="8" type="noConversion"/>
  </si>
  <si>
    <t>100XF</t>
    <phoneticPr fontId="8" type="noConversion"/>
  </si>
  <si>
    <t>300A</t>
    <phoneticPr fontId="8" type="noConversion"/>
  </si>
  <si>
    <t>INRUSH_MC_DC SUNBBER</t>
    <phoneticPr fontId="8" type="noConversion"/>
  </si>
  <si>
    <t>ABS103c 125A</t>
    <phoneticPr fontId="8" type="noConversion"/>
  </si>
  <si>
    <t>ABS403c 300A</t>
    <phoneticPr fontId="8" type="noConversion"/>
  </si>
  <si>
    <t>95 (연선)*2</t>
    <phoneticPr fontId="8" type="noConversion"/>
  </si>
  <si>
    <t>300A</t>
    <phoneticPr fontId="8" type="noConversion"/>
  </si>
  <si>
    <t>100XF</t>
    <phoneticPr fontId="8" type="noConversion"/>
  </si>
  <si>
    <t>95 (연선)</t>
    <phoneticPr fontId="8" type="noConversion"/>
  </si>
  <si>
    <t>250A</t>
    <phoneticPr fontId="8" type="noConversion"/>
  </si>
  <si>
    <t>200XF</t>
    <phoneticPr fontId="8" type="noConversion"/>
  </si>
  <si>
    <t>ABS203c 225A</t>
    <phoneticPr fontId="8" type="noConversion"/>
  </si>
  <si>
    <t>400A</t>
    <phoneticPr fontId="8" type="noConversion"/>
  </si>
  <si>
    <t>ABS403c 400A</t>
    <phoneticPr fontId="8" type="noConversion"/>
  </si>
  <si>
    <t>500A</t>
    <phoneticPr fontId="8" type="noConversion"/>
  </si>
  <si>
    <t>DD350N16K1/MDD31216N1</t>
    <phoneticPr fontId="8" type="noConversion"/>
  </si>
  <si>
    <t>ABS603c 500A</t>
    <phoneticPr fontId="8" type="noConversion"/>
  </si>
  <si>
    <t>40*8T (부스바)</t>
    <phoneticPr fontId="8" type="noConversion"/>
  </si>
  <si>
    <t>600A</t>
    <phoneticPr fontId="8" type="noConversion"/>
  </si>
  <si>
    <t>400XF</t>
    <phoneticPr fontId="8" type="noConversion"/>
  </si>
  <si>
    <t>40*6T (부스바)</t>
    <phoneticPr fontId="8" type="noConversion"/>
  </si>
  <si>
    <t>ABS603c 630A</t>
    <phoneticPr fontId="8" type="noConversion"/>
  </si>
  <si>
    <t>800A</t>
    <phoneticPr fontId="8" type="noConversion"/>
  </si>
  <si>
    <t>ABS803c 800A</t>
    <phoneticPr fontId="8" type="noConversion"/>
  </si>
  <si>
    <t>50*10T (부스바)</t>
    <phoneticPr fontId="8" type="noConversion"/>
  </si>
  <si>
    <t>DD600N16K</t>
    <phoneticPr fontId="8" type="noConversion"/>
  </si>
  <si>
    <t>1000A</t>
    <phoneticPr fontId="8" type="noConversion"/>
  </si>
  <si>
    <t>50*11T (부스바)</t>
  </si>
  <si>
    <t>900A</t>
    <phoneticPr fontId="8" type="noConversion"/>
  </si>
  <si>
    <t>ABS1003c 1000A</t>
    <phoneticPr fontId="8" type="noConversion"/>
  </si>
  <si>
    <t>50*12T (부스바)</t>
    <phoneticPr fontId="8" type="noConversion"/>
  </si>
  <si>
    <t>500XF_규소강판_명신산업적용</t>
    <phoneticPr fontId="8" type="noConversion"/>
  </si>
  <si>
    <t>1500A</t>
    <phoneticPr fontId="8" type="noConversion"/>
  </si>
  <si>
    <t>ABS1003c 1200A</t>
    <phoneticPr fontId="8" type="noConversion"/>
  </si>
  <si>
    <t>1200A</t>
    <phoneticPr fontId="8" type="noConversion"/>
  </si>
  <si>
    <t>600XF_규소강판_명신산업적용</t>
    <phoneticPr fontId="8" type="noConversion"/>
  </si>
  <si>
    <t>저항 사용</t>
    <phoneticPr fontId="8" type="noConversion"/>
  </si>
  <si>
    <t>CROWBAR 회로_MCO500</t>
    <phoneticPr fontId="8" type="noConversion"/>
  </si>
  <si>
    <t>ACB_1250A</t>
    <phoneticPr fontId="8" type="noConversion"/>
  </si>
  <si>
    <t>DH-804_480 (편조선)</t>
    <phoneticPr fontId="8" type="noConversion"/>
  </si>
  <si>
    <t>-</t>
    <phoneticPr fontId="8" type="noConversion"/>
  </si>
  <si>
    <t>DD600N16K</t>
    <phoneticPr fontId="8" type="noConversion"/>
  </si>
  <si>
    <t>규소강판_신규설계</t>
    <phoneticPr fontId="8" type="noConversion"/>
  </si>
  <si>
    <t>1500A</t>
    <phoneticPr fontId="8" type="noConversion"/>
  </si>
  <si>
    <t>저항 사용</t>
    <phoneticPr fontId="8" type="noConversion"/>
  </si>
  <si>
    <t>CROWBAR 회로_MCO500</t>
    <phoneticPr fontId="8" type="noConversion"/>
  </si>
  <si>
    <t>2000A</t>
    <phoneticPr fontId="8" type="noConversion"/>
  </si>
  <si>
    <t>ACB_1600A</t>
    <phoneticPr fontId="8" type="noConversion"/>
  </si>
  <si>
    <t>DH-805_640 (편조선)</t>
    <phoneticPr fontId="8" type="noConversion"/>
  </si>
  <si>
    <t>ACB_2000A</t>
    <phoneticPr fontId="8" type="noConversion"/>
  </si>
  <si>
    <t>DH-1006_800 (편조선)</t>
    <phoneticPr fontId="8" type="noConversion"/>
  </si>
  <si>
    <t>MDD810-16N2</t>
  </si>
  <si>
    <t>N1806QK160</t>
    <phoneticPr fontId="8" type="noConversion"/>
  </si>
  <si>
    <t>2500A</t>
    <phoneticPr fontId="8" type="noConversion"/>
  </si>
  <si>
    <t>ACB_2500A</t>
    <phoneticPr fontId="8" type="noConversion"/>
  </si>
  <si>
    <t>DH-1007_1000 (편조선)</t>
    <phoneticPr fontId="8" type="noConversion"/>
  </si>
  <si>
    <t>CROWBAR 회로_N1806QK160</t>
    <phoneticPr fontId="8" type="noConversion"/>
  </si>
  <si>
    <t>ACB_2500A</t>
    <phoneticPr fontId="8" type="noConversion"/>
  </si>
  <si>
    <t>DH-1007_1000 (편조선)</t>
    <phoneticPr fontId="8" type="noConversion"/>
  </si>
  <si>
    <t>-</t>
    <phoneticPr fontId="8" type="noConversion"/>
  </si>
  <si>
    <t>N1806QK160</t>
    <phoneticPr fontId="8" type="noConversion"/>
  </si>
  <si>
    <t>규소강판_신규설계</t>
    <phoneticPr fontId="8" type="noConversion"/>
  </si>
  <si>
    <t>2500A</t>
    <phoneticPr fontId="8" type="noConversion"/>
  </si>
  <si>
    <t>저항 사용</t>
    <phoneticPr fontId="8" type="noConversion"/>
  </si>
  <si>
    <t>W3270N#160</t>
    <phoneticPr fontId="8" type="noConversion"/>
  </si>
  <si>
    <t>3000A</t>
    <phoneticPr fontId="8" type="noConversion"/>
  </si>
  <si>
    <t>CROWBAR 회로_N1806QK160</t>
    <phoneticPr fontId="8" type="noConversion"/>
  </si>
  <si>
    <t>ACB_3200A</t>
    <phoneticPr fontId="8" type="noConversion"/>
  </si>
  <si>
    <t>DH-1006_800*2 (편조선)</t>
    <phoneticPr fontId="8" type="noConversion"/>
  </si>
  <si>
    <t>W3270N#160</t>
  </si>
  <si>
    <t>N2593MK160</t>
    <phoneticPr fontId="8" type="noConversion"/>
  </si>
  <si>
    <t>4000A</t>
    <phoneticPr fontId="8" type="noConversion"/>
  </si>
  <si>
    <t>CROWBAR 회로_N2593MK160</t>
    <phoneticPr fontId="8" type="noConversion"/>
  </si>
  <si>
    <t>W3270N#160</t>
    <phoneticPr fontId="8" type="noConversion"/>
  </si>
  <si>
    <t>ACB_4000A</t>
    <phoneticPr fontId="8" type="noConversion"/>
  </si>
  <si>
    <t>5000A</t>
    <phoneticPr fontId="8" type="noConversion"/>
  </si>
  <si>
    <t>6000A</t>
    <phoneticPr fontId="8" type="noConversion"/>
  </si>
  <si>
    <t>CROWBAR 회로_N2593MK160</t>
    <phoneticPr fontId="8" type="noConversion"/>
  </si>
  <si>
    <t>ACB_3200A</t>
    <phoneticPr fontId="8" type="noConversion"/>
  </si>
  <si>
    <t>DH-1006_800*2 (편조선)</t>
    <phoneticPr fontId="8" type="noConversion"/>
  </si>
  <si>
    <t>-</t>
    <phoneticPr fontId="8" type="noConversion"/>
  </si>
  <si>
    <t>N2593MK160</t>
    <phoneticPr fontId="8" type="noConversion"/>
  </si>
  <si>
    <t>규소강판_신규설계</t>
    <phoneticPr fontId="8" type="noConversion"/>
  </si>
  <si>
    <t>4000A</t>
    <phoneticPr fontId="8" type="noConversion"/>
  </si>
  <si>
    <t>요청 일시</t>
  </si>
  <si>
    <t>납품 일시</t>
  </si>
  <si>
    <t>주파수[kHz]</t>
    <phoneticPr fontId="3" type="noConversion"/>
  </si>
  <si>
    <t>규소강판[Tesla]</t>
    <phoneticPr fontId="3" type="noConversion"/>
  </si>
  <si>
    <t>아몰퍼스[Tesla]</t>
    <phoneticPr fontId="3" type="noConversion"/>
  </si>
  <si>
    <t>페라이트[Tesla]</t>
    <phoneticPr fontId="3" type="noConversion"/>
  </si>
  <si>
    <t>dT 75~80℃기준</t>
    <phoneticPr fontId="3" type="noConversion"/>
  </si>
  <si>
    <t>dT 60℃기준</t>
    <phoneticPr fontId="3" type="noConversion"/>
  </si>
  <si>
    <t>dT 80℃기준</t>
    <phoneticPr fontId="3" type="noConversion"/>
  </si>
  <si>
    <t>HALF(2)/FULL(1)</t>
    <phoneticPr fontId="3" type="noConversion"/>
  </si>
  <si>
    <t>&lt;코아/주파수별 자속밀도 실험 데이터&gt;</t>
    <phoneticPr fontId="3" type="noConversion"/>
  </si>
  <si>
    <t>규소강판(0.2t, Si 3%)</t>
    <phoneticPr fontId="3" type="noConversion"/>
  </si>
  <si>
    <t>아몰퍼스(50x175xSF)</t>
    <phoneticPr fontId="3" type="noConversion"/>
  </si>
  <si>
    <t>코아 종류</t>
    <phoneticPr fontId="3" type="noConversion"/>
  </si>
  <si>
    <t>cm^2</t>
    <phoneticPr fontId="3" type="noConversion"/>
  </si>
  <si>
    <t>UU100</t>
    <phoneticPr fontId="3" type="noConversion"/>
  </si>
  <si>
    <t>UU120</t>
    <phoneticPr fontId="3" type="noConversion"/>
  </si>
  <si>
    <t>UU120C</t>
    <phoneticPr fontId="3" type="noConversion"/>
  </si>
  <si>
    <t>I118+I140 조합</t>
    <phoneticPr fontId="3" type="noConversion"/>
  </si>
  <si>
    <t>중족단면적(Ae)</t>
    <phoneticPr fontId="3" type="noConversion"/>
  </si>
  <si>
    <t>3상 : 0.93, 6상: 0.96 (설계시에는 마진 고려 0.9로 함)</t>
    <phoneticPr fontId="3" type="noConversion"/>
  </si>
  <si>
    <t>&lt;코아 중족 단면적 ( 1조 기준, 주사용품)&gt;</t>
    <phoneticPr fontId="3" type="noConversion"/>
  </si>
  <si>
    <t>uH</t>
  </si>
  <si>
    <t xml:space="preserve">단위길이당 L값 (2EA) </t>
    <phoneticPr fontId="3" type="noConversion"/>
  </si>
  <si>
    <t>수냉케이블 길이 (2EA)</t>
    <phoneticPr fontId="3" type="noConversion"/>
  </si>
  <si>
    <t>수냉케이블 L값 (2EA)</t>
    <phoneticPr fontId="3" type="noConversion"/>
  </si>
  <si>
    <t xml:space="preserve">단위길이당 L값 (4EA) </t>
    <phoneticPr fontId="3" type="noConversion"/>
  </si>
  <si>
    <t>수냉케이블 길이 (4EA)</t>
    <phoneticPr fontId="3" type="noConversion"/>
  </si>
  <si>
    <t>수냉케이블 L값 (4EA)</t>
    <phoneticPr fontId="3" type="noConversion"/>
  </si>
  <si>
    <t>&lt;수냉케이블 L값 계산 공식: 10kHz 기준, 트위스트 하지 않음&gt;</t>
    <phoneticPr fontId="3" type="noConversion"/>
  </si>
  <si>
    <t>&lt;동 부스바(DC) 발열량 계산 공식&gt;</t>
    <phoneticPr fontId="3" type="noConversion"/>
  </si>
  <si>
    <t>&lt;동 부스바(AC) 발열량 계산 공식&gt;</t>
    <phoneticPr fontId="3" type="noConversion"/>
  </si>
  <si>
    <t>&lt;동 파이프(AC) 발열량 계산 공식&gt;</t>
    <phoneticPr fontId="3" type="noConversion"/>
  </si>
  <si>
    <t>&lt;사각 파이프(AC) 발열량 계산 공식&gt;</t>
    <phoneticPr fontId="3" type="noConversion"/>
  </si>
  <si>
    <t>mmSQ당 전류</t>
    <phoneticPr fontId="3" type="noConversion"/>
  </si>
  <si>
    <t>CROWBAR 회로_N1806QK160,N1114</t>
    <phoneticPr fontId="8" type="noConversion"/>
  </si>
  <si>
    <t>&lt;FUSE 용량 계산 공식&gt;</t>
    <phoneticPr fontId="3" type="noConversion"/>
  </si>
  <si>
    <t>입력선전압</t>
    <phoneticPr fontId="3" type="noConversion"/>
  </si>
  <si>
    <t>V 이상</t>
    <phoneticPr fontId="3" type="noConversion"/>
  </si>
  <si>
    <t>A 이상</t>
    <phoneticPr fontId="3" type="noConversion"/>
  </si>
  <si>
    <t>FUSE 정격전압</t>
    <phoneticPr fontId="3" type="noConversion"/>
  </si>
  <si>
    <t>FUSE 정격전류</t>
    <phoneticPr fontId="3" type="noConversion"/>
  </si>
  <si>
    <t>Vin(입력선전압)</t>
    <phoneticPr fontId="3" type="noConversion"/>
  </si>
  <si>
    <t>&lt;컷오프주파수 계산 공식&gt;</t>
    <phoneticPr fontId="3" type="noConversion"/>
  </si>
  <si>
    <t>&lt;직렬공진주파수 계산 공식&gt;</t>
    <phoneticPr fontId="3" type="noConversion"/>
  </si>
  <si>
    <t>kVar</t>
    <phoneticPr fontId="3" type="noConversion"/>
  </si>
  <si>
    <t>ok</t>
    <phoneticPr fontId="3" type="noConversion"/>
  </si>
  <si>
    <t>&lt;트랜스포머 최소 턴수 계산 공식: 메인 C/T&gt;</t>
    <phoneticPr fontId="3" type="noConversion"/>
  </si>
  <si>
    <t>사용안함</t>
  </si>
  <si>
    <t>고객사</t>
  </si>
  <si>
    <t>비고</t>
  </si>
  <si>
    <t>공정</t>
  </si>
  <si>
    <t>전력</t>
  </si>
  <si>
    <t>예상 동작 주파수</t>
  </si>
  <si>
    <t>MCCB</t>
  </si>
  <si>
    <t>FUSE</t>
  </si>
  <si>
    <t xml:space="preserve">DIODE </t>
  </si>
  <si>
    <t xml:space="preserve">인러쉬 충전 및 </t>
  </si>
  <si>
    <t>과전압보호</t>
  </si>
  <si>
    <t>미적용</t>
  </si>
  <si>
    <t>DC 인덕터</t>
  </si>
  <si>
    <t>전류센싱 션트저항</t>
  </si>
  <si>
    <t xml:space="preserve">출력케이블 </t>
  </si>
  <si>
    <t>제어방식</t>
  </si>
  <si>
    <t>전류센싱 C/T</t>
  </si>
  <si>
    <t>DC BLOCKING CAP</t>
  </si>
  <si>
    <t>M/T(Matching Transformer)</t>
  </si>
  <si>
    <t>공진 CAP</t>
  </si>
  <si>
    <t>공진 CAP 구조</t>
  </si>
  <si>
    <t>MAIN C/T</t>
  </si>
  <si>
    <t xml:space="preserve">코일 </t>
  </si>
  <si>
    <t>코일 연결 구조</t>
  </si>
  <si>
    <t>예상 Q값</t>
  </si>
  <si>
    <t>입력 선전류( 마진포함)</t>
  </si>
  <si>
    <t>입력 DC전류</t>
  </si>
  <si>
    <t>인버터 출력전류(M/T 1차)</t>
  </si>
  <si>
    <t>공진전류(공진CAP,출력케이블)</t>
  </si>
  <si>
    <t>코일전류</t>
  </si>
  <si>
    <t>IH PROGRAM SETTING VALUE_Analogue</t>
  </si>
  <si>
    <t xml:space="preserve">PROJECT </t>
  </si>
  <si>
    <t>작성일시</t>
  </si>
  <si>
    <t>시운전일시</t>
  </si>
  <si>
    <t>POWER</t>
  </si>
  <si>
    <t>MAXIMUM</t>
  </si>
  <si>
    <t>kW</t>
  </si>
  <si>
    <t>MINIMUM</t>
  </si>
  <si>
    <t>INPUT VOLTAGE</t>
  </si>
  <si>
    <t>VAC</t>
  </si>
  <si>
    <t>인러쉬 레벨</t>
  </si>
  <si>
    <t>VDC</t>
  </si>
  <si>
    <t>UVP</t>
  </si>
  <si>
    <t>V</t>
  </si>
  <si>
    <t>전류 센싱</t>
  </si>
  <si>
    <t>SHUNT</t>
  </si>
  <si>
    <t>A/50mV</t>
  </si>
  <si>
    <t>Io OCP</t>
  </si>
  <si>
    <t>A</t>
  </si>
  <si>
    <t>공진 전류 센싱
(한 모듈 기준)</t>
  </si>
  <si>
    <t>RESISTOR</t>
  </si>
  <si>
    <t>Ω</t>
  </si>
  <si>
    <t>PARALLEL</t>
  </si>
  <si>
    <t>개수</t>
  </si>
  <si>
    <t>CT</t>
  </si>
  <si>
    <t>:1</t>
  </si>
  <si>
    <t>실제 CURRENT(최대)</t>
  </si>
  <si>
    <t>IR RMS</t>
  </si>
  <si>
    <t>IR AVG(LCD)</t>
  </si>
  <si>
    <t>IR OCP</t>
  </si>
  <si>
    <t>동작 주파수</t>
  </si>
  <si>
    <t>Hz</t>
  </si>
  <si>
    <t>START FREQUENCY</t>
  </si>
  <si>
    <t>스위칭 소자</t>
  </si>
  <si>
    <t>스위칭 소자 용량</t>
  </si>
  <si>
    <t>모듈 형태</t>
  </si>
  <si>
    <t>MODULE NUMBER</t>
  </si>
  <si>
    <t>CONTROL MODE</t>
  </si>
  <si>
    <t>PAM</t>
  </si>
  <si>
    <t>공진회로</t>
  </si>
  <si>
    <t>직렬 공진회로</t>
  </si>
  <si>
    <t>특이 사항</t>
  </si>
  <si>
    <t>COIL L(c/t포함)</t>
    <phoneticPr fontId="3" type="noConversion"/>
  </si>
  <si>
    <t>누설L</t>
    <phoneticPr fontId="3" type="noConversion"/>
  </si>
  <si>
    <t>ct미적용
모듈출력누설 0.3</t>
    <phoneticPr fontId="3" type="noConversion"/>
  </si>
  <si>
    <t>시뮬레이션 결과
12mm/7mm</t>
    <phoneticPr fontId="3" type="noConversion"/>
  </si>
  <si>
    <t>탑엔지니어링</t>
    <phoneticPr fontId="3" type="noConversion"/>
  </si>
  <si>
    <t>메탈씰 가열</t>
    <phoneticPr fontId="3" type="noConversion"/>
  </si>
  <si>
    <t>15kW</t>
    <phoneticPr fontId="3" type="noConversion"/>
  </si>
  <si>
    <t>MC-85a</t>
    <phoneticPr fontId="3" type="noConversion"/>
  </si>
  <si>
    <t>JRS61-100</t>
    <phoneticPr fontId="3" type="noConversion"/>
  </si>
  <si>
    <t>DDB6U205N16L</t>
    <phoneticPr fontId="3" type="noConversion"/>
  </si>
  <si>
    <t>INRUSH MC V6.1</t>
    <phoneticPr fontId="3" type="noConversion"/>
  </si>
  <si>
    <t>PSIH-50XF-L1F-V1</t>
    <phoneticPr fontId="3" type="noConversion"/>
  </si>
  <si>
    <t>[SK-S-02] 100A, 50mV, ±1%</t>
    <phoneticPr fontId="3" type="noConversion"/>
  </si>
  <si>
    <t>Buck Convertor(Chopper)_IGBT</t>
  </si>
  <si>
    <t>FF300R12KE4</t>
  </si>
  <si>
    <t>초퍼 입력 DC LINK CAPACITOR</t>
  </si>
  <si>
    <t>인버터 모듈(MOS-FET)</t>
  </si>
  <si>
    <t>IXFN132N50P3 8EA 적용</t>
  </si>
  <si>
    <t>인버터 모듈에 장착되어 있음</t>
  </si>
  <si>
    <t>,100:1</t>
  </si>
  <si>
    <t>초퍼 입력 인덕터</t>
    <phoneticPr fontId="3" type="noConversion"/>
  </si>
  <si>
    <t>PAM (Chopper + Full Bridge)</t>
  </si>
  <si>
    <t>메인 컨트롤 보드</t>
  </si>
  <si>
    <t xml:space="preserve">IH_CONTROL_V66_10 </t>
  </si>
  <si>
    <t>0.66uF, 700V, 500A</t>
    <phoneticPr fontId="3" type="noConversion"/>
  </si>
  <si>
    <t>2직렬 3병렬, 
 :총 0.99uF, 1400V, 1500A</t>
    <phoneticPr fontId="3" type="noConversion"/>
  </si>
  <si>
    <t>85~100</t>
    <phoneticPr fontId="3" type="noConversion"/>
  </si>
  <si>
    <t>48A</t>
    <phoneticPr fontId="3" type="noConversion"/>
  </si>
  <si>
    <t>52A</t>
    <phoneticPr fontId="3" type="noConversion"/>
  </si>
  <si>
    <t>최대 65A</t>
    <phoneticPr fontId="3" type="noConversion"/>
  </si>
  <si>
    <t>PSIH-050HF-LO-01</t>
    <phoneticPr fontId="3" type="noConversion"/>
  </si>
  <si>
    <t>2021.03.29</t>
    <phoneticPr fontId="3" type="noConversion"/>
  </si>
  <si>
    <t>2021.03.15</t>
    <phoneticPr fontId="3" type="noConversion"/>
  </si>
  <si>
    <t>230kHz</t>
    <phoneticPr fontId="3" type="noConversion"/>
  </si>
  <si>
    <t>50uF 6병렬</t>
    <phoneticPr fontId="3" type="noConversion"/>
  </si>
  <si>
    <t>2*3 구조 연결 신규품</t>
    <phoneticPr fontId="3" type="noConversion"/>
  </si>
  <si>
    <t>25KW 모듈 적용 (용접기 사용 모듈)</t>
    <phoneticPr fontId="3" type="noConversion"/>
  </si>
  <si>
    <t>20:1 
1차 리쯔와이어 13mmSQ 이상</t>
    <phoneticPr fontId="3" type="noConversion"/>
  </si>
  <si>
    <t>설계 미확정으로 개발팀과협의후 완료후 재공유예정</t>
    <phoneticPr fontId="3" type="noConversion"/>
  </si>
  <si>
    <t>2021.02.22</t>
    <phoneticPr fontId="3" type="noConversion"/>
  </si>
  <si>
    <t>탑엔지니어링_15kw-260kHz</t>
    <phoneticPr fontId="3" type="noConversion"/>
  </si>
  <si>
    <t>최대 1300A</t>
    <phoneticPr fontId="3" type="noConversion"/>
  </si>
  <si>
    <t>최대 1300A</t>
    <phoneticPr fontId="3" type="noConversion"/>
  </si>
  <si>
    <t>PSA02Y18-0021 (풍산 안강)설비 참고.
: 아날로그보드 적용(IH_CONTROL_V66_10 )</t>
    <phoneticPr fontId="3" type="noConversion"/>
  </si>
  <si>
    <t>2직 4병렬 가능 구조</t>
    <phoneticPr fontId="3" type="noConversion"/>
  </si>
  <si>
    <t xml:space="preserve"> </t>
    <phoneticPr fontId="3" type="noConversion"/>
  </si>
  <si>
    <t>21.03.27
사내 시운전</t>
    <phoneticPr fontId="3" type="noConversion"/>
  </si>
  <si>
    <r>
      <t>리쯔와이어 10SQ+10</t>
    </r>
    <r>
      <rPr>
        <sz val="10"/>
        <color theme="1"/>
        <rFont val="맑은 고딕"/>
        <family val="3"/>
        <charset val="129"/>
      </rPr>
      <t xml:space="preserve">Φ원터치 호스를 수축튜브로 연결한 형태 (간접냉각 형태)
</t>
    </r>
    <r>
      <rPr>
        <b/>
        <sz val="10"/>
        <color rgb="FFFF0000"/>
        <rFont val="맑은 고딕"/>
        <family val="3"/>
        <charset val="129"/>
      </rPr>
      <t>4가닥 약 5.5m</t>
    </r>
    <phoneticPr fontId="3" type="noConversion"/>
  </si>
  <si>
    <r>
      <t xml:space="preserve">트레이에 설치 되는지 고객사 확인후 확정예정
</t>
    </r>
    <r>
      <rPr>
        <b/>
        <sz val="10"/>
        <color rgb="FFFF0000"/>
        <rFont val="맑은 고딕"/>
        <family val="3"/>
        <charset val="129"/>
        <scheme val="minor"/>
      </rPr>
      <t>사내시운전시 8가닥-&gt;4가닥 변경 (기생공진때문에)</t>
    </r>
    <phoneticPr fontId="3" type="noConversion"/>
  </si>
  <si>
    <t>21.03.30
현장 시운전</t>
    <phoneticPr fontId="3" type="noConversion"/>
  </si>
  <si>
    <t>무부하</t>
    <phoneticPr fontId="3" type="noConversion"/>
  </si>
  <si>
    <t>유부하</t>
    <phoneticPr fontId="3" type="noConversion"/>
  </si>
  <si>
    <t>무부하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</si>
</sst>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1" formatCode="_-* #,##0_-;\-* #,##0_-;_-* &quot;-&quot;_-;_-@_-"/>
    <numFmt numFmtId="176" formatCode="0.0000_ "/>
    <numFmt numFmtId="177" formatCode="0.000_ "/>
    <numFmt numFmtId="178" formatCode="0.0_ "/>
    <numFmt numFmtId="179" formatCode="0_ "/>
    <numFmt numFmtId="180" formatCode="0_);[Red]\(0\)"/>
    <numFmt numFmtId="181" formatCode="0.0_);[Red]\(0.0\)"/>
    <numFmt numFmtId="182" formatCode="0.000_);[Red]\(0.000\)"/>
    <numFmt numFmtId="183" formatCode="General&quot;:1&quot;"/>
    <numFmt numFmtId="184" formatCode="General&quot;D&quot;"/>
    <numFmt numFmtId="185" formatCode="0.0&quot;[%]&quot;"/>
    <numFmt numFmtId="186" formatCode="0.0&quot;[A]&quot;"/>
    <numFmt numFmtId="187" formatCode="0.0"/>
    <numFmt numFmtId="188" formatCode="#,##0_);[Red]\(#,##0\)"/>
    <numFmt numFmtId="189" formatCode="_-* #,##0.0_-;\-* #,##0.0_-;_-* &quot;-&quot;_-;_-@_-"/>
    <numFmt numFmtId="190" formatCode="0.000"/>
    <numFmt numFmtId="191" formatCode="0.00000"/>
  </numFmts>
  <fonts count="27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sz val="11"/>
      <color rgb="FF006100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</font>
    <font>
      <b/>
      <sz val="10"/>
      <color rgb="FFFF0000"/>
      <name val="맑은 고딕"/>
      <family val="3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</fills>
  <borders count="71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double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1" fillId="0" borderId="0">
      <alignment vertical="center"/>
    </xf>
    <xf numFmtId="0" fontId="24" fillId="17" borderId="0" applyNumberFormat="0" applyBorder="0" applyAlignment="0" applyProtection="0">
      <alignment vertical="center"/>
    </xf>
  </cellStyleXfs>
  <cellXfs count="322">
    <xf numFmtId="0" fontId="0" fillId="0" borderId="0" xfId="0"/>
    <xf numFmtId="0" fontId="2" fillId="0" borderId="0" xfId="2">
      <alignment vertical="center"/>
    </xf>
    <xf numFmtId="0" fontId="0" fillId="0" borderId="0" xfId="2" applyFo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7" borderId="9" xfId="0" applyNumberFormat="1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83" fontId="0" fillId="7" borderId="10" xfId="0" applyNumberFormat="1" applyFill="1" applyBorder="1" applyAlignment="1">
      <alignment horizontal="center" vertical="center"/>
    </xf>
    <xf numFmtId="184" fontId="0" fillId="7" borderId="11" xfId="0" applyNumberFormat="1" applyFill="1" applyBorder="1" applyAlignment="1">
      <alignment horizontal="center" vertical="center"/>
    </xf>
    <xf numFmtId="177" fontId="0" fillId="2" borderId="10" xfId="0" applyNumberFormat="1" applyFill="1" applyBorder="1" applyAlignment="1">
      <alignment horizontal="center" vertical="center"/>
    </xf>
    <xf numFmtId="185" fontId="0" fillId="2" borderId="11" xfId="0" applyNumberFormat="1" applyFill="1" applyBorder="1" applyAlignment="1">
      <alignment horizontal="center" vertical="center"/>
    </xf>
    <xf numFmtId="0" fontId="0" fillId="7" borderId="12" xfId="0" applyNumberFormat="1" applyFill="1" applyBorder="1" applyAlignment="1">
      <alignment horizontal="center" vertical="center"/>
    </xf>
    <xf numFmtId="186" fontId="0" fillId="4" borderId="10" xfId="0" applyNumberFormat="1" applyFill="1" applyBorder="1" applyAlignment="1">
      <alignment horizontal="center" vertical="center"/>
    </xf>
    <xf numFmtId="185" fontId="0" fillId="4" borderId="13" xfId="0" applyNumberFormat="1" applyFill="1" applyBorder="1" applyAlignment="1">
      <alignment horizontal="center" vertical="center"/>
    </xf>
    <xf numFmtId="183" fontId="0" fillId="7" borderId="12" xfId="0" applyNumberFormat="1" applyFill="1" applyBorder="1" applyAlignment="1">
      <alignment horizontal="center" vertical="center"/>
    </xf>
    <xf numFmtId="186" fontId="0" fillId="5" borderId="10" xfId="0" applyNumberFormat="1" applyFill="1" applyBorder="1" applyAlignment="1">
      <alignment horizontal="center" vertical="center"/>
    </xf>
    <xf numFmtId="185" fontId="0" fillId="5" borderId="11" xfId="0" applyNumberForma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186" fontId="0" fillId="6" borderId="10" xfId="0" applyNumberFormat="1" applyFill="1" applyBorder="1" applyAlignment="1">
      <alignment horizontal="center" vertical="center"/>
    </xf>
    <xf numFmtId="185" fontId="0" fillId="6" borderId="14" xfId="0" applyNumberFormat="1" applyFill="1" applyBorder="1" applyAlignment="1">
      <alignment horizontal="center" vertical="center"/>
    </xf>
    <xf numFmtId="0" fontId="0" fillId="7" borderId="15" xfId="0" applyNumberFormat="1" applyFill="1" applyBorder="1" applyAlignment="1">
      <alignment horizontal="center" vertical="center"/>
    </xf>
    <xf numFmtId="0" fontId="0" fillId="7" borderId="16" xfId="0" applyNumberFormat="1" applyFill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183" fontId="0" fillId="7" borderId="16" xfId="0" applyNumberFormat="1" applyFill="1" applyBorder="1" applyAlignment="1">
      <alignment horizontal="center" vertical="center"/>
    </xf>
    <xf numFmtId="184" fontId="0" fillId="7" borderId="17" xfId="0" applyNumberFormat="1" applyFill="1" applyBorder="1" applyAlignment="1">
      <alignment horizontal="center" vertical="center"/>
    </xf>
    <xf numFmtId="177" fontId="0" fillId="2" borderId="16" xfId="0" applyNumberFormat="1" applyFill="1" applyBorder="1" applyAlignment="1">
      <alignment horizontal="center" vertical="center"/>
    </xf>
    <xf numFmtId="185" fontId="0" fillId="2" borderId="17" xfId="0" applyNumberFormat="1" applyFill="1" applyBorder="1" applyAlignment="1">
      <alignment horizontal="center" vertical="center"/>
    </xf>
    <xf numFmtId="0" fontId="0" fillId="7" borderId="18" xfId="0" applyNumberFormat="1" applyFill="1" applyBorder="1" applyAlignment="1">
      <alignment horizontal="center" vertical="center"/>
    </xf>
    <xf numFmtId="186" fontId="0" fillId="4" borderId="16" xfId="0" applyNumberFormat="1" applyFill="1" applyBorder="1" applyAlignment="1">
      <alignment horizontal="center" vertical="center"/>
    </xf>
    <xf numFmtId="185" fontId="0" fillId="4" borderId="19" xfId="0" applyNumberFormat="1" applyFill="1" applyBorder="1" applyAlignment="1">
      <alignment horizontal="center" vertical="center"/>
    </xf>
    <xf numFmtId="183" fontId="0" fillId="7" borderId="18" xfId="0" applyNumberFormat="1" applyFill="1" applyBorder="1" applyAlignment="1">
      <alignment horizontal="center" vertical="center"/>
    </xf>
    <xf numFmtId="186" fontId="0" fillId="5" borderId="16" xfId="0" applyNumberFormat="1" applyFill="1" applyBorder="1" applyAlignment="1">
      <alignment horizontal="center" vertical="center"/>
    </xf>
    <xf numFmtId="185" fontId="0" fillId="5" borderId="17" xfId="0" applyNumberForma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186" fontId="0" fillId="6" borderId="16" xfId="0" applyNumberFormat="1" applyFill="1" applyBorder="1" applyAlignment="1">
      <alignment horizontal="center" vertical="center"/>
    </xf>
    <xf numFmtId="185" fontId="0" fillId="6" borderId="20" xfId="0" applyNumberFormat="1" applyFill="1" applyBorder="1" applyAlignment="1">
      <alignment horizontal="center" vertical="center"/>
    </xf>
    <xf numFmtId="14" fontId="0" fillId="0" borderId="8" xfId="0" applyNumberFormat="1" applyBorder="1" applyAlignment="1">
      <alignment vertical="center"/>
    </xf>
    <xf numFmtId="14" fontId="0" fillId="0" borderId="21" xfId="0" applyNumberFormat="1" applyBorder="1" applyAlignment="1">
      <alignment vertical="center"/>
    </xf>
    <xf numFmtId="0" fontId="0" fillId="7" borderId="22" xfId="0" applyNumberFormat="1" applyFill="1" applyBorder="1" applyAlignment="1">
      <alignment horizontal="center" vertical="center"/>
    </xf>
    <xf numFmtId="0" fontId="0" fillId="7" borderId="23" xfId="0" applyNumberFormat="1" applyFill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183" fontId="0" fillId="7" borderId="23" xfId="0" applyNumberFormat="1" applyFill="1" applyBorder="1" applyAlignment="1">
      <alignment horizontal="center" vertical="center"/>
    </xf>
    <xf numFmtId="184" fontId="0" fillId="7" borderId="24" xfId="0" applyNumberFormat="1" applyFill="1" applyBorder="1" applyAlignment="1">
      <alignment horizontal="center" vertical="center"/>
    </xf>
    <xf numFmtId="177" fontId="0" fillId="2" borderId="23" xfId="0" applyNumberFormat="1" applyFill="1" applyBorder="1" applyAlignment="1">
      <alignment horizontal="center" vertical="center"/>
    </xf>
    <xf numFmtId="185" fontId="0" fillId="2" borderId="24" xfId="0" applyNumberFormat="1" applyFill="1" applyBorder="1" applyAlignment="1">
      <alignment horizontal="center" vertical="center"/>
    </xf>
    <xf numFmtId="0" fontId="0" fillId="7" borderId="25" xfId="0" applyNumberFormat="1" applyFill="1" applyBorder="1" applyAlignment="1">
      <alignment horizontal="center" vertical="center"/>
    </xf>
    <xf numFmtId="186" fontId="0" fillId="4" borderId="23" xfId="0" applyNumberFormat="1" applyFill="1" applyBorder="1" applyAlignment="1">
      <alignment horizontal="center" vertical="center"/>
    </xf>
    <xf numFmtId="185" fontId="0" fillId="4" borderId="26" xfId="0" applyNumberFormat="1" applyFill="1" applyBorder="1" applyAlignment="1">
      <alignment horizontal="center" vertical="center"/>
    </xf>
    <xf numFmtId="183" fontId="0" fillId="7" borderId="25" xfId="0" applyNumberFormat="1" applyFill="1" applyBorder="1" applyAlignment="1">
      <alignment horizontal="center" vertical="center"/>
    </xf>
    <xf numFmtId="186" fontId="0" fillId="5" borderId="23" xfId="0" applyNumberFormat="1" applyFill="1" applyBorder="1" applyAlignment="1">
      <alignment horizontal="center" vertical="center"/>
    </xf>
    <xf numFmtId="185" fontId="0" fillId="5" borderId="24" xfId="0" applyNumberFormat="1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186" fontId="0" fillId="6" borderId="23" xfId="0" applyNumberFormat="1" applyFill="1" applyBorder="1" applyAlignment="1">
      <alignment horizontal="center" vertical="center"/>
    </xf>
    <xf numFmtId="185" fontId="0" fillId="6" borderId="27" xfId="0" applyNumberFormat="1" applyFill="1" applyBorder="1" applyAlignment="1">
      <alignment horizontal="center" vertical="center"/>
    </xf>
    <xf numFmtId="0" fontId="10" fillId="0" borderId="28" xfId="0" applyFont="1" applyBorder="1" applyAlignment="1">
      <alignment vertical="center"/>
    </xf>
    <xf numFmtId="177" fontId="9" fillId="0" borderId="28" xfId="0" applyNumberFormat="1" applyFont="1" applyBorder="1" applyAlignment="1">
      <alignment vertical="center"/>
    </xf>
    <xf numFmtId="0" fontId="11" fillId="8" borderId="28" xfId="0" applyFont="1" applyFill="1" applyBorder="1" applyAlignment="1">
      <alignment vertical="center"/>
    </xf>
    <xf numFmtId="0" fontId="11" fillId="10" borderId="28" xfId="0" applyFont="1" applyFill="1" applyBorder="1" applyAlignment="1">
      <alignment vertical="center"/>
    </xf>
    <xf numFmtId="0" fontId="11" fillId="11" borderId="28" xfId="0" applyFont="1" applyFill="1" applyBorder="1" applyAlignment="1">
      <alignment vertical="center"/>
    </xf>
    <xf numFmtId="178" fontId="11" fillId="10" borderId="28" xfId="0" applyNumberFormat="1" applyFont="1" applyFill="1" applyBorder="1" applyAlignment="1">
      <alignment vertical="center"/>
    </xf>
    <xf numFmtId="0" fontId="11" fillId="0" borderId="28" xfId="0" applyFont="1" applyFill="1" applyBorder="1" applyAlignment="1">
      <alignment vertical="center"/>
    </xf>
    <xf numFmtId="0" fontId="9" fillId="0" borderId="28" xfId="0" applyFont="1" applyBorder="1" applyAlignment="1">
      <alignment vertical="center"/>
    </xf>
    <xf numFmtId="0" fontId="10" fillId="0" borderId="28" xfId="0" applyNumberFormat="1" applyFont="1" applyBorder="1" applyAlignment="1">
      <alignment vertical="center"/>
    </xf>
    <xf numFmtId="0" fontId="9" fillId="0" borderId="28" xfId="0" applyNumberFormat="1" applyFont="1" applyBorder="1" applyAlignment="1">
      <alignment vertical="center"/>
    </xf>
    <xf numFmtId="0" fontId="10" fillId="8" borderId="28" xfId="0" applyNumberFormat="1" applyFont="1" applyFill="1" applyBorder="1" applyAlignment="1">
      <alignment vertical="center"/>
    </xf>
    <xf numFmtId="1" fontId="10" fillId="0" borderId="28" xfId="0" applyNumberFormat="1" applyFont="1" applyBorder="1" applyAlignment="1">
      <alignment vertical="center"/>
    </xf>
    <xf numFmtId="0" fontId="9" fillId="9" borderId="28" xfId="0" applyNumberFormat="1" applyFont="1" applyFill="1" applyBorder="1" applyAlignment="1">
      <alignment vertical="center"/>
    </xf>
    <xf numFmtId="0" fontId="11" fillId="9" borderId="28" xfId="0" applyNumberFormat="1" applyFont="1" applyFill="1" applyBorder="1" applyAlignment="1">
      <alignment vertical="center"/>
    </xf>
    <xf numFmtId="0" fontId="11" fillId="0" borderId="28" xfId="2" applyFont="1" applyBorder="1" applyAlignment="1">
      <alignment vertical="center"/>
    </xf>
    <xf numFmtId="0" fontId="11" fillId="9" borderId="28" xfId="2" applyFont="1" applyFill="1" applyBorder="1" applyAlignment="1">
      <alignment vertical="center"/>
    </xf>
    <xf numFmtId="0" fontId="11" fillId="10" borderId="28" xfId="2" applyFont="1" applyFill="1" applyBorder="1" applyAlignment="1">
      <alignment vertical="center"/>
    </xf>
    <xf numFmtId="178" fontId="12" fillId="10" borderId="28" xfId="0" applyNumberFormat="1" applyFont="1" applyFill="1" applyBorder="1" applyAlignment="1">
      <alignment vertical="center"/>
    </xf>
    <xf numFmtId="178" fontId="9" fillId="9" borderId="28" xfId="0" applyNumberFormat="1" applyFont="1" applyFill="1" applyBorder="1" applyAlignment="1">
      <alignment vertical="center"/>
    </xf>
    <xf numFmtId="178" fontId="9" fillId="10" borderId="28" xfId="0" applyNumberFormat="1" applyFont="1" applyFill="1" applyBorder="1" applyAlignment="1">
      <alignment vertical="center"/>
    </xf>
    <xf numFmtId="178" fontId="12" fillId="12" borderId="28" xfId="0" applyNumberFormat="1" applyFont="1" applyFill="1" applyBorder="1" applyAlignment="1">
      <alignment vertical="center"/>
    </xf>
    <xf numFmtId="0" fontId="12" fillId="10" borderId="28" xfId="2" quotePrefix="1" applyFont="1" applyFill="1" applyBorder="1" applyAlignment="1">
      <alignment vertical="center"/>
    </xf>
    <xf numFmtId="0" fontId="12" fillId="10" borderId="28" xfId="2" applyFont="1" applyFill="1" applyBorder="1" applyAlignment="1">
      <alignment vertical="center"/>
    </xf>
    <xf numFmtId="182" fontId="12" fillId="10" borderId="28" xfId="0" applyNumberFormat="1" applyFont="1" applyFill="1" applyBorder="1" applyAlignment="1">
      <alignment vertical="center"/>
    </xf>
    <xf numFmtId="178" fontId="10" fillId="10" borderId="28" xfId="0" applyNumberFormat="1" applyFont="1" applyFill="1" applyBorder="1" applyAlignment="1">
      <alignment vertical="center"/>
    </xf>
    <xf numFmtId="0" fontId="11" fillId="0" borderId="28" xfId="0" applyFont="1" applyBorder="1"/>
    <xf numFmtId="0" fontId="11" fillId="9" borderId="28" xfId="0" applyFont="1" applyFill="1" applyBorder="1"/>
    <xf numFmtId="0" fontId="11" fillId="9" borderId="28" xfId="0" applyFont="1" applyFill="1" applyBorder="1" applyAlignment="1">
      <alignment horizontal="right"/>
    </xf>
    <xf numFmtId="0" fontId="12" fillId="0" borderId="28" xfId="0" applyFont="1" applyBorder="1"/>
    <xf numFmtId="178" fontId="12" fillId="10" borderId="28" xfId="0" applyNumberFormat="1" applyFont="1" applyFill="1" applyBorder="1"/>
    <xf numFmtId="0" fontId="11" fillId="0" borderId="28" xfId="0" applyFont="1" applyFill="1" applyBorder="1"/>
    <xf numFmtId="0" fontId="12" fillId="10" borderId="28" xfId="0" applyFont="1" applyFill="1" applyBorder="1"/>
    <xf numFmtId="178" fontId="11" fillId="9" borderId="28" xfId="0" applyNumberFormat="1" applyFont="1" applyFill="1" applyBorder="1" applyAlignment="1">
      <alignment horizontal="right"/>
    </xf>
    <xf numFmtId="178" fontId="11" fillId="13" borderId="28" xfId="0" applyNumberFormat="1" applyFont="1" applyFill="1" applyBorder="1" applyAlignment="1">
      <alignment horizontal="right"/>
    </xf>
    <xf numFmtId="178" fontId="11" fillId="13" borderId="28" xfId="0" applyNumberFormat="1" applyFont="1" applyFill="1" applyBorder="1"/>
    <xf numFmtId="178" fontId="13" fillId="10" borderId="28" xfId="0" applyNumberFormat="1" applyFont="1" applyFill="1" applyBorder="1" applyAlignment="1">
      <alignment horizontal="right"/>
    </xf>
    <xf numFmtId="178" fontId="11" fillId="8" borderId="28" xfId="0" applyNumberFormat="1" applyFont="1" applyFill="1" applyBorder="1" applyAlignment="1">
      <alignment horizontal="right"/>
    </xf>
    <xf numFmtId="178" fontId="10" fillId="10" borderId="28" xfId="0" applyNumberFormat="1" applyFont="1" applyFill="1" applyBorder="1" applyAlignment="1">
      <alignment horizontal="right"/>
    </xf>
    <xf numFmtId="178" fontId="12" fillId="10" borderId="28" xfId="0" applyNumberFormat="1" applyFont="1" applyFill="1" applyBorder="1" applyAlignment="1">
      <alignment horizontal="right"/>
    </xf>
    <xf numFmtId="178" fontId="13" fillId="9" borderId="28" xfId="0" applyNumberFormat="1" applyFont="1" applyFill="1" applyBorder="1" applyAlignment="1">
      <alignment horizontal="right"/>
    </xf>
    <xf numFmtId="0" fontId="11" fillId="14" borderId="28" xfId="2" applyFont="1" applyFill="1" applyBorder="1">
      <alignment vertical="center"/>
    </xf>
    <xf numFmtId="0" fontId="11" fillId="0" borderId="0" xfId="2" applyFont="1">
      <alignment vertical="center"/>
    </xf>
    <xf numFmtId="0" fontId="11" fillId="0" borderId="28" xfId="2" applyFont="1" applyBorder="1">
      <alignment vertical="center"/>
    </xf>
    <xf numFmtId="0" fontId="13" fillId="0" borderId="28" xfId="2" applyFont="1" applyBorder="1" applyAlignment="1">
      <alignment horizontal="center" vertical="center"/>
    </xf>
    <xf numFmtId="0" fontId="12" fillId="0" borderId="28" xfId="2" applyFont="1" applyBorder="1">
      <alignment vertical="center"/>
    </xf>
    <xf numFmtId="187" fontId="11" fillId="8" borderId="28" xfId="2" applyNumberFormat="1" applyFont="1" applyFill="1" applyBorder="1">
      <alignment vertical="center"/>
    </xf>
    <xf numFmtId="187" fontId="11" fillId="13" borderId="28" xfId="2" applyNumberFormat="1" applyFont="1" applyFill="1" applyBorder="1">
      <alignment vertical="center"/>
    </xf>
    <xf numFmtId="187" fontId="11" fillId="0" borderId="28" xfId="2" applyNumberFormat="1" applyFont="1" applyBorder="1">
      <alignment vertical="center"/>
    </xf>
    <xf numFmtId="187" fontId="11" fillId="10" borderId="28" xfId="2" applyNumberFormat="1" applyFont="1" applyFill="1" applyBorder="1">
      <alignment vertical="center"/>
    </xf>
    <xf numFmtId="0" fontId="13" fillId="0" borderId="28" xfId="2" applyFont="1" applyBorder="1">
      <alignment vertical="center"/>
    </xf>
    <xf numFmtId="187" fontId="11" fillId="14" borderId="28" xfId="2" applyNumberFormat="1" applyFont="1" applyFill="1" applyBorder="1">
      <alignment vertical="center"/>
    </xf>
    <xf numFmtId="0" fontId="13" fillId="0" borderId="28" xfId="2" applyFont="1" applyBorder="1" applyAlignment="1">
      <alignment vertical="center" wrapText="1"/>
    </xf>
    <xf numFmtId="0" fontId="13" fillId="0" borderId="28" xfId="0" applyFont="1" applyBorder="1"/>
    <xf numFmtId="0" fontId="11" fillId="8" borderId="28" xfId="0" applyFont="1" applyFill="1" applyBorder="1"/>
    <xf numFmtId="178" fontId="11" fillId="8" borderId="28" xfId="0" applyNumberFormat="1" applyFont="1" applyFill="1" applyBorder="1"/>
    <xf numFmtId="178" fontId="10" fillId="8" borderId="28" xfId="0" applyNumberFormat="1" applyFont="1" applyFill="1" applyBorder="1"/>
    <xf numFmtId="0" fontId="11" fillId="9" borderId="28" xfId="2" applyFont="1" applyFill="1" applyBorder="1">
      <alignment vertical="center"/>
    </xf>
    <xf numFmtId="0" fontId="14" fillId="0" borderId="0" xfId="2" applyFont="1">
      <alignment vertical="center"/>
    </xf>
    <xf numFmtId="0" fontId="9" fillId="0" borderId="28" xfId="0" applyFont="1" applyBorder="1" applyAlignment="1">
      <alignment horizontal="left" vertical="center"/>
    </xf>
    <xf numFmtId="0" fontId="11" fillId="10" borderId="28" xfId="2" applyFont="1" applyFill="1" applyBorder="1">
      <alignment vertical="center"/>
    </xf>
    <xf numFmtId="0" fontId="12" fillId="12" borderId="28" xfId="2" applyFont="1" applyFill="1" applyBorder="1">
      <alignment vertical="center"/>
    </xf>
    <xf numFmtId="176" fontId="11" fillId="9" borderId="28" xfId="0" applyNumberFormat="1" applyFont="1" applyFill="1" applyBorder="1"/>
    <xf numFmtId="0" fontId="11" fillId="0" borderId="28" xfId="0" applyFont="1" applyBorder="1" applyAlignment="1">
      <alignment horizontal="left"/>
    </xf>
    <xf numFmtId="0" fontId="18" fillId="0" borderId="28" xfId="0" applyFont="1" applyBorder="1" applyAlignment="1">
      <alignment horizontal="left"/>
    </xf>
    <xf numFmtId="0" fontId="18" fillId="11" borderId="28" xfId="0" applyFont="1" applyFill="1" applyBorder="1" applyAlignment="1">
      <alignment horizontal="left"/>
    </xf>
    <xf numFmtId="0" fontId="11" fillId="11" borderId="28" xfId="2" applyFont="1" applyFill="1" applyBorder="1">
      <alignment vertical="center"/>
    </xf>
    <xf numFmtId="2" fontId="11" fillId="8" borderId="28" xfId="2" applyNumberFormat="1" applyFont="1" applyFill="1" applyBorder="1">
      <alignment vertical="center"/>
    </xf>
    <xf numFmtId="0" fontId="12" fillId="10" borderId="28" xfId="2" applyFont="1" applyFill="1" applyBorder="1">
      <alignment vertical="center"/>
    </xf>
    <xf numFmtId="0" fontId="11" fillId="11" borderId="28" xfId="2" applyFont="1" applyFill="1" applyBorder="1" applyAlignment="1">
      <alignment vertical="center"/>
    </xf>
    <xf numFmtId="0" fontId="11" fillId="10" borderId="35" xfId="0" applyFont="1" applyFill="1" applyBorder="1" applyAlignment="1">
      <alignment horizontal="center" vertical="center"/>
    </xf>
    <xf numFmtId="0" fontId="11" fillId="14" borderId="36" xfId="0" applyFont="1" applyFill="1" applyBorder="1" applyAlignment="1">
      <alignment horizontal="center" vertical="center"/>
    </xf>
    <xf numFmtId="0" fontId="11" fillId="8" borderId="37" xfId="0" applyFont="1" applyFill="1" applyBorder="1" applyAlignment="1">
      <alignment horizontal="left" vertical="center"/>
    </xf>
    <xf numFmtId="0" fontId="11" fillId="8" borderId="37" xfId="0" applyFont="1" applyFill="1" applyBorder="1" applyAlignment="1">
      <alignment horizontal="left"/>
    </xf>
    <xf numFmtId="180" fontId="11" fillId="8" borderId="37" xfId="0" applyNumberFormat="1" applyFont="1" applyFill="1" applyBorder="1" applyAlignment="1">
      <alignment horizontal="left" vertical="center"/>
    </xf>
    <xf numFmtId="181" fontId="11" fillId="8" borderId="37" xfId="0" applyNumberFormat="1" applyFont="1" applyFill="1" applyBorder="1" applyAlignment="1">
      <alignment horizontal="left" vertical="center"/>
    </xf>
    <xf numFmtId="179" fontId="11" fillId="8" borderId="37" xfId="0" applyNumberFormat="1" applyFont="1" applyFill="1" applyBorder="1" applyAlignment="1">
      <alignment horizontal="left" vertical="center"/>
    </xf>
    <xf numFmtId="0" fontId="11" fillId="8" borderId="38" xfId="0" applyFont="1" applyFill="1" applyBorder="1" applyAlignment="1">
      <alignment horizontal="left" vertical="center"/>
    </xf>
    <xf numFmtId="0" fontId="11" fillId="8" borderId="39" xfId="0" applyFont="1" applyFill="1" applyBorder="1" applyAlignment="1">
      <alignment horizontal="center" vertical="center"/>
    </xf>
    <xf numFmtId="0" fontId="11" fillId="8" borderId="37" xfId="0" applyFont="1" applyFill="1" applyBorder="1" applyAlignment="1">
      <alignment horizontal="center" vertical="center"/>
    </xf>
    <xf numFmtId="0" fontId="11" fillId="0" borderId="39" xfId="0" applyFont="1" applyBorder="1" applyAlignment="1">
      <alignment horizontal="left" vertical="center"/>
    </xf>
    <xf numFmtId="0" fontId="11" fillId="14" borderId="40" xfId="0" applyFont="1" applyFill="1" applyBorder="1" applyAlignment="1">
      <alignment horizontal="center" vertical="center"/>
    </xf>
    <xf numFmtId="180" fontId="11" fillId="8" borderId="41" xfId="0" applyNumberFormat="1" applyFont="1" applyFill="1" applyBorder="1" applyAlignment="1">
      <alignment horizontal="left" vertical="center"/>
    </xf>
    <xf numFmtId="0" fontId="11" fillId="8" borderId="41" xfId="0" applyFont="1" applyFill="1" applyBorder="1" applyAlignment="1">
      <alignment horizontal="left" vertical="center"/>
    </xf>
    <xf numFmtId="0" fontId="11" fillId="8" borderId="41" xfId="0" applyFont="1" applyFill="1" applyBorder="1" applyAlignment="1">
      <alignment horizontal="left"/>
    </xf>
    <xf numFmtId="181" fontId="11" fillId="8" borderId="41" xfId="0" applyNumberFormat="1" applyFont="1" applyFill="1" applyBorder="1" applyAlignment="1">
      <alignment horizontal="left" vertical="center"/>
    </xf>
    <xf numFmtId="179" fontId="11" fillId="8" borderId="41" xfId="0" applyNumberFormat="1" applyFont="1" applyFill="1" applyBorder="1" applyAlignment="1">
      <alignment horizontal="left" vertical="center"/>
    </xf>
    <xf numFmtId="0" fontId="11" fillId="8" borderId="41" xfId="0" applyFont="1" applyFill="1" applyBorder="1" applyAlignment="1">
      <alignment horizontal="center" vertical="center"/>
    </xf>
    <xf numFmtId="0" fontId="11" fillId="8" borderId="42" xfId="0" applyFont="1" applyFill="1" applyBorder="1" applyAlignment="1">
      <alignment horizontal="left" vertical="center"/>
    </xf>
    <xf numFmtId="0" fontId="11" fillId="0" borderId="43" xfId="0" applyFont="1" applyBorder="1" applyAlignment="1">
      <alignment horizontal="left" vertical="center"/>
    </xf>
    <xf numFmtId="0" fontId="11" fillId="14" borderId="44" xfId="0" applyFont="1" applyFill="1" applyBorder="1" applyAlignment="1">
      <alignment horizontal="center" vertical="center"/>
    </xf>
    <xf numFmtId="0" fontId="11" fillId="8" borderId="45" xfId="0" applyFont="1" applyFill="1" applyBorder="1" applyAlignment="1">
      <alignment horizontal="left" vertical="center"/>
    </xf>
    <xf numFmtId="0" fontId="11" fillId="8" borderId="45" xfId="0" applyFont="1" applyFill="1" applyBorder="1" applyAlignment="1">
      <alignment horizontal="left"/>
    </xf>
    <xf numFmtId="180" fontId="11" fillId="8" borderId="45" xfId="0" applyNumberFormat="1" applyFont="1" applyFill="1" applyBorder="1" applyAlignment="1">
      <alignment horizontal="left" vertical="center"/>
    </xf>
    <xf numFmtId="181" fontId="11" fillId="8" borderId="45" xfId="0" applyNumberFormat="1" applyFont="1" applyFill="1" applyBorder="1" applyAlignment="1">
      <alignment horizontal="left" vertical="center"/>
    </xf>
    <xf numFmtId="179" fontId="11" fillId="8" borderId="45" xfId="0" applyNumberFormat="1" applyFont="1" applyFill="1" applyBorder="1" applyAlignment="1">
      <alignment horizontal="left" vertical="center"/>
    </xf>
    <xf numFmtId="0" fontId="11" fillId="8" borderId="45" xfId="0" applyFont="1" applyFill="1" applyBorder="1" applyAlignment="1">
      <alignment horizontal="center" vertical="center"/>
    </xf>
    <xf numFmtId="0" fontId="11" fillId="8" borderId="46" xfId="0" applyFont="1" applyFill="1" applyBorder="1" applyAlignment="1">
      <alignment horizontal="left" vertical="center"/>
    </xf>
    <xf numFmtId="0" fontId="11" fillId="0" borderId="47" xfId="0" applyFont="1" applyBorder="1" applyAlignment="1">
      <alignment horizontal="left" vertical="center"/>
    </xf>
    <xf numFmtId="179" fontId="11" fillId="9" borderId="28" xfId="0" applyNumberFormat="1" applyFont="1" applyFill="1" applyBorder="1" applyAlignment="1">
      <alignment horizontal="right"/>
    </xf>
    <xf numFmtId="2" fontId="11" fillId="10" borderId="28" xfId="2" applyNumberFormat="1" applyFont="1" applyFill="1" applyBorder="1">
      <alignment vertical="center"/>
    </xf>
    <xf numFmtId="0" fontId="11" fillId="0" borderId="28" xfId="0" applyFont="1" applyBorder="1" applyAlignment="1">
      <alignment vertical="center"/>
    </xf>
    <xf numFmtId="0" fontId="11" fillId="9" borderId="28" xfId="0" applyFont="1" applyFill="1" applyBorder="1" applyAlignment="1">
      <alignment vertical="center"/>
    </xf>
    <xf numFmtId="0" fontId="12" fillId="10" borderId="28" xfId="0" applyFont="1" applyFill="1" applyBorder="1" applyAlignment="1">
      <alignment vertical="center"/>
    </xf>
    <xf numFmtId="0" fontId="0" fillId="0" borderId="0" xfId="0"/>
    <xf numFmtId="0" fontId="11" fillId="0" borderId="0" xfId="2" applyFont="1" applyAlignment="1">
      <alignment vertical="center"/>
    </xf>
    <xf numFmtId="187" fontId="11" fillId="9" borderId="28" xfId="2" applyNumberFormat="1" applyFont="1" applyFill="1" applyBorder="1">
      <alignment vertical="center"/>
    </xf>
    <xf numFmtId="2" fontId="11" fillId="9" borderId="28" xfId="2" applyNumberFormat="1" applyFont="1" applyFill="1" applyBorder="1">
      <alignment vertical="center"/>
    </xf>
    <xf numFmtId="0" fontId="11" fillId="0" borderId="0" xfId="2" quotePrefix="1" applyFont="1" applyAlignment="1">
      <alignment vertical="center"/>
    </xf>
    <xf numFmtId="2" fontId="11" fillId="14" borderId="28" xfId="2" applyNumberFormat="1" applyFont="1" applyFill="1" applyBorder="1">
      <alignment vertical="center"/>
    </xf>
    <xf numFmtId="0" fontId="0" fillId="0" borderId="0" xfId="0"/>
    <xf numFmtId="0" fontId="16" fillId="0" borderId="30" xfId="0" applyFont="1" applyBorder="1" applyAlignment="1">
      <alignment vertical="center"/>
    </xf>
    <xf numFmtId="0" fontId="16" fillId="0" borderId="30" xfId="0" applyFont="1" applyBorder="1" applyAlignment="1">
      <alignment horizontal="center" vertical="center"/>
    </xf>
    <xf numFmtId="0" fontId="16" fillId="0" borderId="30" xfId="0" applyFont="1" applyBorder="1" applyAlignment="1">
      <alignment horizontal="left" vertical="center"/>
    </xf>
    <xf numFmtId="0" fontId="16" fillId="8" borderId="32" xfId="0" applyFont="1" applyFill="1" applyBorder="1" applyAlignment="1">
      <alignment vertical="center"/>
    </xf>
    <xf numFmtId="0" fontId="16" fillId="0" borderId="31" xfId="0" applyFont="1" applyFill="1" applyBorder="1" applyAlignment="1">
      <alignment vertical="center"/>
    </xf>
    <xf numFmtId="0" fontId="16" fillId="8" borderId="32" xfId="0" applyFont="1" applyFill="1" applyBorder="1" applyAlignment="1">
      <alignment vertical="center" wrapText="1"/>
    </xf>
    <xf numFmtId="0" fontId="16" fillId="0" borderId="32" xfId="0" applyFont="1" applyFill="1" applyBorder="1" applyAlignment="1">
      <alignment vertical="center"/>
    </xf>
    <xf numFmtId="0" fontId="0" fillId="0" borderId="0" xfId="0"/>
    <xf numFmtId="0" fontId="16" fillId="0" borderId="31" xfId="0" applyFont="1" applyFill="1" applyBorder="1" applyAlignment="1">
      <alignment vertical="center" wrapText="1"/>
    </xf>
    <xf numFmtId="0" fontId="15" fillId="0" borderId="29" xfId="0" applyFont="1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/>
    </xf>
    <xf numFmtId="0" fontId="15" fillId="0" borderId="28" xfId="0" applyFont="1" applyFill="1" applyBorder="1" applyAlignment="1">
      <alignment horizontal="center" vertical="center"/>
    </xf>
    <xf numFmtId="0" fontId="19" fillId="0" borderId="48" xfId="0" applyFont="1" applyFill="1" applyBorder="1" applyAlignment="1">
      <alignment horizontal="center" vertical="center"/>
    </xf>
    <xf numFmtId="0" fontId="11" fillId="0" borderId="0" xfId="2" applyFont="1" applyAlignment="1">
      <alignment vertical="center"/>
    </xf>
    <xf numFmtId="0" fontId="0" fillId="0" borderId="0" xfId="0" applyAlignment="1">
      <alignment vertical="center"/>
    </xf>
    <xf numFmtId="0" fontId="10" fillId="0" borderId="28" xfId="0" applyFont="1" applyFill="1" applyBorder="1" applyAlignment="1">
      <alignment vertical="center"/>
    </xf>
    <xf numFmtId="41" fontId="0" fillId="0" borderId="0" xfId="1" applyFont="1" applyAlignment="1">
      <alignment vertical="center"/>
    </xf>
    <xf numFmtId="0" fontId="0" fillId="0" borderId="28" xfId="0" applyBorder="1" applyAlignment="1">
      <alignment horizontal="center" vertical="center"/>
    </xf>
    <xf numFmtId="188" fontId="9" fillId="0" borderId="28" xfId="0" applyNumberFormat="1" applyFont="1" applyFill="1" applyBorder="1" applyAlignment="1">
      <alignment vertical="center"/>
    </xf>
    <xf numFmtId="41" fontId="0" fillId="0" borderId="28" xfId="1" applyFont="1" applyFill="1" applyBorder="1" applyAlignment="1">
      <alignment vertical="center"/>
    </xf>
    <xf numFmtId="0" fontId="0" fillId="0" borderId="28" xfId="0" applyFill="1" applyBorder="1" applyAlignment="1">
      <alignment vertical="center"/>
    </xf>
    <xf numFmtId="189" fontId="0" fillId="0" borderId="28" xfId="1" applyNumberFormat="1" applyFont="1" applyFill="1" applyBorder="1" applyAlignment="1">
      <alignment vertical="center"/>
    </xf>
    <xf numFmtId="188" fontId="22" fillId="0" borderId="28" xfId="0" applyNumberFormat="1" applyFont="1" applyFill="1" applyBorder="1" applyAlignment="1">
      <alignment vertical="center"/>
    </xf>
    <xf numFmtId="41" fontId="22" fillId="0" borderId="28" xfId="1" applyFont="1" applyFill="1" applyBorder="1" applyAlignment="1">
      <alignment vertical="center"/>
    </xf>
    <xf numFmtId="0" fontId="9" fillId="0" borderId="28" xfId="0" applyFont="1" applyFill="1" applyBorder="1" applyAlignment="1">
      <alignment vertical="center"/>
    </xf>
    <xf numFmtId="0" fontId="23" fillId="0" borderId="28" xfId="0" applyFont="1" applyFill="1" applyBorder="1" applyAlignment="1">
      <alignment vertical="center"/>
    </xf>
    <xf numFmtId="0" fontId="22" fillId="0" borderId="28" xfId="0" applyFont="1" applyFill="1" applyBorder="1" applyAlignment="1">
      <alignment vertical="center"/>
    </xf>
    <xf numFmtId="0" fontId="0" fillId="0" borderId="28" xfId="0" applyBorder="1" applyAlignment="1">
      <alignment horizontal="left" vertical="center"/>
    </xf>
    <xf numFmtId="41" fontId="2" fillId="16" borderId="28" xfId="1" applyFont="1" applyFill="1" applyBorder="1" applyAlignment="1">
      <alignment vertical="center"/>
    </xf>
    <xf numFmtId="0" fontId="11" fillId="8" borderId="0" xfId="0" applyFont="1" applyFill="1" applyBorder="1" applyAlignment="1">
      <alignment vertical="center"/>
    </xf>
    <xf numFmtId="182" fontId="12" fillId="10" borderId="0" xfId="0" applyNumberFormat="1" applyFont="1" applyFill="1" applyBorder="1" applyAlignment="1">
      <alignment vertical="center"/>
    </xf>
    <xf numFmtId="0" fontId="11" fillId="0" borderId="0" xfId="0" applyFont="1" applyBorder="1" applyAlignment="1">
      <alignment vertical="center"/>
    </xf>
    <xf numFmtId="190" fontId="11" fillId="9" borderId="28" xfId="2" applyNumberFormat="1" applyFont="1" applyFill="1" applyBorder="1">
      <alignment vertical="center"/>
    </xf>
    <xf numFmtId="191" fontId="11" fillId="9" borderId="28" xfId="2" applyNumberFormat="1" applyFont="1" applyFill="1" applyBorder="1">
      <alignment vertical="center"/>
    </xf>
    <xf numFmtId="0" fontId="11" fillId="0" borderId="50" xfId="2" applyFont="1" applyBorder="1" applyAlignment="1">
      <alignment horizontal="center" vertical="center"/>
    </xf>
    <xf numFmtId="191" fontId="22" fillId="9" borderId="28" xfId="2" applyNumberFormat="1" applyFont="1" applyFill="1" applyBorder="1">
      <alignment vertical="center"/>
    </xf>
    <xf numFmtId="187" fontId="22" fillId="13" borderId="28" xfId="2" applyNumberFormat="1" applyFont="1" applyFill="1" applyBorder="1">
      <alignment vertical="center"/>
    </xf>
    <xf numFmtId="190" fontId="22" fillId="8" borderId="28" xfId="2" applyNumberFormat="1" applyFont="1" applyFill="1" applyBorder="1">
      <alignment vertical="center"/>
    </xf>
    <xf numFmtId="187" fontId="11" fillId="9" borderId="29" xfId="2" applyNumberFormat="1" applyFont="1" applyFill="1" applyBorder="1">
      <alignment vertical="center"/>
    </xf>
    <xf numFmtId="2" fontId="11" fillId="8" borderId="29" xfId="2" applyNumberFormat="1" applyFont="1" applyFill="1" applyBorder="1">
      <alignment vertical="center"/>
    </xf>
    <xf numFmtId="187" fontId="11" fillId="13" borderId="29" xfId="2" applyNumberFormat="1" applyFont="1" applyFill="1" applyBorder="1">
      <alignment vertical="center"/>
    </xf>
    <xf numFmtId="187" fontId="11" fillId="8" borderId="29" xfId="2" applyNumberFormat="1" applyFont="1" applyFill="1" applyBorder="1">
      <alignment vertical="center"/>
    </xf>
    <xf numFmtId="187" fontId="11" fillId="0" borderId="29" xfId="2" applyNumberFormat="1" applyFont="1" applyBorder="1">
      <alignment vertical="center"/>
    </xf>
    <xf numFmtId="191" fontId="11" fillId="9" borderId="29" xfId="2" applyNumberFormat="1" applyFont="1" applyFill="1" applyBorder="1">
      <alignment vertical="center"/>
    </xf>
    <xf numFmtId="2" fontId="11" fillId="9" borderId="29" xfId="2" applyNumberFormat="1" applyFont="1" applyFill="1" applyBorder="1">
      <alignment vertical="center"/>
    </xf>
    <xf numFmtId="190" fontId="11" fillId="9" borderId="29" xfId="2" applyNumberFormat="1" applyFont="1" applyFill="1" applyBorder="1">
      <alignment vertical="center"/>
    </xf>
    <xf numFmtId="2" fontId="11" fillId="10" borderId="29" xfId="2" applyNumberFormat="1" applyFont="1" applyFill="1" applyBorder="1">
      <alignment vertical="center"/>
    </xf>
    <xf numFmtId="187" fontId="11" fillId="10" borderId="29" xfId="2" applyNumberFormat="1" applyFont="1" applyFill="1" applyBorder="1">
      <alignment vertical="center"/>
    </xf>
    <xf numFmtId="2" fontId="11" fillId="14" borderId="29" xfId="2" applyNumberFormat="1" applyFont="1" applyFill="1" applyBorder="1">
      <alignment vertical="center"/>
    </xf>
    <xf numFmtId="187" fontId="11" fillId="14" borderId="29" xfId="2" applyNumberFormat="1" applyFont="1" applyFill="1" applyBorder="1">
      <alignment vertical="center"/>
    </xf>
    <xf numFmtId="187" fontId="11" fillId="9" borderId="68" xfId="2" applyNumberFormat="1" applyFont="1" applyFill="1" applyBorder="1">
      <alignment vertical="center"/>
    </xf>
    <xf numFmtId="2" fontId="11" fillId="8" borderId="68" xfId="2" applyNumberFormat="1" applyFont="1" applyFill="1" applyBorder="1">
      <alignment vertical="center"/>
    </xf>
    <xf numFmtId="187" fontId="11" fillId="13" borderId="68" xfId="2" applyNumberFormat="1" applyFont="1" applyFill="1" applyBorder="1">
      <alignment vertical="center"/>
    </xf>
    <xf numFmtId="187" fontId="11" fillId="8" borderId="68" xfId="2" applyNumberFormat="1" applyFont="1" applyFill="1" applyBorder="1">
      <alignment vertical="center"/>
    </xf>
    <xf numFmtId="187" fontId="11" fillId="0" borderId="68" xfId="2" applyNumberFormat="1" applyFont="1" applyBorder="1">
      <alignment vertical="center"/>
    </xf>
    <xf numFmtId="191" fontId="22" fillId="9" borderId="68" xfId="2" applyNumberFormat="1" applyFont="1" applyFill="1" applyBorder="1">
      <alignment vertical="center"/>
    </xf>
    <xf numFmtId="191" fontId="11" fillId="9" borderId="68" xfId="2" applyNumberFormat="1" applyFont="1" applyFill="1" applyBorder="1">
      <alignment vertical="center"/>
    </xf>
    <xf numFmtId="2" fontId="11" fillId="9" borderId="68" xfId="2" applyNumberFormat="1" applyFont="1" applyFill="1" applyBorder="1">
      <alignment vertical="center"/>
    </xf>
    <xf numFmtId="190" fontId="11" fillId="9" borderId="68" xfId="2" applyNumberFormat="1" applyFont="1" applyFill="1" applyBorder="1">
      <alignment vertical="center"/>
    </xf>
    <xf numFmtId="187" fontId="22" fillId="13" borderId="68" xfId="2" applyNumberFormat="1" applyFont="1" applyFill="1" applyBorder="1">
      <alignment vertical="center"/>
    </xf>
    <xf numFmtId="2" fontId="11" fillId="10" borderId="68" xfId="2" applyNumberFormat="1" applyFont="1" applyFill="1" applyBorder="1">
      <alignment vertical="center"/>
    </xf>
    <xf numFmtId="190" fontId="22" fillId="8" borderId="68" xfId="2" applyNumberFormat="1" applyFont="1" applyFill="1" applyBorder="1">
      <alignment vertical="center"/>
    </xf>
    <xf numFmtId="187" fontId="11" fillId="10" borderId="68" xfId="2" applyNumberFormat="1" applyFont="1" applyFill="1" applyBorder="1">
      <alignment vertical="center"/>
    </xf>
    <xf numFmtId="2" fontId="11" fillId="14" borderId="68" xfId="2" applyNumberFormat="1" applyFont="1" applyFill="1" applyBorder="1">
      <alignment vertical="center"/>
    </xf>
    <xf numFmtId="187" fontId="11" fillId="14" borderId="68" xfId="2" applyNumberFormat="1" applyFont="1" applyFill="1" applyBorder="1">
      <alignment vertical="center"/>
    </xf>
    <xf numFmtId="187" fontId="11" fillId="8" borderId="69" xfId="2" applyNumberFormat="1" applyFont="1" applyFill="1" applyBorder="1">
      <alignment vertical="center"/>
    </xf>
    <xf numFmtId="0" fontId="17" fillId="8" borderId="32" xfId="0" applyFont="1" applyFill="1" applyBorder="1" applyAlignment="1">
      <alignment vertical="center" wrapText="1"/>
    </xf>
    <xf numFmtId="0" fontId="0" fillId="0" borderId="0" xfId="0"/>
    <xf numFmtId="22" fontId="16" fillId="8" borderId="31" xfId="0" applyNumberFormat="1" applyFont="1" applyFill="1" applyBorder="1" applyAlignment="1">
      <alignment vertical="center"/>
    </xf>
    <xf numFmtId="0" fontId="0" fillId="0" borderId="0" xfId="0"/>
    <xf numFmtId="189" fontId="0" fillId="0" borderId="28" xfId="1" applyNumberFormat="1" applyFont="1" applyFill="1" applyBorder="1" applyAlignment="1">
      <alignment vertical="center"/>
    </xf>
    <xf numFmtId="0" fontId="16" fillId="0" borderId="31" xfId="0" applyFont="1" applyBorder="1" applyAlignment="1">
      <alignment vertical="center"/>
    </xf>
    <xf numFmtId="0" fontId="16" fillId="8" borderId="31" xfId="0" applyFont="1" applyFill="1" applyBorder="1" applyAlignment="1">
      <alignment vertical="center"/>
    </xf>
    <xf numFmtId="0" fontId="16" fillId="8" borderId="31" xfId="0" applyFont="1" applyFill="1" applyBorder="1" applyAlignment="1">
      <alignment vertical="center" wrapText="1"/>
    </xf>
    <xf numFmtId="0" fontId="17" fillId="0" borderId="31" xfId="0" applyFont="1" applyBorder="1" applyAlignment="1">
      <alignment vertical="center" wrapText="1"/>
    </xf>
    <xf numFmtId="0" fontId="16" fillId="0" borderId="33" xfId="0" applyFont="1" applyBorder="1" applyAlignment="1">
      <alignment vertical="center"/>
    </xf>
    <xf numFmtId="0" fontId="16" fillId="0" borderId="34" xfId="0" applyFont="1" applyBorder="1" applyAlignment="1">
      <alignment vertical="center"/>
    </xf>
    <xf numFmtId="0" fontId="11" fillId="14" borderId="36" xfId="0" applyFont="1" applyFill="1" applyBorder="1" applyAlignment="1">
      <alignment horizontal="center" vertical="center"/>
    </xf>
    <xf numFmtId="0" fontId="11" fillId="8" borderId="37" xfId="0" applyFont="1" applyFill="1" applyBorder="1" applyAlignment="1">
      <alignment horizontal="left" vertical="center"/>
    </xf>
    <xf numFmtId="0" fontId="11" fillId="8" borderId="37" xfId="0" applyFont="1" applyFill="1" applyBorder="1" applyAlignment="1">
      <alignment horizontal="left"/>
    </xf>
    <xf numFmtId="180" fontId="11" fillId="8" borderId="37" xfId="0" applyNumberFormat="1" applyFont="1" applyFill="1" applyBorder="1" applyAlignment="1">
      <alignment horizontal="left" vertical="center"/>
    </xf>
    <xf numFmtId="181" fontId="11" fillId="8" borderId="37" xfId="0" applyNumberFormat="1" applyFont="1" applyFill="1" applyBorder="1" applyAlignment="1">
      <alignment horizontal="left" vertical="center"/>
    </xf>
    <xf numFmtId="179" fontId="11" fillId="8" borderId="37" xfId="0" applyNumberFormat="1" applyFont="1" applyFill="1" applyBorder="1" applyAlignment="1">
      <alignment horizontal="left" vertical="center"/>
    </xf>
    <xf numFmtId="0" fontId="11" fillId="8" borderId="38" xfId="0" applyFont="1" applyFill="1" applyBorder="1" applyAlignment="1">
      <alignment horizontal="left" vertical="center"/>
    </xf>
    <xf numFmtId="0" fontId="11" fillId="8" borderId="39" xfId="0" applyFont="1" applyFill="1" applyBorder="1" applyAlignment="1">
      <alignment horizontal="center" vertical="center"/>
    </xf>
    <xf numFmtId="0" fontId="18" fillId="0" borderId="31" xfId="0" applyFont="1" applyFill="1" applyBorder="1" applyAlignment="1">
      <alignment vertical="center" wrapText="1"/>
    </xf>
    <xf numFmtId="0" fontId="24" fillId="17" borderId="0" xfId="4" applyAlignment="1">
      <alignment vertical="center"/>
    </xf>
    <xf numFmtId="0" fontId="11" fillId="0" borderId="0" xfId="2" applyFont="1" applyBorder="1" applyAlignment="1">
      <alignment horizontal="center" vertical="center"/>
    </xf>
    <xf numFmtId="191" fontId="22" fillId="9" borderId="29" xfId="2" applyNumberFormat="1" applyFont="1" applyFill="1" applyBorder="1">
      <alignment vertical="center"/>
    </xf>
    <xf numFmtId="187" fontId="22" fillId="13" borderId="29" xfId="2" applyNumberFormat="1" applyFont="1" applyFill="1" applyBorder="1">
      <alignment vertical="center"/>
    </xf>
    <xf numFmtId="190" fontId="22" fillId="8" borderId="29" xfId="2" applyNumberFormat="1" applyFont="1" applyFill="1" applyBorder="1">
      <alignment vertical="center"/>
    </xf>
    <xf numFmtId="187" fontId="11" fillId="8" borderId="70" xfId="2" applyNumberFormat="1" applyFont="1" applyFill="1" applyBorder="1">
      <alignment vertical="center"/>
    </xf>
    <xf numFmtId="0" fontId="0" fillId="0" borderId="0" xfId="2" applyFont="1" applyAlignment="1">
      <alignment vertical="center" wrapText="1"/>
    </xf>
    <xf numFmtId="0" fontId="11" fillId="0" borderId="0" xfId="2" applyFont="1" applyBorder="1" applyAlignment="1">
      <alignment horizontal="center" vertical="center" wrapText="1"/>
    </xf>
    <xf numFmtId="0" fontId="11" fillId="0" borderId="65" xfId="2" applyFont="1" applyBorder="1" applyAlignment="1">
      <alignment horizontal="center" vertical="center" wrapText="1"/>
    </xf>
    <xf numFmtId="0" fontId="11" fillId="0" borderId="50" xfId="2" applyFont="1" applyBorder="1" applyAlignment="1">
      <alignment horizontal="center" vertical="center"/>
    </xf>
    <xf numFmtId="0" fontId="11" fillId="0" borderId="66" xfId="2" applyFont="1" applyBorder="1" applyAlignment="1">
      <alignment horizontal="center" vertical="center" wrapText="1"/>
    </xf>
    <xf numFmtId="0" fontId="11" fillId="0" borderId="67" xfId="2" applyFont="1" applyBorder="1" applyAlignment="1">
      <alignment horizontal="center" vertical="center"/>
    </xf>
    <xf numFmtId="0" fontId="13" fillId="0" borderId="50" xfId="2" applyFont="1" applyBorder="1" applyAlignment="1">
      <alignment horizontal="left" vertical="center"/>
    </xf>
    <xf numFmtId="0" fontId="13" fillId="0" borderId="0" xfId="2" applyFont="1" applyAlignment="1">
      <alignment horizontal="left" vertical="center"/>
    </xf>
    <xf numFmtId="0" fontId="11" fillId="11" borderId="28" xfId="0" applyFont="1" applyFill="1" applyBorder="1" applyAlignment="1">
      <alignment horizontal="center" vertical="center"/>
    </xf>
    <xf numFmtId="0" fontId="13" fillId="0" borderId="50" xfId="0" applyFont="1" applyBorder="1" applyAlignment="1">
      <alignment horizontal="left"/>
    </xf>
    <xf numFmtId="0" fontId="0" fillId="0" borderId="49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49" xfId="0" applyBorder="1" applyAlignment="1">
      <alignment horizontal="left" vertical="center"/>
    </xf>
    <xf numFmtId="0" fontId="0" fillId="0" borderId="52" xfId="0" applyBorder="1" applyAlignment="1">
      <alignment horizontal="left" vertical="center"/>
    </xf>
    <xf numFmtId="0" fontId="0" fillId="0" borderId="51" xfId="0" applyBorder="1" applyAlignment="1">
      <alignment horizontal="center" vertical="center"/>
    </xf>
    <xf numFmtId="0" fontId="0" fillId="0" borderId="49" xfId="0" applyBorder="1" applyAlignment="1">
      <alignment horizontal="left" vertical="center" wrapText="1"/>
    </xf>
    <xf numFmtId="0" fontId="0" fillId="0" borderId="51" xfId="0" applyBorder="1" applyAlignment="1">
      <alignment horizontal="left" vertical="center" wrapText="1"/>
    </xf>
    <xf numFmtId="0" fontId="0" fillId="0" borderId="52" xfId="0" applyBorder="1" applyAlignment="1">
      <alignment horizontal="left" vertical="center" wrapText="1"/>
    </xf>
    <xf numFmtId="0" fontId="0" fillId="0" borderId="51" xfId="0" applyBorder="1" applyAlignment="1">
      <alignment horizontal="left" vertical="center"/>
    </xf>
    <xf numFmtId="41" fontId="0" fillId="0" borderId="29" xfId="1" applyFont="1" applyFill="1" applyBorder="1" applyAlignment="1">
      <alignment horizontal="center" vertical="center"/>
    </xf>
    <xf numFmtId="41" fontId="0" fillId="0" borderId="53" xfId="1" applyFont="1" applyFill="1" applyBorder="1" applyAlignment="1">
      <alignment horizontal="center" vertical="center"/>
    </xf>
    <xf numFmtId="41" fontId="0" fillId="0" borderId="48" xfId="1" applyFont="1" applyFill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/>
    </xf>
    <xf numFmtId="0" fontId="20" fillId="0" borderId="48" xfId="0" applyFont="1" applyBorder="1" applyAlignment="1">
      <alignment horizontal="center" vertical="center"/>
    </xf>
    <xf numFmtId="0" fontId="19" fillId="0" borderId="28" xfId="0" applyFont="1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/>
    </xf>
    <xf numFmtId="0" fontId="19" fillId="0" borderId="53" xfId="0" applyFont="1" applyFill="1" applyBorder="1" applyAlignment="1">
      <alignment horizontal="center" vertical="center"/>
    </xf>
    <xf numFmtId="0" fontId="19" fillId="0" borderId="48" xfId="0" applyFont="1" applyFill="1" applyBorder="1" applyAlignment="1">
      <alignment horizontal="center" vertical="center"/>
    </xf>
    <xf numFmtId="0" fontId="21" fillId="0" borderId="29" xfId="0" applyFont="1" applyFill="1" applyBorder="1" applyAlignment="1">
      <alignment horizontal="center" vertical="center"/>
    </xf>
    <xf numFmtId="0" fontId="21" fillId="0" borderId="48" xfId="0" applyFont="1" applyFill="1" applyBorder="1" applyAlignment="1">
      <alignment horizontal="center" vertical="center"/>
    </xf>
    <xf numFmtId="0" fontId="11" fillId="8" borderId="38" xfId="0" applyFont="1" applyFill="1" applyBorder="1" applyAlignment="1">
      <alignment horizontal="left" vertical="center"/>
    </xf>
    <xf numFmtId="0" fontId="11" fillId="8" borderId="54" xfId="0" applyFont="1" applyFill="1" applyBorder="1" applyAlignment="1">
      <alignment horizontal="left" vertical="center"/>
    </xf>
    <xf numFmtId="0" fontId="11" fillId="10" borderId="30" xfId="0" applyFont="1" applyFill="1" applyBorder="1" applyAlignment="1">
      <alignment horizontal="center" vertical="center"/>
    </xf>
    <xf numFmtId="0" fontId="11" fillId="10" borderId="35" xfId="0" applyFont="1" applyFill="1" applyBorder="1" applyAlignment="1">
      <alignment horizontal="center" vertical="center"/>
    </xf>
    <xf numFmtId="0" fontId="11" fillId="9" borderId="30" xfId="0" applyFont="1" applyFill="1" applyBorder="1" applyAlignment="1">
      <alignment horizontal="center" vertical="center"/>
    </xf>
    <xf numFmtId="0" fontId="11" fillId="9" borderId="35" xfId="0" applyFont="1" applyFill="1" applyBorder="1" applyAlignment="1">
      <alignment horizontal="center" vertical="center"/>
    </xf>
    <xf numFmtId="0" fontId="11" fillId="10" borderId="58" xfId="0" applyFont="1" applyFill="1" applyBorder="1" applyAlignment="1">
      <alignment horizontal="center" vertical="center"/>
    </xf>
    <xf numFmtId="0" fontId="11" fillId="10" borderId="59" xfId="0" applyFont="1" applyFill="1" applyBorder="1" applyAlignment="1">
      <alignment horizontal="center" vertical="center"/>
    </xf>
    <xf numFmtId="0" fontId="11" fillId="10" borderId="55" xfId="0" applyFont="1" applyFill="1" applyBorder="1" applyAlignment="1">
      <alignment horizontal="center" vertical="center"/>
    </xf>
    <xf numFmtId="0" fontId="11" fillId="10" borderId="56" xfId="0" applyFont="1" applyFill="1" applyBorder="1" applyAlignment="1">
      <alignment horizontal="center" vertical="center"/>
    </xf>
    <xf numFmtId="0" fontId="11" fillId="10" borderId="57" xfId="0" applyFont="1" applyFill="1" applyBorder="1" applyAlignment="1">
      <alignment horizontal="center" vertical="center"/>
    </xf>
    <xf numFmtId="0" fontId="11" fillId="10" borderId="34" xfId="0" applyFont="1" applyFill="1" applyBorder="1" applyAlignment="1">
      <alignment horizontal="center" vertical="center"/>
    </xf>
    <xf numFmtId="0" fontId="11" fillId="15" borderId="30" xfId="0" applyFont="1" applyFill="1" applyBorder="1" applyAlignment="1">
      <alignment horizontal="center" vertical="center"/>
    </xf>
    <xf numFmtId="0" fontId="11" fillId="15" borderId="35" xfId="0" applyFont="1" applyFill="1" applyBorder="1" applyAlignment="1">
      <alignment horizontal="center" vertical="center"/>
    </xf>
    <xf numFmtId="0" fontId="11" fillId="7" borderId="30" xfId="0" applyFont="1" applyFill="1" applyBorder="1" applyAlignment="1">
      <alignment horizontal="center" vertical="center"/>
    </xf>
    <xf numFmtId="0" fontId="11" fillId="7" borderId="35" xfId="0" applyFont="1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10" fillId="2" borderId="62" xfId="0" applyFont="1" applyFill="1" applyBorder="1" applyAlignment="1">
      <alignment horizontal="center" vertical="center"/>
    </xf>
    <xf numFmtId="0" fontId="10" fillId="4" borderId="63" xfId="0" applyFont="1" applyFill="1" applyBorder="1" applyAlignment="1">
      <alignment horizontal="center" vertical="center"/>
    </xf>
    <xf numFmtId="0" fontId="10" fillId="5" borderId="63" xfId="0" applyFont="1" applyFill="1" applyBorder="1" applyAlignment="1">
      <alignment horizontal="center" vertical="center"/>
    </xf>
    <xf numFmtId="0" fontId="10" fillId="6" borderId="63" xfId="0" applyFont="1" applyFill="1" applyBorder="1" applyAlignment="1">
      <alignment horizontal="center" vertical="center"/>
    </xf>
    <xf numFmtId="0" fontId="10" fillId="6" borderId="64" xfId="0" applyFont="1" applyFill="1" applyBorder="1" applyAlignment="1">
      <alignment horizontal="center" vertical="center"/>
    </xf>
  </cellXfs>
  <cellStyles count="5">
    <cellStyle name="쉼표 [0]" xfId="1" builtinId="6"/>
    <cellStyle name="좋음" xfId="4" builtinId="26"/>
    <cellStyle name="표준" xfId="0" builtinId="0"/>
    <cellStyle name="표준 2" xfId="3"/>
    <cellStyle name="표준_20080312_동작점설계_해송_150MF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1553895</xdr:colOff>
      <xdr:row>21</xdr:row>
      <xdr:rowOff>58555</xdr:rowOff>
    </xdr:from>
    <xdr:to>
      <xdr:col>30</xdr:col>
      <xdr:colOff>1657845</xdr:colOff>
      <xdr:row>21</xdr:row>
      <xdr:rowOff>146095</xdr:rowOff>
    </xdr:to>
    <xdr:sp macro="" textlink="">
      <xdr:nvSpPr>
        <xdr:cNvPr id="2" name="타원 1"/>
        <xdr:cNvSpPr/>
      </xdr:nvSpPr>
      <xdr:spPr>
        <a:xfrm>
          <a:off x="29046855" y="4280035"/>
          <a:ext cx="103950" cy="875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30</xdr:col>
      <xdr:colOff>1702975</xdr:colOff>
      <xdr:row>21</xdr:row>
      <xdr:rowOff>61441</xdr:rowOff>
    </xdr:from>
    <xdr:to>
      <xdr:col>30</xdr:col>
      <xdr:colOff>1787119</xdr:colOff>
      <xdr:row>21</xdr:row>
      <xdr:rowOff>142482</xdr:rowOff>
    </xdr:to>
    <xdr:sp macro="" textlink="">
      <xdr:nvSpPr>
        <xdr:cNvPr id="3" name="타원 2"/>
        <xdr:cNvSpPr/>
      </xdr:nvSpPr>
      <xdr:spPr>
        <a:xfrm>
          <a:off x="29195935" y="4282921"/>
          <a:ext cx="84144" cy="810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30</xdr:col>
      <xdr:colOff>1553895</xdr:colOff>
      <xdr:row>25</xdr:row>
      <xdr:rowOff>58555</xdr:rowOff>
    </xdr:from>
    <xdr:to>
      <xdr:col>30</xdr:col>
      <xdr:colOff>1657845</xdr:colOff>
      <xdr:row>25</xdr:row>
      <xdr:rowOff>146095</xdr:rowOff>
    </xdr:to>
    <xdr:sp macro="" textlink="">
      <xdr:nvSpPr>
        <xdr:cNvPr id="4" name="타원 3"/>
        <xdr:cNvSpPr/>
      </xdr:nvSpPr>
      <xdr:spPr>
        <a:xfrm>
          <a:off x="29046855" y="5163955"/>
          <a:ext cx="103950" cy="875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30</xdr:col>
      <xdr:colOff>1702975</xdr:colOff>
      <xdr:row>25</xdr:row>
      <xdr:rowOff>61441</xdr:rowOff>
    </xdr:from>
    <xdr:to>
      <xdr:col>30</xdr:col>
      <xdr:colOff>1787119</xdr:colOff>
      <xdr:row>25</xdr:row>
      <xdr:rowOff>142482</xdr:rowOff>
    </xdr:to>
    <xdr:sp macro="" textlink="">
      <xdr:nvSpPr>
        <xdr:cNvPr id="5" name="타원 4"/>
        <xdr:cNvSpPr/>
      </xdr:nvSpPr>
      <xdr:spPr>
        <a:xfrm>
          <a:off x="29195935" y="5166841"/>
          <a:ext cx="84144" cy="810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30</xdr:col>
      <xdr:colOff>1830839</xdr:colOff>
      <xdr:row>25</xdr:row>
      <xdr:rowOff>54807</xdr:rowOff>
    </xdr:from>
    <xdr:to>
      <xdr:col>30</xdr:col>
      <xdr:colOff>1919896</xdr:colOff>
      <xdr:row>25</xdr:row>
      <xdr:rowOff>143850</xdr:rowOff>
    </xdr:to>
    <xdr:sp macro="" textlink="">
      <xdr:nvSpPr>
        <xdr:cNvPr id="6" name="타원 5"/>
        <xdr:cNvSpPr/>
      </xdr:nvSpPr>
      <xdr:spPr>
        <a:xfrm>
          <a:off x="29323799" y="5160207"/>
          <a:ext cx="89057" cy="8904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30</xdr:col>
      <xdr:colOff>1962774</xdr:colOff>
      <xdr:row>25</xdr:row>
      <xdr:rowOff>57693</xdr:rowOff>
    </xdr:from>
    <xdr:to>
      <xdr:col>30</xdr:col>
      <xdr:colOff>2046918</xdr:colOff>
      <xdr:row>25</xdr:row>
      <xdr:rowOff>137733</xdr:rowOff>
    </xdr:to>
    <xdr:sp macro="" textlink="">
      <xdr:nvSpPr>
        <xdr:cNvPr id="7" name="타원 6"/>
        <xdr:cNvSpPr/>
      </xdr:nvSpPr>
      <xdr:spPr>
        <a:xfrm>
          <a:off x="29455734" y="5163093"/>
          <a:ext cx="84144" cy="80040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30</xdr:col>
      <xdr:colOff>1553707</xdr:colOff>
      <xdr:row>29</xdr:row>
      <xdr:rowOff>23231</xdr:rowOff>
    </xdr:from>
    <xdr:to>
      <xdr:col>30</xdr:col>
      <xdr:colOff>1633924</xdr:colOff>
      <xdr:row>29</xdr:row>
      <xdr:rowOff>98922</xdr:rowOff>
    </xdr:to>
    <xdr:sp macro="" textlink="">
      <xdr:nvSpPr>
        <xdr:cNvPr id="8" name="타원 7"/>
        <xdr:cNvSpPr/>
      </xdr:nvSpPr>
      <xdr:spPr>
        <a:xfrm>
          <a:off x="29046667" y="6012551"/>
          <a:ext cx="80217" cy="7569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30</xdr:col>
      <xdr:colOff>1673745</xdr:colOff>
      <xdr:row>29</xdr:row>
      <xdr:rowOff>23231</xdr:rowOff>
    </xdr:from>
    <xdr:to>
      <xdr:col>30</xdr:col>
      <xdr:colOff>1744825</xdr:colOff>
      <xdr:row>29</xdr:row>
      <xdr:rowOff>97141</xdr:rowOff>
    </xdr:to>
    <xdr:sp macro="" textlink="">
      <xdr:nvSpPr>
        <xdr:cNvPr id="9" name="타원 8"/>
        <xdr:cNvSpPr/>
      </xdr:nvSpPr>
      <xdr:spPr>
        <a:xfrm>
          <a:off x="29166705" y="6012551"/>
          <a:ext cx="71080" cy="73910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30</xdr:col>
      <xdr:colOff>1673532</xdr:colOff>
      <xdr:row>29</xdr:row>
      <xdr:rowOff>127780</xdr:rowOff>
    </xdr:from>
    <xdr:to>
      <xdr:col>30</xdr:col>
      <xdr:colOff>1748853</xdr:colOff>
      <xdr:row>29</xdr:row>
      <xdr:rowOff>183313</xdr:rowOff>
    </xdr:to>
    <xdr:sp macro="" textlink="">
      <xdr:nvSpPr>
        <xdr:cNvPr id="10" name="타원 9"/>
        <xdr:cNvSpPr/>
      </xdr:nvSpPr>
      <xdr:spPr>
        <a:xfrm>
          <a:off x="29166492" y="6117100"/>
          <a:ext cx="75321" cy="5553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30</xdr:col>
      <xdr:colOff>1560335</xdr:colOff>
      <xdr:row>29</xdr:row>
      <xdr:rowOff>128635</xdr:rowOff>
    </xdr:from>
    <xdr:to>
      <xdr:col>30</xdr:col>
      <xdr:colOff>1633687</xdr:colOff>
      <xdr:row>29</xdr:row>
      <xdr:rowOff>184210</xdr:rowOff>
    </xdr:to>
    <xdr:sp macro="" textlink="">
      <xdr:nvSpPr>
        <xdr:cNvPr id="11" name="타원 10"/>
        <xdr:cNvSpPr/>
      </xdr:nvSpPr>
      <xdr:spPr>
        <a:xfrm>
          <a:off x="29053295" y="6117955"/>
          <a:ext cx="73352" cy="5557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30</xdr:col>
      <xdr:colOff>1553895</xdr:colOff>
      <xdr:row>21</xdr:row>
      <xdr:rowOff>58555</xdr:rowOff>
    </xdr:from>
    <xdr:to>
      <xdr:col>30</xdr:col>
      <xdr:colOff>1657845</xdr:colOff>
      <xdr:row>21</xdr:row>
      <xdr:rowOff>146095</xdr:rowOff>
    </xdr:to>
    <xdr:sp macro="" textlink="">
      <xdr:nvSpPr>
        <xdr:cNvPr id="12" name="타원 11"/>
        <xdr:cNvSpPr/>
      </xdr:nvSpPr>
      <xdr:spPr>
        <a:xfrm>
          <a:off x="29046855" y="4280035"/>
          <a:ext cx="103950" cy="875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30</xdr:col>
      <xdr:colOff>1702976</xdr:colOff>
      <xdr:row>21</xdr:row>
      <xdr:rowOff>55621</xdr:rowOff>
    </xdr:from>
    <xdr:to>
      <xdr:col>30</xdr:col>
      <xdr:colOff>1788955</xdr:colOff>
      <xdr:row>21</xdr:row>
      <xdr:rowOff>146700</xdr:rowOff>
    </xdr:to>
    <xdr:sp macro="" textlink="">
      <xdr:nvSpPr>
        <xdr:cNvPr id="13" name="타원 12"/>
        <xdr:cNvSpPr/>
      </xdr:nvSpPr>
      <xdr:spPr>
        <a:xfrm>
          <a:off x="29195936" y="4277101"/>
          <a:ext cx="85979" cy="9107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30</xdr:col>
      <xdr:colOff>1553895</xdr:colOff>
      <xdr:row>25</xdr:row>
      <xdr:rowOff>56203</xdr:rowOff>
    </xdr:from>
    <xdr:to>
      <xdr:col>30</xdr:col>
      <xdr:colOff>1657845</xdr:colOff>
      <xdr:row>25</xdr:row>
      <xdr:rowOff>146944</xdr:rowOff>
    </xdr:to>
    <xdr:sp macro="" textlink="">
      <xdr:nvSpPr>
        <xdr:cNvPr id="14" name="타원 13"/>
        <xdr:cNvSpPr/>
      </xdr:nvSpPr>
      <xdr:spPr>
        <a:xfrm>
          <a:off x="29046855" y="5161603"/>
          <a:ext cx="103950" cy="9074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30</xdr:col>
      <xdr:colOff>1697918</xdr:colOff>
      <xdr:row>25</xdr:row>
      <xdr:rowOff>54429</xdr:rowOff>
    </xdr:from>
    <xdr:to>
      <xdr:col>30</xdr:col>
      <xdr:colOff>1789132</xdr:colOff>
      <xdr:row>25</xdr:row>
      <xdr:rowOff>138968</xdr:rowOff>
    </xdr:to>
    <xdr:sp macro="" textlink="">
      <xdr:nvSpPr>
        <xdr:cNvPr id="15" name="타원 14"/>
        <xdr:cNvSpPr/>
      </xdr:nvSpPr>
      <xdr:spPr>
        <a:xfrm>
          <a:off x="29190878" y="5159829"/>
          <a:ext cx="91214" cy="8453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30</xdr:col>
      <xdr:colOff>1830839</xdr:colOff>
      <xdr:row>25</xdr:row>
      <xdr:rowOff>53245</xdr:rowOff>
    </xdr:from>
    <xdr:to>
      <xdr:col>30</xdr:col>
      <xdr:colOff>1919896</xdr:colOff>
      <xdr:row>25</xdr:row>
      <xdr:rowOff>143837</xdr:rowOff>
    </xdr:to>
    <xdr:sp macro="" textlink="">
      <xdr:nvSpPr>
        <xdr:cNvPr id="16" name="타원 15"/>
        <xdr:cNvSpPr/>
      </xdr:nvSpPr>
      <xdr:spPr>
        <a:xfrm>
          <a:off x="29323799" y="5158645"/>
          <a:ext cx="89057" cy="9059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30</xdr:col>
      <xdr:colOff>1955822</xdr:colOff>
      <xdr:row>25</xdr:row>
      <xdr:rowOff>54428</xdr:rowOff>
    </xdr:from>
    <xdr:to>
      <xdr:col>30</xdr:col>
      <xdr:colOff>2054405</xdr:colOff>
      <xdr:row>25</xdr:row>
      <xdr:rowOff>145518</xdr:rowOff>
    </xdr:to>
    <xdr:sp macro="" textlink="">
      <xdr:nvSpPr>
        <xdr:cNvPr id="17" name="타원 16"/>
        <xdr:cNvSpPr/>
      </xdr:nvSpPr>
      <xdr:spPr>
        <a:xfrm>
          <a:off x="29448782" y="5159828"/>
          <a:ext cx="98583" cy="91090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30</xdr:col>
      <xdr:colOff>1556969</xdr:colOff>
      <xdr:row>29</xdr:row>
      <xdr:rowOff>23664</xdr:rowOff>
    </xdr:from>
    <xdr:to>
      <xdr:col>30</xdr:col>
      <xdr:colOff>1638944</xdr:colOff>
      <xdr:row>29</xdr:row>
      <xdr:rowOff>101756</xdr:rowOff>
    </xdr:to>
    <xdr:sp macro="" textlink="">
      <xdr:nvSpPr>
        <xdr:cNvPr id="18" name="타원 17"/>
        <xdr:cNvSpPr/>
      </xdr:nvSpPr>
      <xdr:spPr>
        <a:xfrm>
          <a:off x="29049929" y="6012984"/>
          <a:ext cx="81975" cy="7809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30</xdr:col>
      <xdr:colOff>1673745</xdr:colOff>
      <xdr:row>29</xdr:row>
      <xdr:rowOff>23230</xdr:rowOff>
    </xdr:from>
    <xdr:to>
      <xdr:col>30</xdr:col>
      <xdr:colOff>1747883</xdr:colOff>
      <xdr:row>29</xdr:row>
      <xdr:rowOff>98146</xdr:rowOff>
    </xdr:to>
    <xdr:sp macro="" textlink="">
      <xdr:nvSpPr>
        <xdr:cNvPr id="19" name="타원 18"/>
        <xdr:cNvSpPr/>
      </xdr:nvSpPr>
      <xdr:spPr>
        <a:xfrm>
          <a:off x="29166705" y="6012550"/>
          <a:ext cx="74138" cy="74916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30</xdr:col>
      <xdr:colOff>1679795</xdr:colOff>
      <xdr:row>29</xdr:row>
      <xdr:rowOff>127780</xdr:rowOff>
    </xdr:from>
    <xdr:to>
      <xdr:col>30</xdr:col>
      <xdr:colOff>1754186</xdr:colOff>
      <xdr:row>29</xdr:row>
      <xdr:rowOff>183313</xdr:rowOff>
    </xdr:to>
    <xdr:sp macro="" textlink="">
      <xdr:nvSpPr>
        <xdr:cNvPr id="20" name="타원 19"/>
        <xdr:cNvSpPr/>
      </xdr:nvSpPr>
      <xdr:spPr>
        <a:xfrm>
          <a:off x="29172755" y="6117100"/>
          <a:ext cx="74391" cy="5553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30</xdr:col>
      <xdr:colOff>1560335</xdr:colOff>
      <xdr:row>29</xdr:row>
      <xdr:rowOff>131859</xdr:rowOff>
    </xdr:from>
    <xdr:to>
      <xdr:col>30</xdr:col>
      <xdr:colOff>1633687</xdr:colOff>
      <xdr:row>29</xdr:row>
      <xdr:rowOff>184671</xdr:rowOff>
    </xdr:to>
    <xdr:sp macro="" textlink="">
      <xdr:nvSpPr>
        <xdr:cNvPr id="21" name="타원 20"/>
        <xdr:cNvSpPr/>
      </xdr:nvSpPr>
      <xdr:spPr>
        <a:xfrm>
          <a:off x="29053295" y="6121179"/>
          <a:ext cx="73352" cy="52812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107"/>
  <sheetViews>
    <sheetView tabSelected="1" zoomScale="70" zoomScaleNormal="70" workbookViewId="0">
      <selection activeCell="L8" sqref="L8"/>
    </sheetView>
  </sheetViews>
  <sheetFormatPr defaultColWidth="8.8984375" defaultRowHeight="14.4" x14ac:dyDescent="0.25"/>
  <cols>
    <col min="1" max="1" width="8.8984375" style="1"/>
    <col min="2" max="2" width="35.3984375" style="1" customWidth="1"/>
    <col min="3" max="3" width="7.796875" style="1" bestFit="1" customWidth="1"/>
    <col min="4" max="4" width="7.3984375" style="1" bestFit="1" customWidth="1"/>
    <col min="5" max="5" width="3.69921875" style="1" customWidth="1"/>
    <col min="6" max="13" width="12.59765625" style="1" customWidth="1"/>
    <col min="14" max="14" width="6.296875" style="1" customWidth="1"/>
    <col min="15" max="15" width="8.19921875" style="1" bestFit="1" customWidth="1"/>
    <col min="16" max="16" width="56.59765625" style="1" customWidth="1"/>
    <col min="17" max="17" width="5.3984375" style="1" customWidth="1"/>
    <col min="18" max="18" width="15.796875" style="1" bestFit="1" customWidth="1"/>
    <col min="19" max="19" width="12.8984375" style="1" bestFit="1" customWidth="1"/>
    <col min="20" max="20" width="12.8984375" style="1" customWidth="1"/>
    <col min="21" max="21" width="12.796875" style="1" bestFit="1" customWidth="1"/>
    <col min="22" max="22" width="18.8984375" style="1" bestFit="1" customWidth="1"/>
    <col min="23" max="23" width="20.69921875" style="1" bestFit="1" customWidth="1"/>
    <col min="24" max="25" width="8.8984375" style="1"/>
    <col min="26" max="26" width="4.69921875" style="1" customWidth="1"/>
    <col min="27" max="27" width="17.59765625" style="1" bestFit="1" customWidth="1"/>
    <col min="28" max="28" width="8.8984375" style="1"/>
    <col min="29" max="29" width="10.796875" style="1" bestFit="1" customWidth="1"/>
    <col min="30" max="30" width="4.19921875" style="1" customWidth="1"/>
    <col min="31" max="31" width="30" style="1" customWidth="1"/>
    <col min="32" max="16384" width="8.8984375" style="1"/>
  </cols>
  <sheetData>
    <row r="1" spans="2:33" ht="49.5" customHeight="1" thickBot="1" x14ac:dyDescent="0.3">
      <c r="B1" s="123" t="s">
        <v>311</v>
      </c>
      <c r="I1" s="268" t="s">
        <v>622</v>
      </c>
      <c r="J1" s="268" t="s">
        <v>625</v>
      </c>
      <c r="K1" s="268" t="s">
        <v>625</v>
      </c>
      <c r="L1" s="268" t="s">
        <v>625</v>
      </c>
      <c r="M1" s="268" t="s">
        <v>625</v>
      </c>
    </row>
    <row r="2" spans="2:33" ht="49.5" customHeight="1" x14ac:dyDescent="0.25">
      <c r="B2" s="106" t="s">
        <v>240</v>
      </c>
      <c r="C2" s="270" t="s">
        <v>579</v>
      </c>
      <c r="D2" s="271"/>
      <c r="E2" s="210"/>
      <c r="F2" s="272" t="s">
        <v>578</v>
      </c>
      <c r="G2" s="273"/>
      <c r="H2" s="263"/>
      <c r="I2" s="269" t="s">
        <v>628</v>
      </c>
      <c r="J2" s="269" t="s">
        <v>626</v>
      </c>
      <c r="K2" s="269" t="s">
        <v>627</v>
      </c>
      <c r="L2" s="269" t="s">
        <v>627</v>
      </c>
      <c r="M2" s="269" t="s">
        <v>627</v>
      </c>
      <c r="N2" s="107"/>
      <c r="O2" s="107" t="s">
        <v>294</v>
      </c>
      <c r="P2" s="107" t="s">
        <v>245</v>
      </c>
    </row>
    <row r="3" spans="2:33" ht="17.399999999999999" x14ac:dyDescent="0.25">
      <c r="B3" s="108" t="s">
        <v>18</v>
      </c>
      <c r="C3" s="171">
        <v>15</v>
      </c>
      <c r="D3" s="171">
        <v>15</v>
      </c>
      <c r="E3" s="214"/>
      <c r="F3" s="226">
        <v>10</v>
      </c>
      <c r="G3" s="214">
        <v>10</v>
      </c>
      <c r="H3" s="171"/>
      <c r="I3" s="171">
        <v>3.9</v>
      </c>
      <c r="J3" s="171">
        <v>2.2000000000000002</v>
      </c>
      <c r="K3" s="171">
        <v>2.2000000000000002</v>
      </c>
      <c r="L3" s="171">
        <v>1.6</v>
      </c>
      <c r="M3" s="171">
        <v>3</v>
      </c>
      <c r="N3" s="108" t="s">
        <v>1</v>
      </c>
      <c r="O3" s="109">
        <v>1</v>
      </c>
      <c r="P3" s="110" t="s">
        <v>243</v>
      </c>
      <c r="R3" s="274" t="s">
        <v>281</v>
      </c>
      <c r="S3" s="274"/>
      <c r="T3" s="274"/>
      <c r="U3" s="274"/>
      <c r="V3" s="170" t="s">
        <v>502</v>
      </c>
      <c r="W3" s="275" t="s">
        <v>241</v>
      </c>
      <c r="X3" s="275"/>
      <c r="Y3" s="275"/>
      <c r="Z3" s="170" t="s">
        <v>502</v>
      </c>
      <c r="AA3" s="275" t="s">
        <v>487</v>
      </c>
      <c r="AB3" s="275"/>
      <c r="AC3" s="275"/>
      <c r="AD3" s="170"/>
      <c r="AE3" s="274" t="s">
        <v>261</v>
      </c>
      <c r="AF3" s="274"/>
      <c r="AG3" s="274"/>
    </row>
    <row r="4" spans="2:33" ht="17.399999999999999" x14ac:dyDescent="0.25">
      <c r="B4" s="108" t="s">
        <v>498</v>
      </c>
      <c r="C4" s="171">
        <v>100</v>
      </c>
      <c r="D4" s="171">
        <v>220</v>
      </c>
      <c r="E4" s="214"/>
      <c r="F4" s="226">
        <v>220</v>
      </c>
      <c r="G4" s="214">
        <v>220</v>
      </c>
      <c r="H4" s="171"/>
      <c r="I4" s="171">
        <v>199.8</v>
      </c>
      <c r="J4" s="171">
        <v>167.3</v>
      </c>
      <c r="K4" s="171">
        <v>192.1</v>
      </c>
      <c r="L4" s="171">
        <v>163.5</v>
      </c>
      <c r="M4" s="171">
        <v>209</v>
      </c>
      <c r="N4" s="108" t="s">
        <v>0</v>
      </c>
      <c r="O4" s="109">
        <v>2</v>
      </c>
      <c r="P4" s="110" t="s">
        <v>244</v>
      </c>
      <c r="R4" s="166" t="s">
        <v>10</v>
      </c>
      <c r="S4" s="167">
        <v>2</v>
      </c>
      <c r="T4" s="167">
        <v>2</v>
      </c>
      <c r="U4" s="166" t="s">
        <v>11</v>
      </c>
      <c r="V4" s="170"/>
      <c r="W4" s="166" t="s">
        <v>20</v>
      </c>
      <c r="X4" s="167">
        <v>290</v>
      </c>
      <c r="Y4" s="166" t="s">
        <v>0</v>
      </c>
      <c r="Z4" s="170"/>
      <c r="AA4" s="166" t="s">
        <v>212</v>
      </c>
      <c r="AB4" s="66" t="s">
        <v>213</v>
      </c>
      <c r="AC4" s="66"/>
      <c r="AD4" s="170"/>
      <c r="AE4" s="68" t="s">
        <v>106</v>
      </c>
      <c r="AF4" s="167">
        <v>3.9</v>
      </c>
      <c r="AG4" s="68" t="s">
        <v>15</v>
      </c>
    </row>
    <row r="5" spans="2:33" ht="17.399999999999999" x14ac:dyDescent="0.25">
      <c r="B5" s="108" t="s">
        <v>73</v>
      </c>
      <c r="C5" s="132">
        <v>0.9</v>
      </c>
      <c r="D5" s="132">
        <v>0.9</v>
      </c>
      <c r="E5" s="215"/>
      <c r="F5" s="227">
        <v>0.9</v>
      </c>
      <c r="G5" s="215">
        <v>0.9</v>
      </c>
      <c r="H5" s="132"/>
      <c r="I5" s="132">
        <v>0.9</v>
      </c>
      <c r="J5" s="132">
        <v>0.9</v>
      </c>
      <c r="K5" s="132">
        <v>0.9</v>
      </c>
      <c r="L5" s="132">
        <v>0.9</v>
      </c>
      <c r="M5" s="132">
        <v>0.9</v>
      </c>
      <c r="N5" s="108"/>
      <c r="O5" s="109"/>
      <c r="P5" s="108" t="s">
        <v>476</v>
      </c>
      <c r="R5" s="166" t="s">
        <v>12</v>
      </c>
      <c r="S5" s="167">
        <v>50</v>
      </c>
      <c r="T5" s="167">
        <v>50</v>
      </c>
      <c r="U5" s="166" t="s">
        <v>13</v>
      </c>
      <c r="V5" s="170"/>
      <c r="W5" s="166" t="s">
        <v>21</v>
      </c>
      <c r="X5" s="167">
        <v>0.06</v>
      </c>
      <c r="Y5" s="166" t="s">
        <v>19</v>
      </c>
      <c r="Z5" s="170"/>
      <c r="AA5" s="73" t="s">
        <v>214</v>
      </c>
      <c r="AB5" s="74">
        <v>1.75</v>
      </c>
      <c r="AC5" s="73" t="s">
        <v>215</v>
      </c>
      <c r="AD5" s="170"/>
      <c r="AE5" s="68" t="s">
        <v>107</v>
      </c>
      <c r="AF5" s="167">
        <v>200</v>
      </c>
      <c r="AG5" s="68" t="s">
        <v>2</v>
      </c>
    </row>
    <row r="6" spans="2:33" ht="17.399999999999999" x14ac:dyDescent="0.25">
      <c r="B6" s="108" t="s">
        <v>64</v>
      </c>
      <c r="C6" s="112">
        <f t="shared" ref="C6:D6" si="0">ROUND(C3*1000/(C4*0.9)/(3^0.5)/C5,1)</f>
        <v>106.9</v>
      </c>
      <c r="D6" s="112">
        <f t="shared" si="0"/>
        <v>48.6</v>
      </c>
      <c r="E6" s="216"/>
      <c r="F6" s="228">
        <f t="shared" ref="F6:G6" si="1">ROUND(F3*1000/(F4*0.9)/(3^0.5)/F5,1)</f>
        <v>32.4</v>
      </c>
      <c r="G6" s="216">
        <f t="shared" si="1"/>
        <v>32.4</v>
      </c>
      <c r="H6" s="112"/>
      <c r="I6" s="112">
        <f t="shared" ref="I6" si="2">ROUND(I3*1000/(I4*0.9)/(3^0.5)/I5,1)</f>
        <v>13.9</v>
      </c>
      <c r="J6" s="112">
        <f t="shared" ref="J6:M6" si="3">ROUND(J3*1000/(J4*0.9)/(3^0.5)/J5,1)</f>
        <v>9.4</v>
      </c>
      <c r="K6" s="112">
        <f t="shared" si="3"/>
        <v>8.1999999999999993</v>
      </c>
      <c r="L6" s="112">
        <f t="shared" si="3"/>
        <v>7</v>
      </c>
      <c r="M6" s="112">
        <f t="shared" si="3"/>
        <v>10.199999999999999</v>
      </c>
      <c r="N6" s="108" t="s">
        <v>2</v>
      </c>
      <c r="O6" s="109"/>
      <c r="P6" s="108" t="s">
        <v>292</v>
      </c>
      <c r="R6" s="166" t="s">
        <v>14</v>
      </c>
      <c r="S6" s="167">
        <v>20</v>
      </c>
      <c r="T6" s="167">
        <v>20</v>
      </c>
      <c r="U6" s="166" t="s">
        <v>13</v>
      </c>
      <c r="V6" s="170"/>
      <c r="W6" s="166" t="s">
        <v>22</v>
      </c>
      <c r="X6" s="167">
        <v>8.1</v>
      </c>
      <c r="Y6" s="166" t="s">
        <v>23</v>
      </c>
      <c r="Z6" s="170"/>
      <c r="AA6" s="73" t="s">
        <v>216</v>
      </c>
      <c r="AB6" s="75">
        <v>3.8999999999999998E-3</v>
      </c>
      <c r="AC6" s="73" t="s">
        <v>217</v>
      </c>
      <c r="AD6" s="170"/>
      <c r="AE6" s="68" t="s">
        <v>108</v>
      </c>
      <c r="AF6" s="167">
        <v>1500</v>
      </c>
      <c r="AG6" s="68" t="s">
        <v>28</v>
      </c>
    </row>
    <row r="7" spans="2:33" ht="17.399999999999999" x14ac:dyDescent="0.25">
      <c r="B7" s="108" t="s">
        <v>51</v>
      </c>
      <c r="C7" s="111">
        <v>2</v>
      </c>
      <c r="D7" s="111">
        <v>2</v>
      </c>
      <c r="E7" s="217"/>
      <c r="F7" s="229">
        <v>2</v>
      </c>
      <c r="G7" s="217">
        <v>2</v>
      </c>
      <c r="H7" s="111"/>
      <c r="I7" s="111">
        <v>2</v>
      </c>
      <c r="J7" s="111">
        <v>2</v>
      </c>
      <c r="K7" s="111">
        <v>2</v>
      </c>
      <c r="L7" s="111">
        <v>2</v>
      </c>
      <c r="M7" s="111">
        <v>2</v>
      </c>
      <c r="N7" s="108" t="s">
        <v>74</v>
      </c>
      <c r="O7" s="109"/>
      <c r="P7" s="108"/>
      <c r="R7" s="166" t="s">
        <v>97</v>
      </c>
      <c r="S7" s="69">
        <f>(S5*S4)*(S5*S4)/(101.6*(4.5*S5+10*S6))</f>
        <v>0.23158869847151459</v>
      </c>
      <c r="T7" s="69">
        <f>(T5*T4)*(T5*T4)/(101.6*(4.5*T5+10*T6))</f>
        <v>0.23158869847151459</v>
      </c>
      <c r="U7" s="166" t="s">
        <v>15</v>
      </c>
      <c r="V7" s="170"/>
      <c r="W7" s="166" t="s">
        <v>24</v>
      </c>
      <c r="X7" s="167">
        <v>210000</v>
      </c>
      <c r="Y7" s="166" t="s">
        <v>25</v>
      </c>
      <c r="Z7" s="170"/>
      <c r="AA7" s="73" t="s">
        <v>218</v>
      </c>
      <c r="AB7" s="76">
        <v>45</v>
      </c>
      <c r="AC7" s="73" t="s">
        <v>48</v>
      </c>
      <c r="AD7" s="170"/>
      <c r="AE7" s="68" t="s">
        <v>285</v>
      </c>
      <c r="AF7" s="167">
        <v>600</v>
      </c>
      <c r="AG7" s="68" t="s">
        <v>0</v>
      </c>
    </row>
    <row r="8" spans="2:33" ht="17.399999999999999" x14ac:dyDescent="0.25">
      <c r="B8" s="108" t="s">
        <v>65</v>
      </c>
      <c r="C8" s="111">
        <f t="shared" ref="C8:D8" si="4">ROUND(C6/C7,0)</f>
        <v>53</v>
      </c>
      <c r="D8" s="111">
        <f t="shared" si="4"/>
        <v>24</v>
      </c>
      <c r="E8" s="217"/>
      <c r="F8" s="229">
        <f t="shared" ref="F8:G8" si="5">ROUND(F6/F7,0)</f>
        <v>16</v>
      </c>
      <c r="G8" s="217">
        <f t="shared" si="5"/>
        <v>16</v>
      </c>
      <c r="H8" s="111"/>
      <c r="I8" s="111">
        <f t="shared" ref="I8" si="6">ROUND(I6/I7,0)</f>
        <v>7</v>
      </c>
      <c r="J8" s="111">
        <f t="shared" ref="J8:M8" si="7">ROUND(J6/J7,0)</f>
        <v>5</v>
      </c>
      <c r="K8" s="111">
        <f t="shared" si="7"/>
        <v>4</v>
      </c>
      <c r="L8" s="111">
        <f t="shared" si="7"/>
        <v>4</v>
      </c>
      <c r="M8" s="111">
        <f t="shared" si="7"/>
        <v>5</v>
      </c>
      <c r="N8" s="108" t="s">
        <v>3</v>
      </c>
      <c r="O8" s="109"/>
      <c r="P8" s="108"/>
      <c r="R8" s="166" t="s">
        <v>98</v>
      </c>
      <c r="S8" s="167">
        <v>76</v>
      </c>
      <c r="T8" s="167">
        <v>76</v>
      </c>
      <c r="U8" s="166" t="s">
        <v>7</v>
      </c>
      <c r="V8" s="262"/>
      <c r="W8" s="166" t="s">
        <v>26</v>
      </c>
      <c r="X8" s="168">
        <f>(5000*X4)/(X5*X6*X7)</f>
        <v>14.207329022143837</v>
      </c>
      <c r="Y8" s="166" t="s">
        <v>242</v>
      </c>
      <c r="Z8" s="170"/>
      <c r="AA8" s="73" t="s">
        <v>219</v>
      </c>
      <c r="AB8" s="75">
        <f>AB5*(1+AB6*(AB7-20))</f>
        <v>1.9206249999999998</v>
      </c>
      <c r="AC8" s="73" t="s">
        <v>215</v>
      </c>
      <c r="AD8" s="170"/>
      <c r="AE8" s="68" t="s">
        <v>284</v>
      </c>
      <c r="AF8" s="168">
        <f>SQRT(AF7^2+AF4*AF5^2/AF6)</f>
        <v>600.08666040831133</v>
      </c>
      <c r="AG8" s="68" t="s">
        <v>0</v>
      </c>
    </row>
    <row r="9" spans="2:33" ht="17.399999999999999" x14ac:dyDescent="0.25">
      <c r="B9" s="108"/>
      <c r="C9" s="113"/>
      <c r="D9" s="113"/>
      <c r="E9" s="218"/>
      <c r="F9" s="230"/>
      <c r="G9" s="218"/>
      <c r="H9" s="113"/>
      <c r="I9" s="113"/>
      <c r="J9" s="113"/>
      <c r="K9" s="113"/>
      <c r="L9" s="113"/>
      <c r="M9" s="113"/>
      <c r="N9" s="108"/>
      <c r="O9" s="109"/>
      <c r="P9" s="108"/>
      <c r="R9" s="166" t="s">
        <v>95</v>
      </c>
      <c r="S9" s="69">
        <f>S7*S8/100</f>
        <v>0.17600741083835106</v>
      </c>
      <c r="T9" s="69">
        <f>T7*T8/100</f>
        <v>0.17600741083835106</v>
      </c>
      <c r="U9" s="166" t="s">
        <v>15</v>
      </c>
      <c r="V9" s="170"/>
      <c r="W9" s="170"/>
      <c r="X9" s="170"/>
      <c r="Y9" s="170"/>
      <c r="Z9" s="170"/>
      <c r="AA9" s="73" t="s">
        <v>220</v>
      </c>
      <c r="AB9" s="77">
        <f>1/(AB8/100000000)</f>
        <v>52066384.64041654</v>
      </c>
      <c r="AC9" s="73" t="s">
        <v>221</v>
      </c>
      <c r="AD9" s="170"/>
      <c r="AE9" s="170"/>
      <c r="AF9" s="170"/>
      <c r="AG9" s="170"/>
    </row>
    <row r="10" spans="2:33" ht="17.399999999999999" x14ac:dyDescent="0.25">
      <c r="B10" s="108" t="s">
        <v>16</v>
      </c>
      <c r="C10" s="112">
        <f t="shared" ref="C10:D10" si="8">ROUND(C4*2^0.5*0.93,1)</f>
        <v>131.5</v>
      </c>
      <c r="D10" s="112">
        <f t="shared" si="8"/>
        <v>289.3</v>
      </c>
      <c r="E10" s="216"/>
      <c r="F10" s="228">
        <f t="shared" ref="F10:G10" si="9">ROUND(F4*2^0.5*0.93,1)</f>
        <v>289.3</v>
      </c>
      <c r="G10" s="216">
        <f t="shared" si="9"/>
        <v>289.3</v>
      </c>
      <c r="H10" s="112"/>
      <c r="I10" s="112">
        <f t="shared" ref="I10" si="10">ROUND(I4*2^0.5*0.93,1)</f>
        <v>262.8</v>
      </c>
      <c r="J10" s="112">
        <f t="shared" ref="J10:M10" si="11">ROUND(J4*2^0.5*0.93,1)</f>
        <v>220</v>
      </c>
      <c r="K10" s="112">
        <f t="shared" si="11"/>
        <v>252.7</v>
      </c>
      <c r="L10" s="112">
        <f t="shared" si="11"/>
        <v>215</v>
      </c>
      <c r="M10" s="112">
        <f t="shared" si="11"/>
        <v>274.89999999999998</v>
      </c>
      <c r="N10" s="108" t="s">
        <v>0</v>
      </c>
      <c r="O10" s="109"/>
      <c r="P10" s="108" t="s">
        <v>291</v>
      </c>
      <c r="R10" s="68" t="s">
        <v>94</v>
      </c>
      <c r="S10" s="167">
        <v>0.13</v>
      </c>
      <c r="T10" s="167">
        <v>0</v>
      </c>
      <c r="U10" s="166" t="s">
        <v>15</v>
      </c>
      <c r="V10" s="170"/>
      <c r="W10" s="275" t="s">
        <v>503</v>
      </c>
      <c r="X10" s="275"/>
      <c r="Y10" s="275"/>
      <c r="Z10" s="170" t="s">
        <v>502</v>
      </c>
      <c r="AA10" s="73" t="s">
        <v>222</v>
      </c>
      <c r="AB10" s="66">
        <v>1</v>
      </c>
      <c r="AC10" s="73" t="s">
        <v>223</v>
      </c>
      <c r="AD10" s="170"/>
      <c r="AE10" s="274" t="s">
        <v>271</v>
      </c>
      <c r="AF10" s="274"/>
      <c r="AG10" s="274"/>
    </row>
    <row r="11" spans="2:33" ht="17.399999999999999" x14ac:dyDescent="0.25">
      <c r="B11" s="108" t="s">
        <v>17</v>
      </c>
      <c r="C11" s="112">
        <f t="shared" ref="C11:D11" si="12">ROUND(C3*1000/C10,1)</f>
        <v>114.1</v>
      </c>
      <c r="D11" s="112">
        <f t="shared" si="12"/>
        <v>51.8</v>
      </c>
      <c r="E11" s="216"/>
      <c r="F11" s="228">
        <f t="shared" ref="F11:G11" si="13">ROUND(F3*1000/F10,1)</f>
        <v>34.6</v>
      </c>
      <c r="G11" s="216">
        <f t="shared" si="13"/>
        <v>34.6</v>
      </c>
      <c r="H11" s="112"/>
      <c r="I11" s="112">
        <f t="shared" ref="I11" si="14">ROUND(I3*1000/I10,1)</f>
        <v>14.8</v>
      </c>
      <c r="J11" s="112">
        <f t="shared" ref="J11:M11" si="15">ROUND(J3*1000/J10,1)</f>
        <v>10</v>
      </c>
      <c r="K11" s="112">
        <f t="shared" si="15"/>
        <v>8.6999999999999993</v>
      </c>
      <c r="L11" s="112">
        <f t="shared" si="15"/>
        <v>7.4</v>
      </c>
      <c r="M11" s="112">
        <f t="shared" si="15"/>
        <v>10.9</v>
      </c>
      <c r="N11" s="108" t="s">
        <v>2</v>
      </c>
      <c r="O11" s="109"/>
      <c r="P11" s="108" t="s">
        <v>293</v>
      </c>
      <c r="R11" s="68" t="s">
        <v>282</v>
      </c>
      <c r="S11" s="167">
        <v>3</v>
      </c>
      <c r="T11" s="167">
        <v>3</v>
      </c>
      <c r="U11" s="166" t="s">
        <v>42</v>
      </c>
      <c r="V11" s="173"/>
      <c r="W11" s="166" t="s">
        <v>20</v>
      </c>
      <c r="X11" s="167">
        <v>1500</v>
      </c>
      <c r="Y11" s="166" t="s">
        <v>0</v>
      </c>
      <c r="AA11" s="73" t="s">
        <v>37</v>
      </c>
      <c r="AB11" s="78">
        <v>1000</v>
      </c>
      <c r="AC11" s="73" t="s">
        <v>224</v>
      </c>
      <c r="AD11" s="170"/>
      <c r="AE11" s="166" t="s">
        <v>108</v>
      </c>
      <c r="AF11" s="167">
        <v>1200</v>
      </c>
      <c r="AG11" s="166" t="s">
        <v>28</v>
      </c>
    </row>
    <row r="12" spans="2:33" ht="17.399999999999999" x14ac:dyDescent="0.25">
      <c r="B12" s="108"/>
      <c r="C12" s="113"/>
      <c r="D12" s="113"/>
      <c r="E12" s="218"/>
      <c r="F12" s="230"/>
      <c r="G12" s="218"/>
      <c r="H12" s="113"/>
      <c r="I12" s="113"/>
      <c r="J12" s="113"/>
      <c r="K12" s="113"/>
      <c r="L12" s="113"/>
      <c r="M12" s="113"/>
      <c r="N12" s="108"/>
      <c r="O12" s="109">
        <f>C16*2</f>
        <v>0</v>
      </c>
      <c r="P12" s="108"/>
      <c r="R12" s="68" t="s">
        <v>96</v>
      </c>
      <c r="S12" s="167">
        <v>1</v>
      </c>
      <c r="T12" s="167">
        <v>1</v>
      </c>
      <c r="U12" s="166" t="s">
        <v>66</v>
      </c>
      <c r="V12" s="170"/>
      <c r="W12" s="166" t="s">
        <v>21</v>
      </c>
      <c r="X12" s="167">
        <v>0.13</v>
      </c>
      <c r="Y12" s="166" t="s">
        <v>19</v>
      </c>
      <c r="AA12" s="73" t="s">
        <v>254</v>
      </c>
      <c r="AB12" s="90">
        <f>503.3*SQRT((AB8/100000000)/(AB10*AB11))*1000</f>
        <v>2.205709020034714</v>
      </c>
      <c r="AC12" s="73" t="s">
        <v>225</v>
      </c>
      <c r="AD12" s="170"/>
      <c r="AE12" s="166" t="s">
        <v>110</v>
      </c>
      <c r="AF12" s="167">
        <v>600</v>
      </c>
      <c r="AG12" s="166" t="s">
        <v>0</v>
      </c>
    </row>
    <row r="13" spans="2:33" ht="17.399999999999999" x14ac:dyDescent="0.25">
      <c r="B13" s="106" t="s">
        <v>239</v>
      </c>
      <c r="C13" s="113"/>
      <c r="D13" s="113"/>
      <c r="E13" s="218"/>
      <c r="F13" s="230"/>
      <c r="G13" s="218"/>
      <c r="H13" s="113"/>
      <c r="I13" s="113"/>
      <c r="J13" s="113"/>
      <c r="K13" s="113"/>
      <c r="L13" s="113"/>
      <c r="M13" s="113"/>
      <c r="N13" s="108"/>
      <c r="O13" s="109">
        <f>O12/3</f>
        <v>0</v>
      </c>
      <c r="P13" s="108"/>
      <c r="R13" s="68" t="s">
        <v>99</v>
      </c>
      <c r="S13" s="79">
        <v>1</v>
      </c>
      <c r="T13" s="79">
        <v>1</v>
      </c>
      <c r="U13" s="166" t="s">
        <v>67</v>
      </c>
      <c r="V13" s="170"/>
      <c r="W13" s="166" t="s">
        <v>22</v>
      </c>
      <c r="X13" s="167">
        <v>11.1</v>
      </c>
      <c r="Y13" s="166" t="s">
        <v>23</v>
      </c>
      <c r="AA13" s="73" t="s">
        <v>255</v>
      </c>
      <c r="AB13" s="84">
        <v>6126</v>
      </c>
      <c r="AC13" s="73" t="s">
        <v>225</v>
      </c>
      <c r="AD13" s="170"/>
      <c r="AE13" s="166" t="s">
        <v>107</v>
      </c>
      <c r="AF13" s="167">
        <v>250</v>
      </c>
      <c r="AG13" s="166" t="s">
        <v>2</v>
      </c>
    </row>
    <row r="14" spans="2:33" ht="17.399999999999999" x14ac:dyDescent="0.25">
      <c r="B14" s="108" t="s">
        <v>75</v>
      </c>
      <c r="C14" s="211">
        <f t="shared" ref="C14:D14" si="16">C15+C16</f>
        <v>0.17724999999999999</v>
      </c>
      <c r="D14" s="211">
        <f t="shared" si="16"/>
        <v>0.17660999999999999</v>
      </c>
      <c r="E14" s="219"/>
      <c r="F14" s="231">
        <f t="shared" ref="F14:G14" si="17">F15+F16</f>
        <v>0.47724999999999995</v>
      </c>
      <c r="G14" s="264">
        <f t="shared" si="17"/>
        <v>0.47660999999999998</v>
      </c>
      <c r="H14" s="211"/>
      <c r="I14" s="211">
        <f t="shared" ref="I14" si="18">I15+I16</f>
        <v>0.21611</v>
      </c>
      <c r="J14" s="211">
        <f t="shared" ref="J14:M14" si="19">J15+J16</f>
        <v>0.21260999999999999</v>
      </c>
      <c r="K14" s="211">
        <f t="shared" si="19"/>
        <v>0.20860999999999999</v>
      </c>
      <c r="L14" s="211">
        <f t="shared" si="19"/>
        <v>0.20960999999999999</v>
      </c>
      <c r="M14" s="211">
        <f t="shared" si="19"/>
        <v>0.20920999999999998</v>
      </c>
      <c r="N14" s="108" t="s">
        <v>15</v>
      </c>
      <c r="O14" s="109">
        <v>3</v>
      </c>
      <c r="P14" s="110" t="s">
        <v>289</v>
      </c>
      <c r="R14" s="68" t="s">
        <v>283</v>
      </c>
      <c r="S14" s="89">
        <f>S9/S12*S13*S11^2+S10</f>
        <v>1.7140666975451597</v>
      </c>
      <c r="T14" s="89">
        <f>T9/T12*T13*T11^2+T10</f>
        <v>1.5840666975451596</v>
      </c>
      <c r="U14" s="166" t="s">
        <v>15</v>
      </c>
      <c r="V14" s="170"/>
      <c r="W14" s="166" t="s">
        <v>24</v>
      </c>
      <c r="X14" s="167">
        <v>230000</v>
      </c>
      <c r="Y14" s="166" t="s">
        <v>25</v>
      </c>
      <c r="AA14" s="73" t="s">
        <v>280</v>
      </c>
      <c r="AB14" s="84">
        <v>5</v>
      </c>
      <c r="AC14" s="73" t="s">
        <v>225</v>
      </c>
      <c r="AD14" s="170"/>
      <c r="AE14" s="166" t="s">
        <v>112</v>
      </c>
      <c r="AF14" s="167">
        <v>30000</v>
      </c>
      <c r="AG14" s="166" t="s">
        <v>25</v>
      </c>
    </row>
    <row r="15" spans="2:33" ht="17.399999999999999" x14ac:dyDescent="0.25">
      <c r="B15" s="108" t="s">
        <v>576</v>
      </c>
      <c r="C15" s="209">
        <v>0.17724999999999999</v>
      </c>
      <c r="D15" s="209">
        <v>0.17660999999999999</v>
      </c>
      <c r="E15" s="219"/>
      <c r="F15" s="232">
        <v>0.17724999999999999</v>
      </c>
      <c r="G15" s="219">
        <v>0.17660999999999999</v>
      </c>
      <c r="H15" s="209"/>
      <c r="I15" s="209">
        <v>0.17660999999999999</v>
      </c>
      <c r="J15" s="209">
        <v>0.17660999999999999</v>
      </c>
      <c r="K15" s="209">
        <v>0.17660999999999999</v>
      </c>
      <c r="L15" s="209">
        <v>0.17660999999999999</v>
      </c>
      <c r="M15" s="209">
        <v>0.17660999999999999</v>
      </c>
      <c r="N15" s="108"/>
      <c r="O15" s="109"/>
      <c r="P15" s="110"/>
      <c r="R15" s="205"/>
      <c r="S15" s="206"/>
      <c r="T15" s="206"/>
      <c r="U15" s="207"/>
      <c r="V15" s="189">
        <f>C15/4</f>
        <v>4.4312499999999998E-2</v>
      </c>
      <c r="W15" s="166"/>
      <c r="X15" s="167"/>
      <c r="Y15" s="166"/>
      <c r="AA15" s="73"/>
      <c r="AB15" s="84"/>
      <c r="AC15" s="73"/>
      <c r="AD15" s="189"/>
      <c r="AE15" s="166"/>
      <c r="AF15" s="167"/>
      <c r="AG15" s="166"/>
    </row>
    <row r="16" spans="2:33" ht="17.399999999999999" x14ac:dyDescent="0.25">
      <c r="B16" s="108" t="s">
        <v>577</v>
      </c>
      <c r="C16" s="172">
        <v>0</v>
      </c>
      <c r="D16" s="172">
        <v>0</v>
      </c>
      <c r="E16" s="220"/>
      <c r="F16" s="233">
        <v>0.3</v>
      </c>
      <c r="G16" s="220">
        <v>0.3</v>
      </c>
      <c r="H16" s="172"/>
      <c r="I16" s="208">
        <v>3.95E-2</v>
      </c>
      <c r="J16" s="208">
        <v>3.5999999999999997E-2</v>
      </c>
      <c r="K16" s="208">
        <v>3.2000000000000001E-2</v>
      </c>
      <c r="L16" s="208">
        <v>3.3000000000000002E-2</v>
      </c>
      <c r="M16" s="208">
        <v>3.2599999999999997E-2</v>
      </c>
      <c r="N16" s="108"/>
      <c r="O16" s="109"/>
      <c r="P16" s="110"/>
      <c r="R16" s="205"/>
      <c r="S16" s="206"/>
      <c r="T16" s="206"/>
      <c r="U16" s="207"/>
      <c r="V16" s="189">
        <f>V15*9</f>
        <v>0.39881249999999996</v>
      </c>
      <c r="W16" s="166"/>
      <c r="X16" s="167"/>
      <c r="Y16" s="166"/>
      <c r="AA16" s="73"/>
      <c r="AB16" s="84"/>
      <c r="AC16" s="73"/>
      <c r="AD16" s="189"/>
      <c r="AE16" s="166"/>
      <c r="AF16" s="167"/>
      <c r="AG16" s="166"/>
    </row>
    <row r="17" spans="2:33" ht="17.399999999999999" x14ac:dyDescent="0.25">
      <c r="B17" s="108" t="s">
        <v>76</v>
      </c>
      <c r="C17" s="208">
        <v>3.5739999999999998</v>
      </c>
      <c r="D17" s="208">
        <v>3.5870000000000002</v>
      </c>
      <c r="E17" s="221"/>
      <c r="F17" s="234">
        <v>0.99</v>
      </c>
      <c r="G17" s="221">
        <v>0.99</v>
      </c>
      <c r="H17" s="208"/>
      <c r="I17" s="208">
        <v>0.99</v>
      </c>
      <c r="J17" s="208">
        <v>0.99</v>
      </c>
      <c r="K17" s="208">
        <v>0.99</v>
      </c>
      <c r="L17" s="208">
        <v>0.99</v>
      </c>
      <c r="M17" s="208">
        <v>0.99</v>
      </c>
      <c r="N17" s="108" t="s">
        <v>28</v>
      </c>
      <c r="O17" s="109">
        <v>4</v>
      </c>
      <c r="P17" s="110" t="s">
        <v>290</v>
      </c>
      <c r="Q17" s="2"/>
      <c r="R17" s="170"/>
      <c r="S17" s="170"/>
      <c r="T17" s="189"/>
      <c r="U17" s="170"/>
      <c r="V17" s="170"/>
      <c r="W17" s="166" t="s">
        <v>26</v>
      </c>
      <c r="X17" s="168">
        <f>(5000*X11)/(X12*X13*X14)</f>
        <v>22.597848684805207</v>
      </c>
      <c r="Y17" s="166" t="s">
        <v>242</v>
      </c>
      <c r="AA17" s="73" t="s">
        <v>278</v>
      </c>
      <c r="AB17" s="85">
        <f>MIN(AB12,AB14)</f>
        <v>2.205709020034714</v>
      </c>
      <c r="AC17" s="73" t="s">
        <v>225</v>
      </c>
      <c r="AD17" s="170"/>
      <c r="AE17" s="166" t="s">
        <v>113</v>
      </c>
      <c r="AF17" s="69">
        <f>(1.414*AF13*0.421)/(2*3.14159*AF14*AF12*2*AF11*0.000001)*2*100</f>
        <v>0.10965747999980666</v>
      </c>
      <c r="AG17" s="166" t="s">
        <v>7</v>
      </c>
    </row>
    <row r="18" spans="2:33" ht="17.399999999999999" x14ac:dyDescent="0.25">
      <c r="B18" s="108" t="s">
        <v>77</v>
      </c>
      <c r="C18" s="212">
        <f t="shared" ref="C18:D18" si="20">1000/(2*PI()*(C14*C17)^0.5)</f>
        <v>199.96304230331648</v>
      </c>
      <c r="D18" s="212">
        <f t="shared" si="20"/>
        <v>199.96168974697954</v>
      </c>
      <c r="E18" s="216"/>
      <c r="F18" s="235">
        <f t="shared" ref="F18:G18" si="21">1000/(2*PI()*(F14*F17)^0.5)</f>
        <v>231.54188564862284</v>
      </c>
      <c r="G18" s="265">
        <f t="shared" si="21"/>
        <v>231.69729268293554</v>
      </c>
      <c r="H18" s="212"/>
      <c r="I18" s="212">
        <f t="shared" ref="I18" si="22">1000/(2*PI()*(I14*I17)^0.5)</f>
        <v>344.08449469742118</v>
      </c>
      <c r="J18" s="212">
        <f t="shared" ref="J18:M18" si="23">1000/(2*PI()*(J14*J17)^0.5)</f>
        <v>346.90510476464203</v>
      </c>
      <c r="K18" s="212">
        <f t="shared" si="23"/>
        <v>350.21518503999903</v>
      </c>
      <c r="L18" s="212">
        <f t="shared" si="23"/>
        <v>349.37878915488636</v>
      </c>
      <c r="M18" s="212">
        <f t="shared" si="23"/>
        <v>349.71262783327182</v>
      </c>
      <c r="N18" s="108" t="s">
        <v>4</v>
      </c>
      <c r="O18" s="109"/>
      <c r="P18" s="108" t="s">
        <v>247</v>
      </c>
      <c r="R18" s="274" t="s">
        <v>226</v>
      </c>
      <c r="S18" s="274"/>
      <c r="T18" s="274"/>
      <c r="U18" s="274"/>
      <c r="V18" s="170" t="s">
        <v>502</v>
      </c>
      <c r="W18" s="2"/>
      <c r="AA18" s="73" t="s">
        <v>276</v>
      </c>
      <c r="AB18" s="84">
        <v>200</v>
      </c>
      <c r="AC18" s="73" t="s">
        <v>225</v>
      </c>
      <c r="AD18" s="170"/>
      <c r="AE18" s="166" t="s">
        <v>109</v>
      </c>
      <c r="AF18" s="168">
        <f>AF12*AF17/100</f>
        <v>0.65794487999883999</v>
      </c>
      <c r="AG18" s="166" t="s">
        <v>0</v>
      </c>
    </row>
    <row r="19" spans="2:33" ht="17.399999999999999" x14ac:dyDescent="0.25">
      <c r="B19" s="108" t="s">
        <v>78</v>
      </c>
      <c r="C19" s="171">
        <v>30</v>
      </c>
      <c r="D19" s="171">
        <v>30</v>
      </c>
      <c r="E19" s="214"/>
      <c r="F19" s="226">
        <v>30</v>
      </c>
      <c r="G19" s="214">
        <v>30</v>
      </c>
      <c r="H19" s="171"/>
      <c r="I19" s="171">
        <v>30</v>
      </c>
      <c r="J19" s="171">
        <v>30</v>
      </c>
      <c r="K19" s="171">
        <v>30</v>
      </c>
      <c r="L19" s="171">
        <v>30</v>
      </c>
      <c r="M19" s="171">
        <v>30</v>
      </c>
      <c r="N19" s="108" t="s">
        <v>79</v>
      </c>
      <c r="O19" s="109">
        <v>5</v>
      </c>
      <c r="P19" s="110" t="s">
        <v>272</v>
      </c>
      <c r="R19" s="80" t="s">
        <v>231</v>
      </c>
      <c r="S19" s="81">
        <v>0.66</v>
      </c>
      <c r="T19" s="81">
        <v>1</v>
      </c>
      <c r="U19" s="80" t="s">
        <v>28</v>
      </c>
      <c r="V19" s="170"/>
      <c r="W19" s="275" t="s">
        <v>500</v>
      </c>
      <c r="X19" s="275"/>
      <c r="Y19" s="275"/>
      <c r="AA19" s="73" t="s">
        <v>275</v>
      </c>
      <c r="AB19" s="90">
        <f>AB17*AB18</f>
        <v>441.14180400694283</v>
      </c>
      <c r="AC19" s="73" t="s">
        <v>251</v>
      </c>
      <c r="AD19" s="170"/>
      <c r="AE19" s="166" t="s">
        <v>111</v>
      </c>
      <c r="AF19" s="168">
        <f>2*3.14159*AF14*AF11*0.000001*AF18</f>
        <v>148.82350000000002</v>
      </c>
      <c r="AG19" s="166" t="s">
        <v>2</v>
      </c>
    </row>
    <row r="20" spans="2:33" ht="17.399999999999999" x14ac:dyDescent="0.25">
      <c r="B20" s="108" t="s">
        <v>80</v>
      </c>
      <c r="C20" s="111">
        <f t="shared" ref="C20:D20" si="24">ROUNDUP(TAN(PI()*C19/180),3)</f>
        <v>0.57799999999999996</v>
      </c>
      <c r="D20" s="111">
        <f t="shared" si="24"/>
        <v>0.57799999999999996</v>
      </c>
      <c r="E20" s="217"/>
      <c r="F20" s="229">
        <f t="shared" ref="F20:G20" si="25">ROUNDUP(TAN(PI()*F19/180),3)</f>
        <v>0.57799999999999996</v>
      </c>
      <c r="G20" s="217">
        <f t="shared" si="25"/>
        <v>0.57799999999999996</v>
      </c>
      <c r="H20" s="111"/>
      <c r="I20" s="111">
        <f t="shared" ref="I20" si="26">ROUNDUP(TAN(PI()*I19/180),3)</f>
        <v>0.57799999999999996</v>
      </c>
      <c r="J20" s="111">
        <f t="shared" ref="J20:M20" si="27">ROUNDUP(TAN(PI()*J19/180),3)</f>
        <v>0.57799999999999996</v>
      </c>
      <c r="K20" s="111">
        <f t="shared" si="27"/>
        <v>0.57799999999999996</v>
      </c>
      <c r="L20" s="111">
        <f t="shared" si="27"/>
        <v>0.57799999999999996</v>
      </c>
      <c r="M20" s="111">
        <f t="shared" si="27"/>
        <v>0.57799999999999996</v>
      </c>
      <c r="N20" s="108"/>
      <c r="O20" s="109"/>
      <c r="P20" s="108"/>
      <c r="R20" s="80" t="s">
        <v>227</v>
      </c>
      <c r="S20" s="81">
        <v>1</v>
      </c>
      <c r="T20" s="81">
        <v>1</v>
      </c>
      <c r="U20" s="80" t="s">
        <v>234</v>
      </c>
      <c r="V20" s="170"/>
      <c r="W20" s="166" t="s">
        <v>27</v>
      </c>
      <c r="X20" s="167">
        <v>6.7</v>
      </c>
      <c r="Y20" s="166" t="s">
        <v>28</v>
      </c>
      <c r="AA20" s="73" t="s">
        <v>256</v>
      </c>
      <c r="AB20" s="84">
        <v>1000</v>
      </c>
      <c r="AC20" s="67" t="s">
        <v>252</v>
      </c>
      <c r="AD20" s="170"/>
      <c r="AE20" s="170"/>
    </row>
    <row r="21" spans="2:33" ht="17.399999999999999" x14ac:dyDescent="0.25">
      <c r="B21" s="108"/>
      <c r="C21" s="113"/>
      <c r="D21" s="113"/>
      <c r="E21" s="218"/>
      <c r="F21" s="230">
        <f>(F23/C23)^0.5*C22</f>
        <v>99.955723627447199</v>
      </c>
      <c r="G21" s="218">
        <f>(G23/D23)^0.5*D22</f>
        <v>85.888323790502113</v>
      </c>
      <c r="H21" s="113"/>
      <c r="I21" s="113"/>
      <c r="J21" s="113"/>
      <c r="K21" s="113"/>
      <c r="L21" s="113"/>
      <c r="M21" s="113"/>
      <c r="N21" s="108"/>
      <c r="O21" s="109"/>
      <c r="P21" s="108"/>
      <c r="R21" s="80" t="s">
        <v>229</v>
      </c>
      <c r="S21" s="81">
        <v>700</v>
      </c>
      <c r="T21" s="81">
        <v>600</v>
      </c>
      <c r="U21" s="80" t="s">
        <v>0</v>
      </c>
      <c r="V21" s="170"/>
      <c r="W21" s="166" t="s">
        <v>29</v>
      </c>
      <c r="X21" s="167">
        <v>4.42</v>
      </c>
      <c r="Y21" s="166" t="s">
        <v>15</v>
      </c>
      <c r="AA21" s="73" t="s">
        <v>490</v>
      </c>
      <c r="AB21" s="86">
        <f>AB20/AB19</f>
        <v>2.2668447898541522</v>
      </c>
      <c r="AC21" s="67" t="s">
        <v>252</v>
      </c>
      <c r="AD21" s="170"/>
      <c r="AE21" s="274" t="s">
        <v>485</v>
      </c>
      <c r="AF21" s="274"/>
      <c r="AG21" s="274"/>
    </row>
    <row r="22" spans="2:33" ht="17.399999999999999" x14ac:dyDescent="0.25">
      <c r="B22" s="108" t="s">
        <v>41</v>
      </c>
      <c r="C22" s="172">
        <v>92.9</v>
      </c>
      <c r="D22" s="172">
        <v>79.8</v>
      </c>
      <c r="E22" s="220"/>
      <c r="F22" s="233">
        <v>100</v>
      </c>
      <c r="G22" s="220">
        <v>85.9</v>
      </c>
      <c r="H22" s="172"/>
      <c r="I22" s="172">
        <v>58.38</v>
      </c>
      <c r="J22" s="172">
        <v>59.67</v>
      </c>
      <c r="K22" s="172">
        <v>50.53</v>
      </c>
      <c r="L22" s="172">
        <v>50.71</v>
      </c>
      <c r="M22" s="172">
        <v>49.1</v>
      </c>
      <c r="N22" s="108"/>
      <c r="O22" s="109">
        <v>6</v>
      </c>
      <c r="P22" s="110" t="s">
        <v>621</v>
      </c>
      <c r="R22" s="80" t="s">
        <v>230</v>
      </c>
      <c r="S22" s="81">
        <v>500</v>
      </c>
      <c r="T22" s="81">
        <v>750</v>
      </c>
      <c r="U22" s="80" t="s">
        <v>2</v>
      </c>
      <c r="V22" s="170"/>
      <c r="W22" s="166" t="s">
        <v>30</v>
      </c>
      <c r="X22" s="168">
        <f>1/(2*3.14*SQRT((X20/1000000)*(X21/1000000)))</f>
        <v>29261.17895792114</v>
      </c>
      <c r="Y22" s="166" t="s">
        <v>31</v>
      </c>
      <c r="AA22" s="73" t="s">
        <v>257</v>
      </c>
      <c r="AB22" s="86">
        <f>AB8/100000000*(AB20^2)/(AB19/1000000)*AB13/1000</f>
        <v>266.71126252670501</v>
      </c>
      <c r="AC22" s="67" t="s">
        <v>253</v>
      </c>
      <c r="AD22" s="170"/>
      <c r="AE22" s="134" t="s">
        <v>479</v>
      </c>
      <c r="AF22" s="108">
        <v>0.9133</v>
      </c>
      <c r="AG22" s="108" t="s">
        <v>478</v>
      </c>
    </row>
    <row r="23" spans="2:33" ht="17.399999999999999" x14ac:dyDescent="0.25">
      <c r="B23" s="108" t="s">
        <v>81</v>
      </c>
      <c r="C23" s="165">
        <f t="shared" ref="C23:D23" si="28">C18*((C20/C22)+(((C20/C22)^2+4)^0.5))/2</f>
        <v>200.58606928494177</v>
      </c>
      <c r="D23" s="165">
        <f t="shared" si="28"/>
        <v>200.68717309099858</v>
      </c>
      <c r="E23" s="222"/>
      <c r="F23" s="236">
        <f t="shared" ref="F23:G23" si="29">F18*((F20/F22)+(((F20/F22)^2+4)^0.5))/2</f>
        <v>232.21200862661996</v>
      </c>
      <c r="G23" s="222">
        <f t="shared" si="29"/>
        <v>232.47812105878401</v>
      </c>
      <c r="H23" s="165"/>
      <c r="I23" s="165">
        <f t="shared" ref="I23" si="30">I18*((I20/I22)+(((I20/I22)^2+4)^0.5))/2</f>
        <v>345.79204092349596</v>
      </c>
      <c r="J23" s="165">
        <f t="shared" ref="J23:M23" si="31">J18*((J20/J22)+(((J20/J22)^2+4)^0.5))/2</f>
        <v>348.589340695761</v>
      </c>
      <c r="K23" s="165">
        <f t="shared" si="31"/>
        <v>352.22392482470326</v>
      </c>
      <c r="L23" s="165">
        <f t="shared" si="31"/>
        <v>351.37559820196918</v>
      </c>
      <c r="M23" s="165">
        <f t="shared" si="31"/>
        <v>351.77707557714211</v>
      </c>
      <c r="N23" s="108" t="s">
        <v>4</v>
      </c>
      <c r="O23" s="109"/>
      <c r="P23" s="115" t="s">
        <v>270</v>
      </c>
      <c r="R23" s="80" t="s">
        <v>228</v>
      </c>
      <c r="S23" s="81">
        <v>1</v>
      </c>
      <c r="T23" s="81">
        <v>1</v>
      </c>
      <c r="U23" s="80" t="s">
        <v>234</v>
      </c>
      <c r="V23" s="170"/>
      <c r="W23" s="170"/>
      <c r="X23" s="170"/>
      <c r="Y23" s="170"/>
      <c r="AA23" s="170"/>
      <c r="AB23" s="170"/>
      <c r="AC23" s="170"/>
      <c r="AD23" s="170"/>
      <c r="AE23" s="80" t="s">
        <v>480</v>
      </c>
      <c r="AF23" s="122">
        <v>3</v>
      </c>
      <c r="AG23" s="108" t="s">
        <v>327</v>
      </c>
    </row>
    <row r="24" spans="2:33" ht="17.399999999999999" x14ac:dyDescent="0.25">
      <c r="B24" s="108" t="s">
        <v>310</v>
      </c>
      <c r="C24" s="111">
        <f t="shared" ref="C24:D24" si="32">2*PI()*C18*C14</f>
        <v>222.69775955245044</v>
      </c>
      <c r="D24" s="111">
        <f t="shared" si="32"/>
        <v>221.89215955311673</v>
      </c>
      <c r="E24" s="217"/>
      <c r="F24" s="229">
        <f t="shared" ref="F24:G24" si="33">2*PI()*F18*F14</f>
        <v>694.31311889572351</v>
      </c>
      <c r="G24" s="217">
        <f t="shared" si="33"/>
        <v>693.84742013229561</v>
      </c>
      <c r="H24" s="111"/>
      <c r="I24" s="111">
        <f t="shared" ref="I24" si="34">2*PI()*I18*I14</f>
        <v>467.21828869697447</v>
      </c>
      <c r="J24" s="111">
        <f t="shared" ref="J24:M24" si="35">2*PI()*J18*J14</f>
        <v>463.41943826039039</v>
      </c>
      <c r="K24" s="111">
        <f t="shared" si="35"/>
        <v>459.039401050903</v>
      </c>
      <c r="L24" s="111">
        <f t="shared" si="35"/>
        <v>460.13831912510034</v>
      </c>
      <c r="M24" s="111">
        <f t="shared" si="35"/>
        <v>459.69906713330664</v>
      </c>
      <c r="N24" s="108" t="s">
        <v>83</v>
      </c>
      <c r="O24" s="109"/>
      <c r="P24" s="108"/>
      <c r="R24" s="80" t="s">
        <v>235</v>
      </c>
      <c r="S24" s="81">
        <v>2</v>
      </c>
      <c r="T24" s="81">
        <v>2</v>
      </c>
      <c r="U24" s="80" t="s">
        <v>67</v>
      </c>
      <c r="V24" s="170"/>
      <c r="W24" s="275" t="s">
        <v>248</v>
      </c>
      <c r="X24" s="275"/>
      <c r="Y24" s="275"/>
      <c r="AA24" s="275" t="s">
        <v>488</v>
      </c>
      <c r="AB24" s="275"/>
      <c r="AC24" s="275"/>
      <c r="AD24" s="170"/>
      <c r="AE24" s="80" t="s">
        <v>481</v>
      </c>
      <c r="AF24" s="133">
        <f>AF22*AF23</f>
        <v>2.7399</v>
      </c>
      <c r="AG24" s="108" t="s">
        <v>478</v>
      </c>
    </row>
    <row r="25" spans="2:33" ht="17.399999999999999" x14ac:dyDescent="0.25">
      <c r="B25" s="108" t="s">
        <v>82</v>
      </c>
      <c r="C25" s="111">
        <f t="shared" ref="C25:D25" si="36">2*PI()*C23*C14</f>
        <v>223.39162133486033</v>
      </c>
      <c r="D25" s="111">
        <f t="shared" si="36"/>
        <v>222.69720909099522</v>
      </c>
      <c r="E25" s="217"/>
      <c r="F25" s="229">
        <f t="shared" ref="F25:G25" si="37">2*PI()*F23*F14</f>
        <v>696.32258328957812</v>
      </c>
      <c r="G25" s="217">
        <f t="shared" si="37"/>
        <v>696.18571139101107</v>
      </c>
      <c r="H25" s="111"/>
      <c r="I25" s="111">
        <f t="shared" ref="I25" si="38">2*PI()*I23*I14</f>
        <v>469.53689600974855</v>
      </c>
      <c r="J25" s="111">
        <f t="shared" ref="J25:M25" si="39">2*PI()*J23*J14</f>
        <v>465.66935519264962</v>
      </c>
      <c r="K25" s="111">
        <f t="shared" si="39"/>
        <v>461.67232716897649</v>
      </c>
      <c r="L25" s="111">
        <f t="shared" si="39"/>
        <v>462.76815352564023</v>
      </c>
      <c r="M25" s="111">
        <f t="shared" si="39"/>
        <v>462.41279442386099</v>
      </c>
      <c r="N25" s="108" t="s">
        <v>83</v>
      </c>
      <c r="O25" s="109"/>
      <c r="P25" s="108"/>
      <c r="R25" s="80" t="s">
        <v>236</v>
      </c>
      <c r="S25" s="81">
        <v>3</v>
      </c>
      <c r="T25" s="81">
        <v>3</v>
      </c>
      <c r="U25" s="80" t="s">
        <v>66</v>
      </c>
      <c r="V25" s="170"/>
      <c r="W25" s="166" t="s">
        <v>32</v>
      </c>
      <c r="X25" s="167">
        <v>10</v>
      </c>
      <c r="Y25" s="166" t="s">
        <v>33</v>
      </c>
      <c r="AA25" s="166" t="s">
        <v>212</v>
      </c>
      <c r="AB25" s="66" t="s">
        <v>213</v>
      </c>
      <c r="AC25" s="66"/>
      <c r="AD25" s="170"/>
      <c r="AE25" s="80"/>
      <c r="AF25" s="108"/>
      <c r="AG25" s="108"/>
    </row>
    <row r="26" spans="2:33" ht="17.399999999999999" x14ac:dyDescent="0.25">
      <c r="B26" s="108" t="s">
        <v>84</v>
      </c>
      <c r="C26" s="111">
        <f t="shared" ref="C26:D26" si="40">1000000/(2*PI()*C23*C17)</f>
        <v>222.00605292774171</v>
      </c>
      <c r="D26" s="111">
        <f t="shared" si="40"/>
        <v>221.09002026616176</v>
      </c>
      <c r="E26" s="217"/>
      <c r="F26" s="229">
        <f t="shared" ref="F26:G26" si="41">1000000/(2*PI()*F23*F17)</f>
        <v>692.30945346236081</v>
      </c>
      <c r="G26" s="217">
        <f t="shared" si="41"/>
        <v>691.51698253377629</v>
      </c>
      <c r="H26" s="111"/>
      <c r="I26" s="111">
        <f t="shared" ref="I26" si="42">1000000/(2*PI()*I23*I17)</f>
        <v>464.91113083559918</v>
      </c>
      <c r="J26" s="111">
        <f t="shared" ref="J26:M26" si="43">1000000/(2*PI()*J23*J17)</f>
        <v>461.18039197303312</v>
      </c>
      <c r="K26" s="111">
        <f t="shared" si="43"/>
        <v>456.42149056087391</v>
      </c>
      <c r="L26" s="111">
        <f t="shared" si="43"/>
        <v>457.52342963579002</v>
      </c>
      <c r="M26" s="111">
        <f t="shared" si="43"/>
        <v>457.00126569060131</v>
      </c>
      <c r="N26" s="108" t="s">
        <v>83</v>
      </c>
      <c r="O26" s="109"/>
      <c r="P26" s="108"/>
      <c r="R26" s="80" t="s">
        <v>262</v>
      </c>
      <c r="S26" s="88">
        <f>S19*(S23/S20)*S25/S24</f>
        <v>0.99</v>
      </c>
      <c r="T26" s="88">
        <f>T19*(T23/T20)*T25/T24</f>
        <v>1.5</v>
      </c>
      <c r="U26" s="80" t="s">
        <v>28</v>
      </c>
      <c r="V26" s="170"/>
      <c r="W26" s="166" t="s">
        <v>34</v>
      </c>
      <c r="X26" s="167">
        <v>29.2</v>
      </c>
      <c r="Y26" s="166" t="s">
        <v>4</v>
      </c>
      <c r="AA26" s="73" t="s">
        <v>214</v>
      </c>
      <c r="AB26" s="74">
        <v>1.75</v>
      </c>
      <c r="AC26" s="73" t="s">
        <v>215</v>
      </c>
      <c r="AD26" s="170"/>
      <c r="AE26" s="134" t="s">
        <v>482</v>
      </c>
      <c r="AF26" s="108">
        <v>0.48</v>
      </c>
      <c r="AG26" s="108" t="s">
        <v>478</v>
      </c>
    </row>
    <row r="27" spans="2:33" ht="17.399999999999999" x14ac:dyDescent="0.25">
      <c r="B27" s="108" t="s">
        <v>68</v>
      </c>
      <c r="C27" s="213">
        <f t="shared" ref="C27:D27" si="44">C24/C22</f>
        <v>2.3971771749456452</v>
      </c>
      <c r="D27" s="213">
        <f t="shared" si="44"/>
        <v>2.7806035031718888</v>
      </c>
      <c r="E27" s="217"/>
      <c r="F27" s="237">
        <f t="shared" ref="F27:G27" si="45">F24/F22</f>
        <v>6.9431311889572349</v>
      </c>
      <c r="G27" s="266">
        <f t="shared" si="45"/>
        <v>8.0773855661501237</v>
      </c>
      <c r="H27" s="213"/>
      <c r="I27" s="213">
        <f t="shared" ref="I27" si="46">I24/I22</f>
        <v>8.0030539345148064</v>
      </c>
      <c r="J27" s="213">
        <f t="shared" ref="J27:M27" si="47">J24/J22</f>
        <v>7.7663723522773651</v>
      </c>
      <c r="K27" s="213">
        <f t="shared" si="47"/>
        <v>9.0844924015615085</v>
      </c>
      <c r="L27" s="213">
        <f t="shared" si="47"/>
        <v>9.0739167644468619</v>
      </c>
      <c r="M27" s="213">
        <f t="shared" si="47"/>
        <v>9.3625064589268145</v>
      </c>
      <c r="N27" s="108" t="s">
        <v>83</v>
      </c>
      <c r="O27" s="109"/>
      <c r="P27" s="108"/>
      <c r="R27" s="80" t="s">
        <v>232</v>
      </c>
      <c r="S27" s="82">
        <f>S21*S24</f>
        <v>1400</v>
      </c>
      <c r="T27" s="82">
        <f>T21*T24</f>
        <v>1200</v>
      </c>
      <c r="U27" s="80" t="s">
        <v>0</v>
      </c>
      <c r="V27" s="189"/>
      <c r="W27" s="166" t="s">
        <v>35</v>
      </c>
      <c r="X27" s="167">
        <v>1400</v>
      </c>
      <c r="Y27" s="166" t="s">
        <v>2</v>
      </c>
      <c r="AA27" s="73" t="s">
        <v>216</v>
      </c>
      <c r="AB27" s="75">
        <v>3.8999999999999998E-3</v>
      </c>
      <c r="AC27" s="73" t="s">
        <v>217</v>
      </c>
      <c r="AD27" s="170"/>
      <c r="AE27" s="80" t="s">
        <v>483</v>
      </c>
      <c r="AF27" s="122">
        <v>3</v>
      </c>
      <c r="AG27" s="108" t="s">
        <v>327</v>
      </c>
    </row>
    <row r="28" spans="2:33" ht="17.399999999999999" x14ac:dyDescent="0.25">
      <c r="B28" s="108" t="s">
        <v>85</v>
      </c>
      <c r="C28" s="111">
        <f t="shared" ref="C28:D28" si="48">(C27^2+(C25-C26)^2)^0.5</f>
        <v>2.7688008629884582</v>
      </c>
      <c r="D28" s="111">
        <f t="shared" si="48"/>
        <v>3.2116680651215077</v>
      </c>
      <c r="E28" s="217"/>
      <c r="F28" s="229">
        <f t="shared" ref="F28:G28" si="49">(F27^2+(F25-F26)^2)^0.5</f>
        <v>8.0194938566702554</v>
      </c>
      <c r="G28" s="217">
        <f t="shared" si="49"/>
        <v>9.3295866321411669</v>
      </c>
      <c r="H28" s="111"/>
      <c r="I28" s="111">
        <f t="shared" ref="I28" si="50">(I27^2+(I25-I26)^2)^0.5</f>
        <v>9.2437316991097287</v>
      </c>
      <c r="J28" s="111">
        <f t="shared" ref="J28:M28" si="51">(J27^2+(J25-J26)^2)^0.5</f>
        <v>8.9703584265785015</v>
      </c>
      <c r="K28" s="111">
        <f t="shared" si="51"/>
        <v>10.492820749399042</v>
      </c>
      <c r="L28" s="111">
        <f t="shared" si="51"/>
        <v>10.480605618420878</v>
      </c>
      <c r="M28" s="111">
        <f t="shared" si="51"/>
        <v>10.81393408636937</v>
      </c>
      <c r="N28" s="108" t="s">
        <v>83</v>
      </c>
      <c r="O28" s="109"/>
      <c r="P28" s="108"/>
      <c r="R28" s="80" t="s">
        <v>233</v>
      </c>
      <c r="S28" s="82">
        <f>S22*(S23/S20)*S25</f>
        <v>1500</v>
      </c>
      <c r="T28" s="82">
        <f>T22*(T23/T20)*T25</f>
        <v>2250</v>
      </c>
      <c r="U28" s="80" t="s">
        <v>2</v>
      </c>
      <c r="V28" s="170"/>
      <c r="W28" s="166" t="s">
        <v>36</v>
      </c>
      <c r="X28" s="168">
        <f>(X27)/(2*3.14*X26*1000*(X25/1000000))</f>
        <v>763.45868597853587</v>
      </c>
      <c r="Y28" s="166" t="s">
        <v>0</v>
      </c>
      <c r="AA28" s="73" t="s">
        <v>218</v>
      </c>
      <c r="AB28" s="76">
        <v>45</v>
      </c>
      <c r="AC28" s="73" t="s">
        <v>48</v>
      </c>
      <c r="AD28" s="170"/>
      <c r="AE28" s="80" t="s">
        <v>484</v>
      </c>
      <c r="AF28" s="133">
        <f>AF26*AF27</f>
        <v>1.44</v>
      </c>
      <c r="AG28" s="108" t="s">
        <v>478</v>
      </c>
    </row>
    <row r="29" spans="2:33" ht="17.399999999999999" x14ac:dyDescent="0.25">
      <c r="B29" s="108"/>
      <c r="C29" s="113"/>
      <c r="D29" s="113"/>
      <c r="E29" s="218"/>
      <c r="F29" s="230"/>
      <c r="G29" s="218"/>
      <c r="H29" s="113"/>
      <c r="I29" s="113"/>
      <c r="J29" s="113"/>
      <c r="K29" s="113"/>
      <c r="L29" s="113"/>
      <c r="M29" s="113"/>
      <c r="N29" s="108"/>
      <c r="O29" s="109"/>
      <c r="P29" s="108"/>
      <c r="R29" s="80" t="s">
        <v>47</v>
      </c>
      <c r="S29" s="82">
        <f>S27*S28/1000</f>
        <v>2100</v>
      </c>
      <c r="T29" s="82">
        <f>T27*T28/1000</f>
        <v>2700</v>
      </c>
      <c r="U29" s="80" t="s">
        <v>47</v>
      </c>
      <c r="V29" s="170"/>
      <c r="W29" s="170"/>
      <c r="X29" s="170"/>
      <c r="Y29" s="170"/>
      <c r="AA29" s="73" t="s">
        <v>219</v>
      </c>
      <c r="AB29" s="75">
        <f>AB26*(1+AB27*(AB28-20))</f>
        <v>1.9206249999999998</v>
      </c>
      <c r="AC29" s="73" t="s">
        <v>215</v>
      </c>
      <c r="AD29" s="170"/>
      <c r="AE29" s="80"/>
      <c r="AF29" s="108"/>
      <c r="AG29" s="108"/>
    </row>
    <row r="30" spans="2:33" ht="17.399999999999999" x14ac:dyDescent="0.25">
      <c r="B30" s="108" t="s">
        <v>105</v>
      </c>
      <c r="C30" s="114">
        <f t="shared" ref="C30:D30" si="52">(C3*1000000/C27)^0.5</f>
        <v>2501.4715195855174</v>
      </c>
      <c r="D30" s="114">
        <f t="shared" si="52"/>
        <v>2322.6089580866569</v>
      </c>
      <c r="E30" s="223"/>
      <c r="F30" s="238">
        <f t="shared" ref="F30:G30" si="53">(F3*1000000/F27)^0.5</f>
        <v>1200.1134813695919</v>
      </c>
      <c r="G30" s="223">
        <f t="shared" si="53"/>
        <v>1112.6654250556153</v>
      </c>
      <c r="H30" s="114"/>
      <c r="I30" s="114">
        <f t="shared" ref="I30" si="54">(I3*1000000/I27)^0.5</f>
        <v>698.07877197363337</v>
      </c>
      <c r="J30" s="114">
        <f t="shared" ref="J30:M30" si="55">(J3*1000000/J27)^0.5</f>
        <v>532.2335362059456</v>
      </c>
      <c r="K30" s="114">
        <f t="shared" si="55"/>
        <v>492.10865966878953</v>
      </c>
      <c r="L30" s="114">
        <f t="shared" si="55"/>
        <v>419.91616721759499</v>
      </c>
      <c r="M30" s="114">
        <f t="shared" si="55"/>
        <v>566.06273085361624</v>
      </c>
      <c r="N30" s="108" t="s">
        <v>2</v>
      </c>
      <c r="O30" s="109"/>
      <c r="P30" s="115" t="s">
        <v>269</v>
      </c>
      <c r="R30" s="170"/>
      <c r="S30" s="170"/>
      <c r="T30" s="189"/>
      <c r="U30" s="170"/>
      <c r="V30" s="170"/>
      <c r="W30" s="275" t="s">
        <v>249</v>
      </c>
      <c r="X30" s="275"/>
      <c r="Y30" s="275"/>
      <c r="AA30" s="73" t="s">
        <v>220</v>
      </c>
      <c r="AB30" s="77">
        <f>1/(AB29/100000000)</f>
        <v>52066384.64041654</v>
      </c>
      <c r="AC30" s="73" t="s">
        <v>221</v>
      </c>
      <c r="AD30" s="170"/>
      <c r="AE30" s="134" t="s">
        <v>482</v>
      </c>
      <c r="AF30" s="108">
        <v>0.4133</v>
      </c>
      <c r="AG30" s="108" t="s">
        <v>478</v>
      </c>
    </row>
    <row r="31" spans="2:33" ht="17.399999999999999" x14ac:dyDescent="0.25">
      <c r="B31" s="108" t="s">
        <v>103</v>
      </c>
      <c r="C31" s="111">
        <f t="shared" ref="C31:D31" si="56">C30*C27/1000</f>
        <v>5.9964704305270002</v>
      </c>
      <c r="D31" s="111">
        <f t="shared" si="56"/>
        <v>6.4582546053541687</v>
      </c>
      <c r="E31" s="217"/>
      <c r="F31" s="229">
        <f t="shared" ref="F31:G31" si="57">F30*F27/1000</f>
        <v>8.3325453427852612</v>
      </c>
      <c r="G31" s="217">
        <f t="shared" si="57"/>
        <v>8.9874276442985188</v>
      </c>
      <c r="H31" s="111"/>
      <c r="I31" s="111">
        <f t="shared" ref="I31" si="58">I30*I27/1000</f>
        <v>5.5867620626448504</v>
      </c>
      <c r="J31" s="111">
        <f t="shared" ref="J31:M31" si="59">J30*J27/1000</f>
        <v>4.1335238205446698</v>
      </c>
      <c r="K31" s="111">
        <f t="shared" si="59"/>
        <v>4.4705573795037372</v>
      </c>
      <c r="L31" s="111">
        <f t="shared" si="59"/>
        <v>3.8102843493780068</v>
      </c>
      <c r="M31" s="111">
        <f t="shared" si="59"/>
        <v>5.2997659737747336</v>
      </c>
      <c r="N31" s="108" t="s">
        <v>0</v>
      </c>
      <c r="O31" s="109"/>
      <c r="P31" s="108"/>
      <c r="R31" s="274" t="s">
        <v>237</v>
      </c>
      <c r="S31" s="274"/>
      <c r="T31" s="274"/>
      <c r="U31" s="274"/>
      <c r="V31" s="170"/>
      <c r="W31" s="68" t="s">
        <v>152</v>
      </c>
      <c r="X31" s="167">
        <v>500</v>
      </c>
      <c r="Y31" s="166" t="s">
        <v>153</v>
      </c>
      <c r="AA31" s="73" t="s">
        <v>222</v>
      </c>
      <c r="AB31" s="66">
        <v>1</v>
      </c>
      <c r="AC31" s="73" t="s">
        <v>223</v>
      </c>
      <c r="AD31" s="170"/>
      <c r="AE31" s="80" t="s">
        <v>483</v>
      </c>
      <c r="AF31" s="122">
        <v>3.5</v>
      </c>
      <c r="AG31" s="108" t="s">
        <v>327</v>
      </c>
    </row>
    <row r="32" spans="2:33" ht="17.399999999999999" x14ac:dyDescent="0.25">
      <c r="B32" s="108" t="s">
        <v>306</v>
      </c>
      <c r="C32" s="114">
        <f t="shared" ref="C32:D32" si="60">C30/(2*3.14159*C23*1000*C17/1000000)</f>
        <v>555.34228765190392</v>
      </c>
      <c r="D32" s="114">
        <f t="shared" si="60"/>
        <v>513.50609535379112</v>
      </c>
      <c r="E32" s="223"/>
      <c r="F32" s="238">
        <f t="shared" ref="F32:G32" si="61">F30/(2*3.14159*F23*1000*F17/1000000)</f>
        <v>830.85061016928103</v>
      </c>
      <c r="G32" s="223">
        <f t="shared" si="61"/>
        <v>769.42768721188475</v>
      </c>
      <c r="H32" s="114"/>
      <c r="I32" s="114">
        <f t="shared" ref="I32" si="62">I30/(2*3.14159*I23*1000*I17/1000000)</f>
        <v>324.54486542190864</v>
      </c>
      <c r="J32" s="114">
        <f t="shared" ref="J32:M32" si="63">J30/(2*3.14159*J23*1000*J17/1000000)</f>
        <v>245.45587817636229</v>
      </c>
      <c r="K32" s="114">
        <f t="shared" si="63"/>
        <v>224.60915768318199</v>
      </c>
      <c r="L32" s="114">
        <f t="shared" si="63"/>
        <v>192.12164726312309</v>
      </c>
      <c r="M32" s="114">
        <f t="shared" si="63"/>
        <v>258.69160296783002</v>
      </c>
      <c r="N32" s="108" t="s">
        <v>0</v>
      </c>
      <c r="O32" s="109"/>
      <c r="P32" s="115" t="s">
        <v>71</v>
      </c>
      <c r="R32" s="68" t="s">
        <v>37</v>
      </c>
      <c r="S32" s="167">
        <v>169300</v>
      </c>
      <c r="T32" s="167"/>
      <c r="U32" s="68" t="s">
        <v>25</v>
      </c>
      <c r="V32" s="170"/>
      <c r="W32" s="68" t="s">
        <v>154</v>
      </c>
      <c r="X32" s="167">
        <v>2.2000000000000002</v>
      </c>
      <c r="Y32" s="166" t="s">
        <v>155</v>
      </c>
      <c r="AA32" s="73" t="s">
        <v>37</v>
      </c>
      <c r="AB32" s="78">
        <v>1000</v>
      </c>
      <c r="AC32" s="73" t="s">
        <v>224</v>
      </c>
      <c r="AD32" s="170"/>
      <c r="AE32" s="80" t="s">
        <v>484</v>
      </c>
      <c r="AF32" s="133">
        <f>AF30*AF31</f>
        <v>1.44655</v>
      </c>
      <c r="AG32" s="108" t="s">
        <v>478</v>
      </c>
    </row>
    <row r="33" spans="2:34" ht="17.399999999999999" x14ac:dyDescent="0.25">
      <c r="B33" s="108" t="s">
        <v>104</v>
      </c>
      <c r="C33" s="111">
        <f t="shared" ref="C33:D33" si="64">C30*C28/1000</f>
        <v>6.9260765021694306</v>
      </c>
      <c r="D33" s="111">
        <f t="shared" si="64"/>
        <v>7.4594490184520543</v>
      </c>
      <c r="E33" s="217"/>
      <c r="F33" s="229">
        <f t="shared" ref="F33:G33" si="65">F30*F28/1000</f>
        <v>9.6243026911505947</v>
      </c>
      <c r="G33" s="217">
        <f t="shared" si="65"/>
        <v>10.380708475644539</v>
      </c>
      <c r="H33" s="111"/>
      <c r="I33" s="111">
        <f t="shared" ref="I33" si="66">I30*I28/1000</f>
        <v>6.4528528729682666</v>
      </c>
      <c r="J33" s="111">
        <f t="shared" ref="J33:M33" si="67">J30*J28/1000</f>
        <v>4.7743255864126777</v>
      </c>
      <c r="K33" s="111">
        <f t="shared" si="67"/>
        <v>5.1636079551316261</v>
      </c>
      <c r="L33" s="111">
        <f t="shared" si="67"/>
        <v>4.4009757414064872</v>
      </c>
      <c r="M33" s="111">
        <f t="shared" si="67"/>
        <v>6.121365060201251</v>
      </c>
      <c r="N33" s="108" t="s">
        <v>0</v>
      </c>
      <c r="O33" s="109"/>
      <c r="P33" s="108"/>
      <c r="R33" s="68" t="s">
        <v>52</v>
      </c>
      <c r="S33" s="167">
        <v>0.66</v>
      </c>
      <c r="T33" s="167"/>
      <c r="U33" s="68" t="s">
        <v>28</v>
      </c>
      <c r="V33" s="170"/>
      <c r="W33" s="68" t="s">
        <v>158</v>
      </c>
      <c r="X33" s="167">
        <v>2</v>
      </c>
      <c r="Y33" s="166" t="s">
        <v>159</v>
      </c>
      <c r="AA33" s="73" t="s">
        <v>254</v>
      </c>
      <c r="AB33" s="90">
        <f>503.3*SQRT((AB29/100000000)/(AB31*AB32))*1000</f>
        <v>2.205709020034714</v>
      </c>
      <c r="AC33" s="73" t="s">
        <v>225</v>
      </c>
      <c r="AD33" s="170"/>
      <c r="AE33" s="170"/>
    </row>
    <row r="34" spans="2:34" ht="17.399999999999999" x14ac:dyDescent="0.25">
      <c r="B34" s="108" t="s">
        <v>102</v>
      </c>
      <c r="C34" s="111">
        <f t="shared" ref="C34:D34" si="68">ROUNDUP(COS(PI()*C19/180),3)</f>
        <v>0.86699999999999999</v>
      </c>
      <c r="D34" s="111">
        <f t="shared" si="68"/>
        <v>0.86699999999999999</v>
      </c>
      <c r="E34" s="217"/>
      <c r="F34" s="229">
        <f t="shared" ref="F34:G34" si="69">ROUNDUP(COS(PI()*F19/180),3)</f>
        <v>0.86699999999999999</v>
      </c>
      <c r="G34" s="217">
        <f t="shared" si="69"/>
        <v>0.86699999999999999</v>
      </c>
      <c r="H34" s="111"/>
      <c r="I34" s="111">
        <f t="shared" ref="I34" si="70">ROUNDUP(COS(PI()*I19/180),3)</f>
        <v>0.86699999999999999</v>
      </c>
      <c r="J34" s="111">
        <f t="shared" ref="J34:M34" si="71">ROUNDUP(COS(PI()*J19/180),3)</f>
        <v>0.86699999999999999</v>
      </c>
      <c r="K34" s="111">
        <f t="shared" si="71"/>
        <v>0.86699999999999999</v>
      </c>
      <c r="L34" s="111">
        <f t="shared" si="71"/>
        <v>0.86699999999999999</v>
      </c>
      <c r="M34" s="111">
        <f t="shared" si="71"/>
        <v>0.86699999999999999</v>
      </c>
      <c r="N34" s="108"/>
      <c r="O34" s="109"/>
      <c r="P34" s="108"/>
      <c r="R34" s="68" t="s">
        <v>53</v>
      </c>
      <c r="S34" s="167">
        <v>438</v>
      </c>
      <c r="T34" s="167"/>
      <c r="U34" s="68" t="s">
        <v>2</v>
      </c>
      <c r="V34" s="170"/>
      <c r="W34" s="68" t="s">
        <v>162</v>
      </c>
      <c r="X34" s="167">
        <v>3</v>
      </c>
      <c r="Y34" s="166"/>
      <c r="AA34" s="73" t="s">
        <v>255</v>
      </c>
      <c r="AB34" s="84">
        <v>6126</v>
      </c>
      <c r="AC34" s="73" t="s">
        <v>225</v>
      </c>
      <c r="AD34" s="170"/>
      <c r="AE34" s="275" t="s">
        <v>492</v>
      </c>
      <c r="AF34" s="275"/>
      <c r="AG34" s="275"/>
      <c r="AH34" s="170" t="s">
        <v>502</v>
      </c>
    </row>
    <row r="35" spans="2:34" ht="17.399999999999999" x14ac:dyDescent="0.25">
      <c r="B35" s="108" t="s">
        <v>101</v>
      </c>
      <c r="C35" s="174">
        <f t="shared" ref="C35:D35" si="72">C32/(C27*C30/1000)</f>
        <v>92.611527745513726</v>
      </c>
      <c r="D35" s="174">
        <f t="shared" si="72"/>
        <v>79.511590473387756</v>
      </c>
      <c r="E35" s="224"/>
      <c r="F35" s="239">
        <f t="shared" ref="F35:G35" si="73">F32/(F27*F30/1000)</f>
        <v>99.711501826830556</v>
      </c>
      <c r="G35" s="224">
        <f t="shared" si="73"/>
        <v>85.611558464117081</v>
      </c>
      <c r="H35" s="174"/>
      <c r="I35" s="174">
        <f t="shared" ref="I35" si="74">I32/(I27*I30/1000)</f>
        <v>58.091764385660021</v>
      </c>
      <c r="J35" s="174">
        <f t="shared" ref="J35:M35" si="75">J32/(J27*J30/1000)</f>
        <v>59.381750011064128</v>
      </c>
      <c r="K35" s="174">
        <f t="shared" si="75"/>
        <v>50.241868880366582</v>
      </c>
      <c r="L35" s="174">
        <f t="shared" si="75"/>
        <v>50.42186609891337</v>
      </c>
      <c r="M35" s="174">
        <f t="shared" si="75"/>
        <v>48.8118917416231</v>
      </c>
      <c r="N35" s="108"/>
      <c r="O35" s="109"/>
      <c r="P35" s="115" t="s">
        <v>267</v>
      </c>
      <c r="R35" s="68" t="s">
        <v>54</v>
      </c>
      <c r="S35" s="167">
        <v>68</v>
      </c>
      <c r="T35" s="167"/>
      <c r="U35" s="68" t="s">
        <v>1</v>
      </c>
      <c r="V35" s="170"/>
      <c r="W35" s="68" t="s">
        <v>165</v>
      </c>
      <c r="X35" s="69">
        <f>X32*X33*X34*2</f>
        <v>26.400000000000002</v>
      </c>
      <c r="Y35" s="166" t="s">
        <v>155</v>
      </c>
      <c r="AA35" s="73" t="s">
        <v>279</v>
      </c>
      <c r="AB35" s="84">
        <v>2</v>
      </c>
      <c r="AC35" s="73" t="s">
        <v>225</v>
      </c>
      <c r="AD35" s="170"/>
      <c r="AE35" s="166" t="s">
        <v>493</v>
      </c>
      <c r="AF35" s="167">
        <v>380</v>
      </c>
      <c r="AG35" s="166" t="s">
        <v>0</v>
      </c>
    </row>
    <row r="36" spans="2:34" ht="17.399999999999999" x14ac:dyDescent="0.25">
      <c r="B36" s="108" t="s">
        <v>307</v>
      </c>
      <c r="C36" s="114">
        <f t="shared" ref="C36:D36" si="76">C32+C30*C20*C27/1000</f>
        <v>558.80824756074855</v>
      </c>
      <c r="D36" s="114">
        <f t="shared" si="76"/>
        <v>517.23896651568589</v>
      </c>
      <c r="E36" s="223"/>
      <c r="F36" s="238">
        <f t="shared" ref="F36:G36" si="77">F32+F30*F20*F27/1000</f>
        <v>835.66682137741088</v>
      </c>
      <c r="G36" s="223">
        <f t="shared" si="77"/>
        <v>774.62242039028934</v>
      </c>
      <c r="H36" s="114"/>
      <c r="I36" s="114">
        <f t="shared" ref="I36" si="78">I32+I30*I20*I27/1000</f>
        <v>327.77401389411739</v>
      </c>
      <c r="J36" s="114">
        <f t="shared" ref="J36:M36" si="79">J32+J30*J20*J27/1000</f>
        <v>247.8450549446371</v>
      </c>
      <c r="K36" s="114">
        <f t="shared" si="79"/>
        <v>227.19313984853514</v>
      </c>
      <c r="L36" s="114">
        <f t="shared" si="79"/>
        <v>194.32399161706357</v>
      </c>
      <c r="M36" s="114">
        <f t="shared" si="79"/>
        <v>261.75486770067181</v>
      </c>
      <c r="N36" s="108" t="s">
        <v>0</v>
      </c>
      <c r="O36" s="109"/>
      <c r="P36" s="115" t="s">
        <v>266</v>
      </c>
      <c r="R36" s="68" t="s">
        <v>286</v>
      </c>
      <c r="S36" s="167">
        <v>3</v>
      </c>
      <c r="T36" s="167"/>
      <c r="U36" s="68" t="s">
        <v>42</v>
      </c>
      <c r="V36" s="170"/>
      <c r="W36" s="68" t="s">
        <v>168</v>
      </c>
      <c r="X36" s="167">
        <v>1</v>
      </c>
      <c r="Y36" s="166" t="s">
        <v>169</v>
      </c>
      <c r="AA36" s="73" t="s">
        <v>278</v>
      </c>
      <c r="AB36" s="85">
        <f>MIN(AB33,AB35)</f>
        <v>2</v>
      </c>
      <c r="AC36" s="73" t="s">
        <v>225</v>
      </c>
      <c r="AD36" s="170"/>
      <c r="AE36" s="166" t="s">
        <v>64</v>
      </c>
      <c r="AF36" s="167">
        <v>75</v>
      </c>
      <c r="AG36" s="166" t="s">
        <v>2</v>
      </c>
    </row>
    <row r="37" spans="2:34" ht="17.399999999999999" x14ac:dyDescent="0.25">
      <c r="B37" s="108"/>
      <c r="C37" s="113"/>
      <c r="D37" s="113"/>
      <c r="E37" s="218"/>
      <c r="F37" s="230"/>
      <c r="G37" s="218"/>
      <c r="H37" s="113"/>
      <c r="I37" s="113"/>
      <c r="J37" s="113"/>
      <c r="K37" s="113"/>
      <c r="L37" s="113"/>
      <c r="M37" s="113"/>
      <c r="N37" s="108"/>
      <c r="O37" s="109"/>
      <c r="P37" s="108"/>
      <c r="R37" s="68" t="s">
        <v>55</v>
      </c>
      <c r="S37" s="69">
        <f>(S34*S36)/(2*3.1415*S32*(S33/1000000))</f>
        <v>1871.6619518020723</v>
      </c>
      <c r="T37" s="69"/>
      <c r="U37" s="68" t="s">
        <v>56</v>
      </c>
      <c r="V37" s="170"/>
      <c r="W37" s="68" t="s">
        <v>170</v>
      </c>
      <c r="X37" s="167">
        <v>240</v>
      </c>
      <c r="Y37" s="166" t="s">
        <v>171</v>
      </c>
      <c r="AA37" s="73" t="s">
        <v>258</v>
      </c>
      <c r="AB37" s="84">
        <v>30</v>
      </c>
      <c r="AC37" s="73" t="s">
        <v>225</v>
      </c>
      <c r="AD37" s="170"/>
      <c r="AE37" s="166" t="s">
        <v>496</v>
      </c>
      <c r="AF37" s="168">
        <f>AF35</f>
        <v>380</v>
      </c>
      <c r="AG37" s="166" t="s">
        <v>494</v>
      </c>
    </row>
    <row r="38" spans="2:34" ht="17.399999999999999" x14ac:dyDescent="0.25">
      <c r="B38" s="108" t="s">
        <v>86</v>
      </c>
      <c r="C38" s="111">
        <v>1</v>
      </c>
      <c r="D38" s="111">
        <v>1</v>
      </c>
      <c r="E38" s="217"/>
      <c r="F38" s="229">
        <v>1</v>
      </c>
      <c r="G38" s="217">
        <v>1</v>
      </c>
      <c r="H38" s="111"/>
      <c r="I38" s="111">
        <v>1</v>
      </c>
      <c r="J38" s="111">
        <v>1</v>
      </c>
      <c r="K38" s="111">
        <v>1</v>
      </c>
      <c r="L38" s="111">
        <v>1</v>
      </c>
      <c r="M38" s="111">
        <v>1</v>
      </c>
      <c r="N38" s="108"/>
      <c r="O38" s="109"/>
      <c r="P38" s="108" t="s">
        <v>87</v>
      </c>
      <c r="R38" s="68" t="s">
        <v>57</v>
      </c>
      <c r="S38" s="69">
        <f>S34*S36</f>
        <v>1314</v>
      </c>
      <c r="T38" s="69"/>
      <c r="U38" s="68"/>
      <c r="V38" s="170"/>
      <c r="W38" s="68" t="s">
        <v>172</v>
      </c>
      <c r="X38" s="167">
        <v>1</v>
      </c>
      <c r="Y38" s="166" t="s">
        <v>173</v>
      </c>
      <c r="AA38" s="73" t="s">
        <v>277</v>
      </c>
      <c r="AB38" s="90">
        <f>(PI()*(AB37/2)^2)-(PI()*(AB37/2-AB36)^2)</f>
        <v>175.92918860102839</v>
      </c>
      <c r="AC38" s="73" t="s">
        <v>251</v>
      </c>
      <c r="AD38" s="170"/>
      <c r="AE38" s="166" t="s">
        <v>497</v>
      </c>
      <c r="AF38" s="168">
        <f>AF36*1.25</f>
        <v>93.75</v>
      </c>
      <c r="AG38" s="166" t="s">
        <v>495</v>
      </c>
    </row>
    <row r="39" spans="2:34" ht="17.399999999999999" x14ac:dyDescent="0.25">
      <c r="B39" s="108" t="s">
        <v>308</v>
      </c>
      <c r="C39" s="111">
        <f t="shared" ref="C39:D39" si="80">C10/C38*4/PI()/2^0.5</f>
        <v>118.39159557465943</v>
      </c>
      <c r="D39" s="111">
        <f t="shared" si="80"/>
        <v>260.46151026425082</v>
      </c>
      <c r="E39" s="217"/>
      <c r="F39" s="229">
        <f t="shared" ref="F39:G39" si="81">F10/F38*4/PI()/2^0.5</f>
        <v>260.46151026425082</v>
      </c>
      <c r="G39" s="217">
        <f t="shared" si="81"/>
        <v>260.46151026425082</v>
      </c>
      <c r="H39" s="111"/>
      <c r="I39" s="111">
        <f t="shared" ref="I39" si="82">I10/I38*4/PI()/2^0.5</f>
        <v>236.60312788608749</v>
      </c>
      <c r="J39" s="111">
        <f t="shared" ref="J39:M39" si="83">J10/J38*4/PI()/2^0.5</f>
        <v>198.06958955456332</v>
      </c>
      <c r="K39" s="111">
        <f t="shared" si="83"/>
        <v>227.5099330929007</v>
      </c>
      <c r="L39" s="111">
        <f t="shared" si="83"/>
        <v>193.56800797377781</v>
      </c>
      <c r="M39" s="111">
        <f t="shared" si="83"/>
        <v>247.49695531158841</v>
      </c>
      <c r="N39" s="108" t="s">
        <v>0</v>
      </c>
      <c r="O39" s="109"/>
      <c r="P39" s="108" t="s">
        <v>246</v>
      </c>
      <c r="R39" s="68" t="s">
        <v>501</v>
      </c>
      <c r="S39" s="69">
        <f>S37*S38/1000</f>
        <v>2459.363804667923</v>
      </c>
      <c r="T39" s="69"/>
      <c r="U39" s="68" t="s">
        <v>501</v>
      </c>
      <c r="V39" s="170"/>
      <c r="W39" s="68" t="s">
        <v>174</v>
      </c>
      <c r="X39" s="69">
        <f>X37*X38</f>
        <v>240</v>
      </c>
      <c r="Y39" s="166" t="s">
        <v>171</v>
      </c>
      <c r="AA39" s="73" t="s">
        <v>256</v>
      </c>
      <c r="AB39" s="84">
        <v>850</v>
      </c>
      <c r="AC39" s="67" t="s">
        <v>252</v>
      </c>
      <c r="AD39" s="170"/>
      <c r="AE39" s="170"/>
    </row>
    <row r="40" spans="2:34" ht="17.399999999999999" x14ac:dyDescent="0.25">
      <c r="B40" s="108" t="s">
        <v>88</v>
      </c>
      <c r="C40" s="171">
        <v>17</v>
      </c>
      <c r="D40" s="171">
        <v>20</v>
      </c>
      <c r="E40" s="214"/>
      <c r="F40" s="226">
        <v>20</v>
      </c>
      <c r="G40" s="214">
        <v>20</v>
      </c>
      <c r="H40" s="171"/>
      <c r="I40" s="171">
        <v>20</v>
      </c>
      <c r="J40" s="171">
        <v>20</v>
      </c>
      <c r="K40" s="171">
        <v>20</v>
      </c>
      <c r="L40" s="171">
        <v>20</v>
      </c>
      <c r="M40" s="171">
        <v>20</v>
      </c>
      <c r="N40" s="108" t="s">
        <v>42</v>
      </c>
      <c r="O40" s="109">
        <v>7</v>
      </c>
      <c r="P40" s="110" t="s">
        <v>274</v>
      </c>
      <c r="R40" s="68" t="s">
        <v>41</v>
      </c>
      <c r="S40" s="168">
        <f>S39/S35</f>
        <v>36.167114774528279</v>
      </c>
      <c r="T40" s="168"/>
      <c r="U40" s="68"/>
      <c r="V40" s="170"/>
      <c r="W40" s="166"/>
      <c r="X40" s="166"/>
      <c r="Y40" s="166"/>
      <c r="AA40" s="73" t="s">
        <v>490</v>
      </c>
      <c r="AB40" s="86">
        <f>AB39/AB38</f>
        <v>4.8314893438611097</v>
      </c>
      <c r="AC40" s="67" t="s">
        <v>252</v>
      </c>
      <c r="AD40" s="170"/>
      <c r="AE40" s="275" t="s">
        <v>499</v>
      </c>
      <c r="AF40" s="275"/>
      <c r="AG40" s="275"/>
    </row>
    <row r="41" spans="2:34" ht="17.399999999999999" x14ac:dyDescent="0.25">
      <c r="B41" s="108" t="s">
        <v>89</v>
      </c>
      <c r="C41" s="111">
        <f t="shared" ref="C41:D41" si="84">ROUND(C39/C40,1)</f>
        <v>7</v>
      </c>
      <c r="D41" s="111">
        <f t="shared" si="84"/>
        <v>13</v>
      </c>
      <c r="E41" s="217"/>
      <c r="F41" s="229">
        <f t="shared" ref="F41:G41" si="85">ROUND(F39/F40,1)</f>
        <v>13</v>
      </c>
      <c r="G41" s="217">
        <f t="shared" si="85"/>
        <v>13</v>
      </c>
      <c r="H41" s="111"/>
      <c r="I41" s="111">
        <f t="shared" ref="I41" si="86">ROUND(I39/I40,1)</f>
        <v>11.8</v>
      </c>
      <c r="J41" s="111">
        <f t="shared" ref="J41:M41" si="87">ROUND(J39/J40,1)</f>
        <v>9.9</v>
      </c>
      <c r="K41" s="111">
        <f t="shared" si="87"/>
        <v>11.4</v>
      </c>
      <c r="L41" s="111">
        <f t="shared" si="87"/>
        <v>9.6999999999999993</v>
      </c>
      <c r="M41" s="111">
        <f t="shared" si="87"/>
        <v>12.4</v>
      </c>
      <c r="N41" s="108" t="s">
        <v>0</v>
      </c>
      <c r="O41" s="109"/>
      <c r="P41" s="108" t="s">
        <v>309</v>
      </c>
      <c r="R41" s="170"/>
      <c r="S41" s="170"/>
      <c r="T41" s="189"/>
      <c r="U41" s="170"/>
      <c r="V41" s="170"/>
      <c r="W41" s="70" t="s">
        <v>175</v>
      </c>
      <c r="X41" s="276" t="s">
        <v>176</v>
      </c>
      <c r="Y41" s="276"/>
      <c r="AA41" s="73" t="s">
        <v>257</v>
      </c>
      <c r="AB41" s="86">
        <f>AB29/100000000*(AB39^2)/(AB38/1000000)*AB34/1000</f>
        <v>483.19176251946334</v>
      </c>
      <c r="AC41" s="67" t="s">
        <v>253</v>
      </c>
      <c r="AD41" s="170"/>
      <c r="AE41" s="166" t="s">
        <v>27</v>
      </c>
      <c r="AF41" s="167">
        <v>0.52800000000000002</v>
      </c>
      <c r="AG41" s="166" t="s">
        <v>28</v>
      </c>
    </row>
    <row r="42" spans="2:34" ht="17.399999999999999" x14ac:dyDescent="0.25">
      <c r="B42" s="108"/>
      <c r="C42" s="113"/>
      <c r="D42" s="113"/>
      <c r="E42" s="218"/>
      <c r="F42" s="230"/>
      <c r="G42" s="218"/>
      <c r="H42" s="113"/>
      <c r="I42" s="113"/>
      <c r="J42" s="113"/>
      <c r="K42" s="113"/>
      <c r="L42" s="113"/>
      <c r="M42" s="113"/>
      <c r="N42" s="108"/>
      <c r="O42" s="109"/>
      <c r="P42" s="108"/>
      <c r="R42" s="274" t="s">
        <v>238</v>
      </c>
      <c r="S42" s="274"/>
      <c r="T42" s="274"/>
      <c r="U42" s="274"/>
      <c r="V42" s="170"/>
      <c r="W42" s="68" t="s">
        <v>177</v>
      </c>
      <c r="X42" s="167">
        <v>30</v>
      </c>
      <c r="Y42" s="166" t="s">
        <v>178</v>
      </c>
      <c r="AA42" s="170"/>
      <c r="AB42" s="170"/>
      <c r="AC42" s="170"/>
      <c r="AD42" s="170"/>
      <c r="AE42" s="166" t="s">
        <v>29</v>
      </c>
      <c r="AF42" s="167">
        <v>0.27</v>
      </c>
      <c r="AG42" s="166" t="s">
        <v>15</v>
      </c>
    </row>
    <row r="43" spans="2:34" ht="17.399999999999999" x14ac:dyDescent="0.25">
      <c r="B43" s="108" t="s">
        <v>72</v>
      </c>
      <c r="C43" s="116">
        <f t="shared" ref="C43:D43" si="88">C33/C41*100</f>
        <v>98.943950030991871</v>
      </c>
      <c r="D43" s="116">
        <f t="shared" si="88"/>
        <v>57.3803770650158</v>
      </c>
      <c r="E43" s="225"/>
      <c r="F43" s="240">
        <f t="shared" ref="F43:G43" si="89">F33/F41*100</f>
        <v>74.033097624235339</v>
      </c>
      <c r="G43" s="225">
        <f t="shared" si="89"/>
        <v>79.851603658804152</v>
      </c>
      <c r="H43" s="116"/>
      <c r="I43" s="116">
        <f t="shared" ref="I43" si="90">I33/I41*100</f>
        <v>54.68519383871412</v>
      </c>
      <c r="J43" s="116">
        <f t="shared" ref="J43:M43" si="91">J33/J41*100</f>
        <v>48.225510973865433</v>
      </c>
      <c r="K43" s="116">
        <f t="shared" si="91"/>
        <v>45.294806623961634</v>
      </c>
      <c r="L43" s="116">
        <f t="shared" si="91"/>
        <v>45.370883932025649</v>
      </c>
      <c r="M43" s="116">
        <f t="shared" si="91"/>
        <v>49.365847259687506</v>
      </c>
      <c r="N43" s="108" t="s">
        <v>7</v>
      </c>
      <c r="O43" s="109"/>
      <c r="P43" s="117" t="s">
        <v>273</v>
      </c>
      <c r="R43" s="80" t="s">
        <v>18</v>
      </c>
      <c r="S43" s="81">
        <v>40</v>
      </c>
      <c r="T43" s="81"/>
      <c r="U43" s="80" t="s">
        <v>263</v>
      </c>
      <c r="V43" s="170"/>
      <c r="W43" s="68" t="s">
        <v>179</v>
      </c>
      <c r="X43" s="71">
        <f>X37*SQRT(2)*SIN(X42*PI()/180)</f>
        <v>169.70562748477138</v>
      </c>
      <c r="Y43" s="166" t="s">
        <v>180</v>
      </c>
      <c r="AA43" s="275" t="s">
        <v>489</v>
      </c>
      <c r="AB43" s="275"/>
      <c r="AC43" s="275"/>
      <c r="AD43" s="170" t="s">
        <v>502</v>
      </c>
      <c r="AE43" s="166" t="s">
        <v>30</v>
      </c>
      <c r="AF43" s="168">
        <f>1/(2*3.14*SQRT((AF41/1000000)*(AF42/1000000)))</f>
        <v>421736.81406829093</v>
      </c>
      <c r="AG43" s="166" t="s">
        <v>31</v>
      </c>
    </row>
    <row r="44" spans="2:34" ht="17.399999999999999" x14ac:dyDescent="0.25">
      <c r="B44" s="108"/>
      <c r="C44" s="113"/>
      <c r="D44" s="113"/>
      <c r="E44" s="218"/>
      <c r="F44" s="230"/>
      <c r="G44" s="218"/>
      <c r="H44" s="113"/>
      <c r="I44" s="113"/>
      <c r="J44" s="113"/>
      <c r="K44" s="113"/>
      <c r="L44" s="113"/>
      <c r="M44" s="113"/>
      <c r="N44" s="108"/>
      <c r="O44" s="109"/>
      <c r="P44" s="108"/>
      <c r="R44" s="80" t="s">
        <v>100</v>
      </c>
      <c r="S44" s="81">
        <v>127</v>
      </c>
      <c r="T44" s="81"/>
      <c r="U44" s="80" t="s">
        <v>2</v>
      </c>
      <c r="V44" s="170"/>
      <c r="W44" s="68" t="s">
        <v>181</v>
      </c>
      <c r="X44" s="83">
        <f>X31*X35/X43</f>
        <v>77.781745930520245</v>
      </c>
      <c r="Y44" s="166" t="s">
        <v>182</v>
      </c>
      <c r="AA44" s="166" t="s">
        <v>212</v>
      </c>
      <c r="AB44" s="66" t="s">
        <v>213</v>
      </c>
      <c r="AC44" s="66"/>
      <c r="AD44" s="170"/>
      <c r="AE44" s="170"/>
    </row>
    <row r="45" spans="2:34" ht="17.399999999999999" x14ac:dyDescent="0.25">
      <c r="B45" s="108" t="s">
        <v>90</v>
      </c>
      <c r="C45" s="114">
        <f t="shared" ref="C45:D45" si="92">C30/C40</f>
        <v>147.14538350503042</v>
      </c>
      <c r="D45" s="114">
        <f t="shared" si="92"/>
        <v>116.13044790433284</v>
      </c>
      <c r="E45" s="223"/>
      <c r="F45" s="238">
        <f t="shared" ref="F45:G45" si="93">F30/F40</f>
        <v>60.005674068479593</v>
      </c>
      <c r="G45" s="223">
        <f t="shared" si="93"/>
        <v>55.633271252780766</v>
      </c>
      <c r="H45" s="114"/>
      <c r="I45" s="114">
        <f t="shared" ref="I45" si="94">I30/I40</f>
        <v>34.90393859868167</v>
      </c>
      <c r="J45" s="114">
        <f t="shared" ref="J45:M45" si="95">J30/J40</f>
        <v>26.611676810297279</v>
      </c>
      <c r="K45" s="114">
        <f t="shared" si="95"/>
        <v>24.605432983439478</v>
      </c>
      <c r="L45" s="114">
        <f t="shared" si="95"/>
        <v>20.995808360879749</v>
      </c>
      <c r="M45" s="114">
        <f t="shared" si="95"/>
        <v>28.303136542680811</v>
      </c>
      <c r="N45" s="108" t="s">
        <v>2</v>
      </c>
      <c r="O45" s="109"/>
      <c r="P45" s="115" t="s">
        <v>268</v>
      </c>
      <c r="R45" s="80" t="s">
        <v>44</v>
      </c>
      <c r="S45" s="81">
        <v>401</v>
      </c>
      <c r="T45" s="81"/>
      <c r="U45" s="80" t="s">
        <v>0</v>
      </c>
      <c r="V45" s="170"/>
      <c r="W45" s="166"/>
      <c r="X45" s="166"/>
      <c r="Y45" s="166"/>
      <c r="AA45" s="73" t="s">
        <v>214</v>
      </c>
      <c r="AB45" s="74">
        <v>1.75</v>
      </c>
      <c r="AC45" s="73" t="s">
        <v>215</v>
      </c>
      <c r="AD45" s="170"/>
      <c r="AE45" s="170"/>
    </row>
    <row r="46" spans="2:34" ht="17.399999999999999" x14ac:dyDescent="0.25">
      <c r="B46" s="108" t="s">
        <v>91</v>
      </c>
      <c r="C46" s="111">
        <f t="shared" ref="C46:D46" si="96">ROUND(C45*2^0.5*2/PI(),0)</f>
        <v>132</v>
      </c>
      <c r="D46" s="111">
        <f t="shared" si="96"/>
        <v>105</v>
      </c>
      <c r="E46" s="217"/>
      <c r="F46" s="229">
        <f t="shared" ref="F46:G46" si="97">ROUND(F45*2^0.5*2/PI(),0)</f>
        <v>54</v>
      </c>
      <c r="G46" s="217">
        <f t="shared" si="97"/>
        <v>50</v>
      </c>
      <c r="H46" s="111"/>
      <c r="I46" s="111">
        <f t="shared" ref="I46" si="98">ROUND(I45*2^0.5*2/PI(),0)</f>
        <v>31</v>
      </c>
      <c r="J46" s="111">
        <f t="shared" ref="J46:M46" si="99">ROUND(J45*2^0.5*2/PI(),0)</f>
        <v>24</v>
      </c>
      <c r="K46" s="111">
        <f t="shared" si="99"/>
        <v>22</v>
      </c>
      <c r="L46" s="111">
        <f t="shared" si="99"/>
        <v>19</v>
      </c>
      <c r="M46" s="111">
        <f t="shared" si="99"/>
        <v>25</v>
      </c>
      <c r="N46" s="108" t="s">
        <v>2</v>
      </c>
      <c r="O46" s="109"/>
      <c r="P46" s="108"/>
      <c r="R46" s="80" t="s">
        <v>465</v>
      </c>
      <c r="S46" s="81">
        <v>1</v>
      </c>
      <c r="T46" s="81"/>
      <c r="U46" s="80"/>
      <c r="V46" s="170"/>
      <c r="W46" s="70" t="s">
        <v>183</v>
      </c>
      <c r="X46" s="68"/>
      <c r="Y46" s="68"/>
      <c r="AA46" s="73" t="s">
        <v>216</v>
      </c>
      <c r="AB46" s="75">
        <v>3.8999999999999998E-3</v>
      </c>
      <c r="AC46" s="73" t="s">
        <v>217</v>
      </c>
      <c r="AD46" s="170"/>
      <c r="AE46" s="170"/>
    </row>
    <row r="47" spans="2:34" ht="17.399999999999999" x14ac:dyDescent="0.25">
      <c r="B47" s="108" t="s">
        <v>92</v>
      </c>
      <c r="C47" s="111">
        <f t="shared" ref="C47:D47" si="100">C46/C38</f>
        <v>132</v>
      </c>
      <c r="D47" s="111">
        <f t="shared" si="100"/>
        <v>105</v>
      </c>
      <c r="E47" s="217"/>
      <c r="F47" s="229">
        <f t="shared" ref="F47:G47" si="101">F46/F38</f>
        <v>54</v>
      </c>
      <c r="G47" s="217">
        <f t="shared" si="101"/>
        <v>50</v>
      </c>
      <c r="H47" s="111"/>
      <c r="I47" s="111">
        <f t="shared" ref="I47" si="102">I46/I38</f>
        <v>31</v>
      </c>
      <c r="J47" s="111">
        <f t="shared" ref="J47:M47" si="103">J46/J38</f>
        <v>24</v>
      </c>
      <c r="K47" s="111">
        <f t="shared" si="103"/>
        <v>22</v>
      </c>
      <c r="L47" s="111">
        <f t="shared" si="103"/>
        <v>19</v>
      </c>
      <c r="M47" s="111">
        <f t="shared" si="103"/>
        <v>25</v>
      </c>
      <c r="N47" s="108" t="s">
        <v>2</v>
      </c>
      <c r="O47" s="109"/>
      <c r="P47" s="108"/>
      <c r="R47" s="80" t="s">
        <v>56</v>
      </c>
      <c r="S47" s="82">
        <f>S45*0.9/S46</f>
        <v>360.90000000000003</v>
      </c>
      <c r="T47" s="82"/>
      <c r="U47" s="80" t="s">
        <v>0</v>
      </c>
      <c r="V47" s="170"/>
      <c r="W47" s="68" t="s">
        <v>184</v>
      </c>
      <c r="X47" s="71">
        <f>X31*X35/X36/1000</f>
        <v>13.200000000000001</v>
      </c>
      <c r="Y47" s="166" t="s">
        <v>180</v>
      </c>
      <c r="AA47" s="73" t="s">
        <v>218</v>
      </c>
      <c r="AB47" s="76">
        <v>45</v>
      </c>
      <c r="AC47" s="73" t="s">
        <v>48</v>
      </c>
      <c r="AD47" s="170"/>
      <c r="AE47" s="170"/>
    </row>
    <row r="48" spans="2:34" ht="18" thickBot="1" x14ac:dyDescent="0.3">
      <c r="B48" s="108" t="s">
        <v>93</v>
      </c>
      <c r="C48" s="111">
        <f t="shared" ref="C48:D48" si="104">ROUND(C47/C11,3)</f>
        <v>1.157</v>
      </c>
      <c r="D48" s="111">
        <f t="shared" si="104"/>
        <v>2.0270000000000001</v>
      </c>
      <c r="E48" s="217"/>
      <c r="F48" s="241">
        <f t="shared" ref="F48:G48" si="105">ROUND(F47/F11,3)</f>
        <v>1.5609999999999999</v>
      </c>
      <c r="G48" s="267">
        <f t="shared" si="105"/>
        <v>1.4450000000000001</v>
      </c>
      <c r="H48" s="111"/>
      <c r="I48" s="111">
        <f t="shared" ref="I48" si="106">ROUND(I47/I11,3)</f>
        <v>2.0950000000000002</v>
      </c>
      <c r="J48" s="111">
        <f t="shared" ref="J48:M48" si="107">ROUND(J47/J11,3)</f>
        <v>2.4</v>
      </c>
      <c r="K48" s="111">
        <f t="shared" si="107"/>
        <v>2.5289999999999999</v>
      </c>
      <c r="L48" s="111">
        <f t="shared" si="107"/>
        <v>2.5680000000000001</v>
      </c>
      <c r="M48" s="111">
        <f t="shared" si="107"/>
        <v>2.294</v>
      </c>
      <c r="N48" s="108"/>
      <c r="O48" s="109"/>
      <c r="P48" s="108"/>
      <c r="R48" s="80" t="s">
        <v>264</v>
      </c>
      <c r="S48" s="82">
        <f>(S43*1000)/(S44*S45*0.9/S46)</f>
        <v>0.87270886650390644</v>
      </c>
      <c r="T48" s="82"/>
      <c r="U48" s="80"/>
      <c r="V48" s="170"/>
      <c r="W48" s="68" t="s">
        <v>185</v>
      </c>
      <c r="X48" s="71">
        <f>X47/SIN(X42*PI()/180)/SQRT(2)</f>
        <v>18.667619023324857</v>
      </c>
      <c r="Y48" s="166" t="s">
        <v>171</v>
      </c>
      <c r="AA48" s="73" t="s">
        <v>219</v>
      </c>
      <c r="AB48" s="75">
        <f>AB45*(1+AB46*(AB47-20))</f>
        <v>1.9206249999999998</v>
      </c>
      <c r="AC48" s="73" t="s">
        <v>215</v>
      </c>
      <c r="AD48" s="170"/>
      <c r="AE48" s="170"/>
    </row>
    <row r="49" spans="2:31" ht="17.399999999999999" x14ac:dyDescent="0.25">
      <c r="R49" s="80" t="s">
        <v>265</v>
      </c>
      <c r="S49" s="87">
        <f>DEGREES(ACOS(S48))</f>
        <v>29.225030363895115</v>
      </c>
      <c r="T49" s="87"/>
      <c r="U49" s="80"/>
      <c r="V49" s="170"/>
      <c r="W49" s="68" t="s">
        <v>174</v>
      </c>
      <c r="X49" s="83">
        <f>X48*X38</f>
        <v>18.667619023324857</v>
      </c>
      <c r="Y49" s="166" t="s">
        <v>171</v>
      </c>
      <c r="AA49" s="73" t="s">
        <v>220</v>
      </c>
      <c r="AB49" s="77">
        <f>1/(AB48/100000000)</f>
        <v>52066384.64041654</v>
      </c>
      <c r="AC49" s="73" t="s">
        <v>221</v>
      </c>
      <c r="AD49" s="170"/>
      <c r="AE49" s="170"/>
    </row>
    <row r="50" spans="2:31" ht="17.399999999999999" x14ac:dyDescent="0.25">
      <c r="B50" s="106" t="s">
        <v>312</v>
      </c>
      <c r="R50" s="170"/>
      <c r="S50" s="170"/>
      <c r="T50" s="189"/>
      <c r="U50" s="170"/>
      <c r="V50" s="170"/>
      <c r="W50" s="68" t="s">
        <v>186</v>
      </c>
      <c r="X50" s="71">
        <f>X49/X39*100</f>
        <v>7.7781745930520243</v>
      </c>
      <c r="Y50" s="72" t="s">
        <v>187</v>
      </c>
      <c r="AA50" s="73" t="s">
        <v>222</v>
      </c>
      <c r="AB50" s="66">
        <v>1</v>
      </c>
      <c r="AC50" s="73" t="s">
        <v>223</v>
      </c>
      <c r="AD50" s="170"/>
      <c r="AE50" s="170"/>
    </row>
    <row r="51" spans="2:31" ht="17.399999999999999" x14ac:dyDescent="0.4">
      <c r="B51" s="91" t="s">
        <v>296</v>
      </c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1" t="s">
        <v>49</v>
      </c>
      <c r="O51" s="109">
        <v>8</v>
      </c>
      <c r="P51" s="94" t="s">
        <v>300</v>
      </c>
      <c r="R51" s="274" t="s">
        <v>288</v>
      </c>
      <c r="S51" s="274"/>
      <c r="T51" s="274"/>
      <c r="U51" s="274"/>
      <c r="V51" s="170"/>
      <c r="W51" s="68" t="s">
        <v>188</v>
      </c>
      <c r="X51" s="71">
        <f>X50*X50/100</f>
        <v>0.6050000000000002</v>
      </c>
      <c r="Y51" s="72" t="s">
        <v>187</v>
      </c>
      <c r="AA51" s="73" t="s">
        <v>37</v>
      </c>
      <c r="AB51" s="78">
        <v>18000</v>
      </c>
      <c r="AC51" s="73" t="s">
        <v>224</v>
      </c>
      <c r="AD51" s="170"/>
      <c r="AE51" s="170"/>
    </row>
    <row r="52" spans="2:31" ht="17.399999999999999" x14ac:dyDescent="0.4">
      <c r="B52" s="91" t="s">
        <v>114</v>
      </c>
      <c r="C52" s="120" t="e">
        <f t="shared" ref="C52" si="108">C45/C51</f>
        <v>#DIV/0!</v>
      </c>
      <c r="D52" s="120"/>
      <c r="E52" s="120"/>
      <c r="F52" s="120"/>
      <c r="G52" s="120"/>
      <c r="H52" s="120"/>
      <c r="I52" s="120"/>
      <c r="J52" s="120"/>
      <c r="K52" s="120"/>
      <c r="L52" s="120"/>
      <c r="M52" s="120"/>
      <c r="N52" s="91" t="s">
        <v>2</v>
      </c>
      <c r="O52" s="109"/>
      <c r="P52" s="91" t="s">
        <v>299</v>
      </c>
      <c r="R52" s="91" t="s">
        <v>316</v>
      </c>
      <c r="S52" s="92">
        <v>300</v>
      </c>
      <c r="T52" s="92"/>
      <c r="U52" s="91" t="s">
        <v>13</v>
      </c>
      <c r="V52" s="170"/>
      <c r="W52" s="170"/>
      <c r="X52" s="170"/>
      <c r="Y52" s="170"/>
      <c r="AA52" s="73" t="s">
        <v>254</v>
      </c>
      <c r="AB52" s="90">
        <f>503.3*SQRT((AB48/100000000)/(AB50*AB51))*1000</f>
        <v>0.51989060179696034</v>
      </c>
      <c r="AC52" s="73" t="s">
        <v>225</v>
      </c>
      <c r="AD52" s="170"/>
      <c r="AE52" s="170"/>
    </row>
    <row r="53" spans="2:31" ht="17.399999999999999" x14ac:dyDescent="0.4">
      <c r="B53" s="91" t="s">
        <v>8</v>
      </c>
      <c r="C53" s="98">
        <v>3.2</v>
      </c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1" t="s">
        <v>45</v>
      </c>
      <c r="O53" s="109">
        <v>9</v>
      </c>
      <c r="P53" s="94" t="s">
        <v>117</v>
      </c>
      <c r="R53" s="91" t="s">
        <v>38</v>
      </c>
      <c r="S53" s="92">
        <v>1</v>
      </c>
      <c r="T53" s="92"/>
      <c r="U53" s="91" t="s">
        <v>13</v>
      </c>
      <c r="V53" s="170"/>
      <c r="W53" s="275" t="s">
        <v>250</v>
      </c>
      <c r="X53" s="275"/>
      <c r="Y53" s="275"/>
      <c r="AA53" s="73" t="s">
        <v>255</v>
      </c>
      <c r="AB53" s="84">
        <v>16000</v>
      </c>
      <c r="AC53" s="73" t="s">
        <v>225</v>
      </c>
      <c r="AD53" s="170"/>
      <c r="AE53" s="170"/>
    </row>
    <row r="54" spans="2:31" ht="17.399999999999999" x14ac:dyDescent="0.4">
      <c r="B54" s="91" t="s">
        <v>118</v>
      </c>
      <c r="C54" s="98">
        <v>20</v>
      </c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1" t="s">
        <v>0</v>
      </c>
      <c r="O54" s="109">
        <v>10</v>
      </c>
      <c r="P54" s="94" t="s">
        <v>119</v>
      </c>
      <c r="R54" s="91" t="s">
        <v>39</v>
      </c>
      <c r="S54" s="92">
        <v>100</v>
      </c>
      <c r="T54" s="92"/>
      <c r="U54" s="91" t="s">
        <v>13</v>
      </c>
      <c r="V54" s="170"/>
      <c r="W54" s="68" t="s">
        <v>156</v>
      </c>
      <c r="X54" s="167">
        <v>26.4</v>
      </c>
      <c r="Y54" s="68" t="s">
        <v>157</v>
      </c>
      <c r="AA54" s="73" t="s">
        <v>279</v>
      </c>
      <c r="AB54" s="84">
        <v>2</v>
      </c>
      <c r="AC54" s="73" t="s">
        <v>225</v>
      </c>
      <c r="AD54" s="170"/>
      <c r="AE54" s="170"/>
    </row>
    <row r="55" spans="2:31" ht="17.399999999999999" x14ac:dyDescent="0.4">
      <c r="B55" s="91" t="s">
        <v>9</v>
      </c>
      <c r="C55" s="102">
        <f t="shared" ref="C55" si="109">C54*C53/1000000*C56*1000</f>
        <v>12.837508434236273</v>
      </c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91" t="s">
        <v>6</v>
      </c>
      <c r="O55" s="109"/>
      <c r="P55" s="91"/>
      <c r="R55" s="91" t="s">
        <v>75</v>
      </c>
      <c r="S55" s="97">
        <f>12.5*(S53/10)*(S54/10)/(S52/10)</f>
        <v>0.41666666666666669</v>
      </c>
      <c r="T55" s="97"/>
      <c r="U55" s="91" t="s">
        <v>40</v>
      </c>
      <c r="V55" s="170"/>
      <c r="W55" s="68" t="s">
        <v>160</v>
      </c>
      <c r="X55" s="167">
        <v>500</v>
      </c>
      <c r="Y55" s="68" t="s">
        <v>161</v>
      </c>
      <c r="AA55" s="73" t="s">
        <v>278</v>
      </c>
      <c r="AB55" s="85">
        <f>MIN(AB52,AB54)</f>
        <v>0.51989060179696034</v>
      </c>
      <c r="AC55" s="73" t="s">
        <v>225</v>
      </c>
      <c r="AD55" s="170"/>
      <c r="AE55" s="170"/>
    </row>
    <row r="56" spans="2:31" ht="17.399999999999999" x14ac:dyDescent="0.4">
      <c r="B56" s="91" t="s">
        <v>116</v>
      </c>
      <c r="C56" s="120">
        <f t="shared" ref="C56" si="110">C23</f>
        <v>200.58606928494177</v>
      </c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91" t="s">
        <v>4</v>
      </c>
      <c r="O56" s="109"/>
      <c r="P56" s="91" t="s">
        <v>115</v>
      </c>
      <c r="W56" s="68" t="s">
        <v>163</v>
      </c>
      <c r="X56" s="167">
        <v>240</v>
      </c>
      <c r="Y56" s="68" t="s">
        <v>164</v>
      </c>
      <c r="AA56" s="73" t="s">
        <v>259</v>
      </c>
      <c r="AB56" s="84">
        <v>15</v>
      </c>
      <c r="AC56" s="73" t="s">
        <v>225</v>
      </c>
    </row>
    <row r="57" spans="2:31" ht="17.399999999999999" x14ac:dyDescent="0.4">
      <c r="B57" s="91" t="s">
        <v>295</v>
      </c>
      <c r="C57" s="101" t="e">
        <f t="shared" ref="C57" si="111">C52*1.414</f>
        <v>#DIV/0!</v>
      </c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91" t="s">
        <v>2</v>
      </c>
      <c r="O57" s="109"/>
      <c r="P57" s="91" t="s">
        <v>301</v>
      </c>
      <c r="R57" s="274" t="s">
        <v>313</v>
      </c>
      <c r="S57" s="274"/>
      <c r="T57" s="274"/>
      <c r="U57" s="274"/>
      <c r="W57" s="68" t="s">
        <v>166</v>
      </c>
      <c r="X57" s="168">
        <f>X54*X55/X56</f>
        <v>55</v>
      </c>
      <c r="Y57" s="68" t="s">
        <v>167</v>
      </c>
      <c r="AA57" s="73" t="s">
        <v>260</v>
      </c>
      <c r="AB57" s="84">
        <v>15</v>
      </c>
      <c r="AC57" s="73" t="s">
        <v>225</v>
      </c>
    </row>
    <row r="58" spans="2:31" ht="17.399999999999999" x14ac:dyDescent="0.4">
      <c r="B58" s="91" t="s">
        <v>120</v>
      </c>
      <c r="C58" s="98">
        <v>0</v>
      </c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1" t="s">
        <v>5</v>
      </c>
      <c r="O58" s="109">
        <v>11</v>
      </c>
      <c r="P58" s="94" t="s">
        <v>121</v>
      </c>
      <c r="R58" s="91" t="s">
        <v>314</v>
      </c>
      <c r="S58" s="92">
        <v>3000</v>
      </c>
      <c r="T58" s="92"/>
      <c r="U58" s="91" t="s">
        <v>50</v>
      </c>
      <c r="W58" s="170"/>
      <c r="X58" s="170"/>
      <c r="Y58" s="170"/>
      <c r="AA58" s="73" t="s">
        <v>275</v>
      </c>
      <c r="AB58" s="90">
        <f>(AB56*AB57)-((AB56-2*AB55)*(AB57-2*AB55))</f>
        <v>30.112291156470377</v>
      </c>
      <c r="AC58" s="73" t="s">
        <v>251</v>
      </c>
    </row>
    <row r="59" spans="2:31" ht="17.399999999999999" x14ac:dyDescent="0.4">
      <c r="B59" s="91" t="s">
        <v>122</v>
      </c>
      <c r="C59" s="102">
        <v>0</v>
      </c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91" t="s">
        <v>5</v>
      </c>
      <c r="O59" s="109"/>
      <c r="P59" s="91"/>
      <c r="R59" s="91" t="s">
        <v>38</v>
      </c>
      <c r="S59" s="92">
        <v>1</v>
      </c>
      <c r="T59" s="92"/>
      <c r="U59" s="91" t="s">
        <v>13</v>
      </c>
      <c r="W59" s="275" t="s">
        <v>328</v>
      </c>
      <c r="X59" s="275"/>
      <c r="Y59" s="275"/>
      <c r="AA59" s="73" t="s">
        <v>256</v>
      </c>
      <c r="AB59" s="84">
        <v>935</v>
      </c>
      <c r="AC59" s="67" t="s">
        <v>252</v>
      </c>
    </row>
    <row r="60" spans="2:31" ht="17.399999999999999" x14ac:dyDescent="0.4">
      <c r="B60" s="91" t="s">
        <v>123</v>
      </c>
      <c r="C60" s="102">
        <v>0</v>
      </c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91" t="s">
        <v>5</v>
      </c>
      <c r="O60" s="109"/>
      <c r="P60" s="91"/>
      <c r="R60" s="91" t="s">
        <v>315</v>
      </c>
      <c r="S60" s="92">
        <v>2.1</v>
      </c>
      <c r="T60" s="92"/>
      <c r="U60" s="91" t="s">
        <v>318</v>
      </c>
      <c r="V60" s="2"/>
      <c r="W60" s="80" t="s">
        <v>319</v>
      </c>
      <c r="X60" s="81">
        <v>15.4</v>
      </c>
      <c r="Y60" s="80" t="s">
        <v>13</v>
      </c>
      <c r="AA60" s="73" t="s">
        <v>490</v>
      </c>
      <c r="AB60" s="86">
        <f>AB59/AB58</f>
        <v>31.050443659086763</v>
      </c>
      <c r="AC60" s="67" t="s">
        <v>252</v>
      </c>
    </row>
    <row r="61" spans="2:31" ht="17.399999999999999" x14ac:dyDescent="0.4">
      <c r="B61" s="91" t="s">
        <v>124</v>
      </c>
      <c r="C61" s="99">
        <f t="shared" ref="C61" si="112">C58*C56+C59*C56</f>
        <v>0</v>
      </c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1" t="s">
        <v>6</v>
      </c>
      <c r="O61" s="109"/>
      <c r="P61" s="91"/>
      <c r="R61" s="91" t="s">
        <v>76</v>
      </c>
      <c r="S61" s="97">
        <f>8.854/1000000000000*S60*(S58/1000000)/(S59/1000)*1000000000</f>
        <v>5.5780200000000002E-2</v>
      </c>
      <c r="T61" s="97"/>
      <c r="U61" s="91" t="s">
        <v>317</v>
      </c>
      <c r="W61" s="80" t="s">
        <v>320</v>
      </c>
      <c r="X61" s="81">
        <v>2</v>
      </c>
      <c r="Y61" s="80" t="s">
        <v>13</v>
      </c>
      <c r="AA61" s="73" t="s">
        <v>257</v>
      </c>
      <c r="AB61" s="86">
        <f>AB48/100000000*(AB59^2)/(AB58/1000000)*AB53/1000</f>
        <v>8921.5842495689321</v>
      </c>
      <c r="AC61" s="67" t="s">
        <v>253</v>
      </c>
    </row>
    <row r="62" spans="2:31" ht="17.399999999999999" x14ac:dyDescent="0.4">
      <c r="B62" s="91" t="s">
        <v>125</v>
      </c>
      <c r="C62" s="102">
        <f t="shared" ref="C62" si="113">C56*C60</f>
        <v>0</v>
      </c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91" t="s">
        <v>6</v>
      </c>
      <c r="O62" s="109"/>
      <c r="P62" s="91"/>
      <c r="W62" s="80" t="s">
        <v>321</v>
      </c>
      <c r="X62" s="82">
        <f>X60+X61*2</f>
        <v>19.399999999999999</v>
      </c>
      <c r="Y62" s="80" t="s">
        <v>13</v>
      </c>
    </row>
    <row r="63" spans="2:31" ht="17.399999999999999" x14ac:dyDescent="0.4">
      <c r="B63" s="91" t="s">
        <v>126</v>
      </c>
      <c r="C63" s="98">
        <v>100</v>
      </c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1" t="s">
        <v>7</v>
      </c>
      <c r="O63" s="109">
        <v>12</v>
      </c>
      <c r="P63" s="94" t="s">
        <v>127</v>
      </c>
      <c r="R63" s="277" t="s">
        <v>466</v>
      </c>
      <c r="S63" s="277"/>
      <c r="T63" s="277"/>
      <c r="U63" s="277"/>
      <c r="V63" s="169"/>
      <c r="W63" s="124" t="s">
        <v>322</v>
      </c>
      <c r="X63" s="125">
        <v>8.8539999999999992E-12</v>
      </c>
      <c r="Y63" s="108"/>
      <c r="AA63" s="275" t="s">
        <v>486</v>
      </c>
      <c r="AB63" s="275"/>
      <c r="AC63" s="275"/>
    </row>
    <row r="64" spans="2:31" ht="17.399999999999999" x14ac:dyDescent="0.4">
      <c r="B64" s="91" t="s">
        <v>128</v>
      </c>
      <c r="C64" s="103">
        <f t="shared" ref="C64" si="114">C61*C63/100</f>
        <v>0</v>
      </c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91" t="s">
        <v>6</v>
      </c>
      <c r="O64" s="109"/>
      <c r="P64" s="91"/>
      <c r="R64" s="129"/>
      <c r="S64" s="130" t="s">
        <v>459</v>
      </c>
      <c r="T64" s="130"/>
      <c r="U64" s="130" t="s">
        <v>460</v>
      </c>
      <c r="V64" s="130" t="s">
        <v>461</v>
      </c>
      <c r="W64" s="124" t="s">
        <v>323</v>
      </c>
      <c r="X64" s="122">
        <v>2.1</v>
      </c>
      <c r="Y64" s="108" t="s">
        <v>318</v>
      </c>
      <c r="Z64" s="170"/>
      <c r="AA64" s="166" t="s">
        <v>212</v>
      </c>
      <c r="AB64" s="66" t="s">
        <v>213</v>
      </c>
      <c r="AC64" s="66"/>
    </row>
    <row r="65" spans="2:29" ht="17.399999999999999" x14ac:dyDescent="0.4">
      <c r="B65" s="91" t="s">
        <v>129</v>
      </c>
      <c r="C65" s="101" t="e">
        <f t="shared" ref="C65" si="115">C52*0.9</f>
        <v>#DIV/0!</v>
      </c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91" t="s">
        <v>2</v>
      </c>
      <c r="O65" s="109"/>
      <c r="P65" s="91"/>
      <c r="R65" s="130" t="s">
        <v>458</v>
      </c>
      <c r="S65" s="130" t="s">
        <v>464</v>
      </c>
      <c r="T65" s="130"/>
      <c r="U65" s="130" t="s">
        <v>462</v>
      </c>
      <c r="V65" s="130" t="s">
        <v>463</v>
      </c>
      <c r="W65" s="108" t="s">
        <v>324</v>
      </c>
      <c r="X65" s="125">
        <f>2*PI()*X63*X64/(LN(X62/X60))*1000000000</f>
        <v>0.50594615125588516</v>
      </c>
      <c r="Y65" s="108" t="s">
        <v>317</v>
      </c>
      <c r="Z65" s="170"/>
      <c r="AA65" s="73" t="s">
        <v>214</v>
      </c>
      <c r="AB65" s="74">
        <v>1.75</v>
      </c>
      <c r="AC65" s="73" t="s">
        <v>215</v>
      </c>
    </row>
    <row r="66" spans="2:29" ht="17.399999999999999" x14ac:dyDescent="0.4">
      <c r="B66" s="91" t="s">
        <v>130</v>
      </c>
      <c r="C66" s="98">
        <v>0</v>
      </c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1" t="s">
        <v>44</v>
      </c>
      <c r="O66" s="109">
        <v>13</v>
      </c>
      <c r="P66" s="94" t="s">
        <v>131</v>
      </c>
      <c r="R66" s="128">
        <v>0.5</v>
      </c>
      <c r="S66" s="128"/>
      <c r="T66" s="128"/>
      <c r="U66" s="128">
        <v>2.5</v>
      </c>
      <c r="V66" s="128"/>
      <c r="W66" s="108" t="s">
        <v>325</v>
      </c>
      <c r="X66" s="122">
        <v>10</v>
      </c>
      <c r="Y66" s="108" t="s">
        <v>327</v>
      </c>
      <c r="Z66" s="170"/>
      <c r="AA66" s="73" t="s">
        <v>216</v>
      </c>
      <c r="AB66" s="75">
        <v>3.8999999999999998E-3</v>
      </c>
      <c r="AC66" s="73" t="s">
        <v>217</v>
      </c>
    </row>
    <row r="67" spans="2:29" ht="17.399999999999999" x14ac:dyDescent="0.4">
      <c r="B67" s="91" t="s">
        <v>132</v>
      </c>
      <c r="C67" s="98">
        <v>0</v>
      </c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1" t="s">
        <v>44</v>
      </c>
      <c r="O67" s="109">
        <v>14</v>
      </c>
      <c r="P67" s="94" t="s">
        <v>133</v>
      </c>
      <c r="R67" s="128">
        <v>0.8</v>
      </c>
      <c r="S67" s="128">
        <v>2</v>
      </c>
      <c r="T67" s="128"/>
      <c r="U67" s="128">
        <v>1.42</v>
      </c>
      <c r="V67" s="128"/>
      <c r="W67" s="108" t="s">
        <v>326</v>
      </c>
      <c r="X67" s="126">
        <f>X65*X66</f>
        <v>5.0594615125588511</v>
      </c>
      <c r="Y67" s="108" t="s">
        <v>317</v>
      </c>
      <c r="Z67" s="170"/>
      <c r="AA67" s="73" t="s">
        <v>218</v>
      </c>
      <c r="AB67" s="76">
        <v>45</v>
      </c>
      <c r="AC67" s="73" t="s">
        <v>48</v>
      </c>
    </row>
    <row r="68" spans="2:29" ht="17.399999999999999" x14ac:dyDescent="0.4">
      <c r="B68" s="91" t="s">
        <v>72</v>
      </c>
      <c r="C68" s="102">
        <f t="shared" ref="C68" si="116">C43</f>
        <v>98.943950030991871</v>
      </c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91" t="s">
        <v>7</v>
      </c>
      <c r="O68" s="109"/>
      <c r="P68" s="94"/>
      <c r="R68" s="128">
        <v>1</v>
      </c>
      <c r="S68" s="128">
        <v>2</v>
      </c>
      <c r="T68" s="128"/>
      <c r="U68" s="128">
        <v>1.4</v>
      </c>
      <c r="V68" s="128"/>
      <c r="Z68" s="170"/>
      <c r="AA68" s="73" t="s">
        <v>219</v>
      </c>
      <c r="AB68" s="75">
        <f>AB65*(1+AB66*(AB67-20))</f>
        <v>1.9206249999999998</v>
      </c>
      <c r="AC68" s="73" t="s">
        <v>215</v>
      </c>
    </row>
    <row r="69" spans="2:29" ht="17.399999999999999" x14ac:dyDescent="0.4">
      <c r="B69" s="91" t="s">
        <v>134</v>
      </c>
      <c r="C69" s="102">
        <f t="shared" ref="C69" si="117">C19</f>
        <v>30</v>
      </c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91" t="s">
        <v>79</v>
      </c>
      <c r="O69" s="109"/>
      <c r="P69" s="91"/>
      <c r="R69" s="128">
        <v>1.2</v>
      </c>
      <c r="S69" s="128"/>
      <c r="T69" s="128"/>
      <c r="U69" s="128">
        <v>1.04</v>
      </c>
      <c r="V69" s="128"/>
      <c r="Z69" s="170"/>
      <c r="AA69" s="73" t="s">
        <v>220</v>
      </c>
      <c r="AB69" s="77">
        <f>1/(AB68/100000000)</f>
        <v>52066384.64041654</v>
      </c>
      <c r="AC69" s="73" t="s">
        <v>221</v>
      </c>
    </row>
    <row r="70" spans="2:29" ht="17.399999999999999" x14ac:dyDescent="0.4">
      <c r="B70" s="91" t="s">
        <v>135</v>
      </c>
      <c r="C70" s="102" t="e">
        <f t="shared" ref="C70" si="118">ROUNDUP((C65*C66*((C68*180/100-C69)/180))/2,0)</f>
        <v>#DIV/0!</v>
      </c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91" t="s">
        <v>6</v>
      </c>
      <c r="O70" s="109"/>
      <c r="P70" s="91"/>
      <c r="R70" s="128">
        <v>2</v>
      </c>
      <c r="S70" s="128">
        <v>1.1200000000000001</v>
      </c>
      <c r="T70" s="128"/>
      <c r="U70" s="128">
        <v>0.75</v>
      </c>
      <c r="V70" s="128"/>
      <c r="Z70" s="170"/>
      <c r="AA70" s="73" t="s">
        <v>222</v>
      </c>
      <c r="AB70" s="66">
        <v>1</v>
      </c>
      <c r="AC70" s="73" t="s">
        <v>223</v>
      </c>
    </row>
    <row r="71" spans="2:29" ht="17.399999999999999" x14ac:dyDescent="0.4">
      <c r="B71" s="91" t="s">
        <v>136</v>
      </c>
      <c r="C71" s="102" t="e">
        <f t="shared" ref="C71" si="119">ROUNDUP((C65*C67*(1-(C68*180/100-C69)/180))/2,0)</f>
        <v>#DIV/0!</v>
      </c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91" t="s">
        <v>6</v>
      </c>
      <c r="O71" s="109"/>
      <c r="P71" s="91"/>
      <c r="R71" s="128">
        <v>3</v>
      </c>
      <c r="S71" s="128">
        <v>0.71</v>
      </c>
      <c r="T71" s="128"/>
      <c r="U71" s="128">
        <v>0.57999999999999996</v>
      </c>
      <c r="V71" s="128"/>
      <c r="Z71" s="170"/>
      <c r="AA71" s="73" t="s">
        <v>255</v>
      </c>
      <c r="AB71" s="84">
        <v>6126</v>
      </c>
      <c r="AC71" s="73" t="s">
        <v>225</v>
      </c>
    </row>
    <row r="72" spans="2:29" ht="17.399999999999999" x14ac:dyDescent="0.4">
      <c r="B72" s="91" t="s">
        <v>69</v>
      </c>
      <c r="C72" s="103" t="e">
        <f t="shared" ref="C72" si="120">ROUNDUP(((C65*C66*(((C68*180/100-C69)/180))+(C65*C67*(1-(C68*180/100-C69)/180))))/2,0)</f>
        <v>#DIV/0!</v>
      </c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91" t="s">
        <v>6</v>
      </c>
      <c r="O72" s="109"/>
      <c r="P72" s="91"/>
      <c r="R72" s="128">
        <v>5</v>
      </c>
      <c r="S72" s="128">
        <v>0.43</v>
      </c>
      <c r="T72" s="128"/>
      <c r="U72" s="128">
        <v>0.36</v>
      </c>
      <c r="V72" s="128"/>
      <c r="Z72" s="170"/>
      <c r="AA72" s="73" t="s">
        <v>280</v>
      </c>
      <c r="AB72" s="84">
        <v>2</v>
      </c>
      <c r="AC72" s="73" t="s">
        <v>225</v>
      </c>
    </row>
    <row r="73" spans="2:29" ht="17.399999999999999" x14ac:dyDescent="0.4">
      <c r="B73" s="91" t="s">
        <v>297</v>
      </c>
      <c r="C73" s="102" t="e">
        <f t="shared" ref="C73" si="121">C64+C70</f>
        <v>#DIV/0!</v>
      </c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91" t="s">
        <v>6</v>
      </c>
      <c r="O73" s="109"/>
      <c r="P73" s="91"/>
      <c r="R73" s="128">
        <v>6</v>
      </c>
      <c r="S73" s="128"/>
      <c r="T73" s="128"/>
      <c r="U73" s="128">
        <v>0.34</v>
      </c>
      <c r="V73" s="128">
        <v>0.62</v>
      </c>
      <c r="Z73" s="170"/>
      <c r="AA73" s="73" t="s">
        <v>276</v>
      </c>
      <c r="AB73" s="84">
        <v>60</v>
      </c>
      <c r="AC73" s="73" t="s">
        <v>225</v>
      </c>
    </row>
    <row r="74" spans="2:29" ht="17.399999999999999" x14ac:dyDescent="0.4">
      <c r="B74" s="91" t="s">
        <v>298</v>
      </c>
      <c r="C74" s="102" t="e">
        <f t="shared" ref="C74" si="122">C71+C62</f>
        <v>#DIV/0!</v>
      </c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91" t="s">
        <v>6</v>
      </c>
      <c r="O74" s="109"/>
      <c r="P74" s="91"/>
      <c r="R74" s="128">
        <v>8</v>
      </c>
      <c r="S74" s="128">
        <v>0.3</v>
      </c>
      <c r="T74" s="128"/>
      <c r="U74" s="128">
        <v>0.25</v>
      </c>
      <c r="V74" s="128"/>
      <c r="Z74" s="170"/>
      <c r="AA74" s="73" t="s">
        <v>275</v>
      </c>
      <c r="AB74" s="90">
        <f>AB72*AB73</f>
        <v>120</v>
      </c>
      <c r="AC74" s="73" t="s">
        <v>251</v>
      </c>
    </row>
    <row r="75" spans="2:29" ht="17.399999999999999" x14ac:dyDescent="0.4">
      <c r="B75" s="91" t="s">
        <v>305</v>
      </c>
      <c r="C75" s="103" t="e">
        <f t="shared" ref="C75" si="123">ROUNDUP((C55+C64+C72),0)</f>
        <v>#DIV/0!</v>
      </c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91" t="s">
        <v>6</v>
      </c>
      <c r="O75" s="109"/>
      <c r="P75" s="91"/>
      <c r="R75" s="128">
        <v>10</v>
      </c>
      <c r="S75" s="128"/>
      <c r="T75" s="128"/>
      <c r="U75" s="128"/>
      <c r="V75" s="128">
        <v>0.45</v>
      </c>
      <c r="Z75" s="170"/>
      <c r="AA75" s="73" t="s">
        <v>256</v>
      </c>
      <c r="AB75" s="84">
        <v>850</v>
      </c>
      <c r="AC75" s="67" t="s">
        <v>252</v>
      </c>
    </row>
    <row r="76" spans="2:29" ht="17.399999999999999" x14ac:dyDescent="0.4">
      <c r="B76" s="91" t="s">
        <v>137</v>
      </c>
      <c r="C76" s="164">
        <v>2</v>
      </c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91"/>
      <c r="O76" s="109">
        <v>15</v>
      </c>
      <c r="P76" s="94" t="s">
        <v>304</v>
      </c>
      <c r="R76" s="128">
        <v>15</v>
      </c>
      <c r="S76" s="128"/>
      <c r="T76" s="128"/>
      <c r="U76" s="128"/>
      <c r="V76" s="128">
        <v>0.4</v>
      </c>
      <c r="Z76" s="170"/>
      <c r="AA76" s="73" t="s">
        <v>490</v>
      </c>
      <c r="AB76" s="86">
        <f>AB75/AB74</f>
        <v>7.083333333333333</v>
      </c>
      <c r="AC76" s="67" t="s">
        <v>252</v>
      </c>
    </row>
    <row r="77" spans="2:29" ht="17.399999999999999" x14ac:dyDescent="0.4">
      <c r="B77" s="91" t="s">
        <v>70</v>
      </c>
      <c r="C77" s="104" t="e">
        <f t="shared" ref="C77" si="124">C75*C76</f>
        <v>#DIV/0!</v>
      </c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91" t="s">
        <v>46</v>
      </c>
      <c r="O77" s="109"/>
      <c r="P77" s="91"/>
      <c r="R77" s="128">
        <v>20</v>
      </c>
      <c r="S77" s="128"/>
      <c r="T77" s="128"/>
      <c r="U77" s="128"/>
      <c r="V77" s="128">
        <v>0.35</v>
      </c>
      <c r="Z77" s="170"/>
      <c r="AA77" s="73" t="s">
        <v>257</v>
      </c>
      <c r="AB77" s="86">
        <f>AB68/100000000*(AB75^2)/(AB74/1000000)*AB71/1000</f>
        <v>708.39612265624987</v>
      </c>
      <c r="AC77" s="67" t="s">
        <v>253</v>
      </c>
    </row>
    <row r="78" spans="2:29" ht="17.399999999999999" x14ac:dyDescent="0.4">
      <c r="B78" s="91" t="s">
        <v>43</v>
      </c>
      <c r="C78" s="105">
        <v>1950</v>
      </c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91" t="s">
        <v>6</v>
      </c>
      <c r="O78" s="109">
        <v>16</v>
      </c>
      <c r="P78" s="94" t="s">
        <v>117</v>
      </c>
      <c r="R78" s="128">
        <v>30</v>
      </c>
      <c r="S78" s="128"/>
      <c r="T78" s="128"/>
      <c r="U78" s="128"/>
      <c r="V78" s="128">
        <v>0.28939999999999999</v>
      </c>
      <c r="Z78" s="170"/>
    </row>
    <row r="79" spans="2:29" ht="17.399999999999999" x14ac:dyDescent="0.4">
      <c r="B79" s="91" t="s">
        <v>302</v>
      </c>
      <c r="C79" s="104" t="e">
        <f t="shared" ref="C79" si="125">ROUNDUP(C77/C78*100,0)</f>
        <v>#DIV/0!</v>
      </c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91" t="s">
        <v>7</v>
      </c>
      <c r="O79" s="109"/>
      <c r="P79" s="94" t="s">
        <v>303</v>
      </c>
      <c r="R79" s="128">
        <v>50</v>
      </c>
      <c r="S79" s="128"/>
      <c r="T79" s="128"/>
      <c r="U79" s="128"/>
      <c r="V79" s="128">
        <v>0.224</v>
      </c>
      <c r="Z79" s="170"/>
    </row>
    <row r="80" spans="2:29" ht="17.399999999999999" x14ac:dyDescent="0.4">
      <c r="B80" s="91" t="s">
        <v>138</v>
      </c>
      <c r="C80" s="127">
        <v>6.4000000000000001E-2</v>
      </c>
      <c r="D80" s="127"/>
      <c r="E80" s="127"/>
      <c r="F80" s="127"/>
      <c r="G80" s="127"/>
      <c r="H80" s="127"/>
      <c r="I80" s="127"/>
      <c r="J80" s="127"/>
      <c r="K80" s="127"/>
      <c r="L80" s="127"/>
      <c r="M80" s="127"/>
      <c r="N80" s="91" t="s">
        <v>58</v>
      </c>
      <c r="O80" s="109">
        <v>17</v>
      </c>
      <c r="P80" s="118" t="s">
        <v>117</v>
      </c>
      <c r="R80" s="128">
        <v>100</v>
      </c>
      <c r="S80" s="128"/>
      <c r="T80" s="128"/>
      <c r="U80" s="128"/>
      <c r="V80" s="128">
        <v>0.161</v>
      </c>
      <c r="Z80" s="170"/>
    </row>
    <row r="81" spans="2:26" ht="17.399999999999999" x14ac:dyDescent="0.4">
      <c r="B81" s="91" t="s">
        <v>287</v>
      </c>
      <c r="C81" s="127">
        <v>0.1</v>
      </c>
      <c r="D81" s="127"/>
      <c r="E81" s="127"/>
      <c r="F81" s="127"/>
      <c r="G81" s="127"/>
      <c r="H81" s="127"/>
      <c r="I81" s="127"/>
      <c r="J81" s="127"/>
      <c r="K81" s="127"/>
      <c r="L81" s="127"/>
      <c r="M81" s="127"/>
      <c r="N81" s="91" t="s">
        <v>58</v>
      </c>
      <c r="O81" s="109">
        <v>18</v>
      </c>
      <c r="P81" s="118" t="s">
        <v>117</v>
      </c>
      <c r="R81" s="128">
        <v>200</v>
      </c>
      <c r="S81" s="128"/>
      <c r="T81" s="128"/>
      <c r="U81" s="128"/>
      <c r="V81" s="128">
        <v>7.7600000000000002E-2</v>
      </c>
      <c r="Z81" s="170"/>
    </row>
    <row r="82" spans="2:26" ht="17.399999999999999" x14ac:dyDescent="0.4">
      <c r="B82" s="91" t="s">
        <v>139</v>
      </c>
      <c r="C82" s="95" t="e">
        <f t="shared" ref="C82:C83" si="126">125-C80*C73</f>
        <v>#DIV/0!</v>
      </c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6" t="s">
        <v>59</v>
      </c>
      <c r="O82" s="109"/>
      <c r="P82" s="94" t="s">
        <v>140</v>
      </c>
      <c r="R82" s="128">
        <v>300</v>
      </c>
      <c r="S82" s="128"/>
      <c r="T82" s="128"/>
      <c r="U82" s="128"/>
      <c r="V82" s="128">
        <v>5.2400000000000002E-2</v>
      </c>
      <c r="Z82" s="170"/>
    </row>
    <row r="83" spans="2:26" ht="17.399999999999999" x14ac:dyDescent="0.4">
      <c r="B83" s="91" t="s">
        <v>141</v>
      </c>
      <c r="C83" s="120" t="e">
        <f t="shared" si="126"/>
        <v>#DIV/0!</v>
      </c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96" t="s">
        <v>59</v>
      </c>
      <c r="O83" s="109"/>
      <c r="P83" s="91"/>
      <c r="Z83" s="170"/>
    </row>
    <row r="84" spans="2:26" ht="17.399999999999999" x14ac:dyDescent="0.4">
      <c r="B84" s="91" t="s">
        <v>142</v>
      </c>
      <c r="C84" s="120" t="e">
        <f t="shared" ref="C84:C85" si="127">C80*C73</f>
        <v>#DIV/0!</v>
      </c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96" t="s">
        <v>59</v>
      </c>
      <c r="O84" s="109"/>
      <c r="P84" s="91"/>
      <c r="R84" s="277" t="s">
        <v>477</v>
      </c>
      <c r="S84" s="277"/>
      <c r="T84" s="277"/>
      <c r="U84" s="277"/>
      <c r="Z84" s="170"/>
    </row>
    <row r="85" spans="2:26" ht="17.399999999999999" x14ac:dyDescent="0.4">
      <c r="B85" s="91" t="s">
        <v>143</v>
      </c>
      <c r="C85" s="120" t="e">
        <f t="shared" si="127"/>
        <v>#DIV/0!</v>
      </c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96" t="s">
        <v>59</v>
      </c>
      <c r="O85" s="109"/>
      <c r="P85" s="91"/>
      <c r="R85" s="131" t="s">
        <v>469</v>
      </c>
      <c r="S85" s="131" t="s">
        <v>475</v>
      </c>
      <c r="T85" s="131"/>
      <c r="U85" s="131"/>
      <c r="Z85" s="170"/>
    </row>
    <row r="86" spans="2:26" ht="17.399999999999999" x14ac:dyDescent="0.4">
      <c r="B86" s="91" t="s">
        <v>144</v>
      </c>
      <c r="C86" s="127">
        <v>3.2000000000000001E-2</v>
      </c>
      <c r="D86" s="127"/>
      <c r="E86" s="127"/>
      <c r="F86" s="127"/>
      <c r="G86" s="127"/>
      <c r="H86" s="127"/>
      <c r="I86" s="127"/>
      <c r="J86" s="127"/>
      <c r="K86" s="127"/>
      <c r="L86" s="127"/>
      <c r="M86" s="127"/>
      <c r="N86" s="91" t="s">
        <v>58</v>
      </c>
      <c r="O86" s="109">
        <v>19</v>
      </c>
      <c r="P86" s="91" t="s">
        <v>117</v>
      </c>
      <c r="R86" s="108" t="s">
        <v>467</v>
      </c>
      <c r="S86" s="108">
        <v>183</v>
      </c>
      <c r="T86" s="108"/>
      <c r="U86" s="108" t="s">
        <v>470</v>
      </c>
      <c r="Z86" s="170"/>
    </row>
    <row r="87" spans="2:26" ht="17.399999999999999" x14ac:dyDescent="0.4">
      <c r="B87" s="91" t="s">
        <v>145</v>
      </c>
      <c r="C87" s="127">
        <v>5.1999999999999998E-2</v>
      </c>
      <c r="D87" s="127"/>
      <c r="E87" s="127"/>
      <c r="F87" s="127"/>
      <c r="G87" s="127"/>
      <c r="H87" s="127"/>
      <c r="I87" s="127"/>
      <c r="J87" s="127"/>
      <c r="K87" s="127"/>
      <c r="L87" s="127"/>
      <c r="M87" s="127"/>
      <c r="N87" s="91" t="s">
        <v>58</v>
      </c>
      <c r="O87" s="109">
        <v>20</v>
      </c>
      <c r="P87" s="91" t="s">
        <v>117</v>
      </c>
      <c r="R87" s="108" t="s">
        <v>468</v>
      </c>
      <c r="S87" s="108">
        <v>75</v>
      </c>
      <c r="T87" s="108"/>
      <c r="U87" s="108" t="s">
        <v>470</v>
      </c>
      <c r="Z87" s="170"/>
    </row>
    <row r="88" spans="2:26" ht="17.399999999999999" x14ac:dyDescent="0.4">
      <c r="B88" s="91" t="s">
        <v>146</v>
      </c>
      <c r="C88" s="121" t="e">
        <f t="shared" ref="C88:C89" si="128">C82-C86*C73</f>
        <v>#DIV/0!</v>
      </c>
      <c r="D88" s="121"/>
      <c r="E88" s="121"/>
      <c r="F88" s="121"/>
      <c r="G88" s="121"/>
      <c r="H88" s="121"/>
      <c r="I88" s="121"/>
      <c r="J88" s="121"/>
      <c r="K88" s="121"/>
      <c r="L88" s="121"/>
      <c r="M88" s="121"/>
      <c r="N88" s="96" t="s">
        <v>59</v>
      </c>
      <c r="O88" s="109"/>
      <c r="P88" s="91" t="s">
        <v>140</v>
      </c>
      <c r="R88" s="108" t="s">
        <v>471</v>
      </c>
      <c r="S88" s="108">
        <v>9</v>
      </c>
      <c r="T88" s="108"/>
      <c r="U88" s="108" t="s">
        <v>470</v>
      </c>
      <c r="Z88" s="170"/>
    </row>
    <row r="89" spans="2:26" ht="17.399999999999999" x14ac:dyDescent="0.4">
      <c r="B89" s="91" t="s">
        <v>147</v>
      </c>
      <c r="C89" s="120" t="e">
        <f t="shared" si="128"/>
        <v>#DIV/0!</v>
      </c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96" t="s">
        <v>59</v>
      </c>
      <c r="O89" s="109"/>
      <c r="P89" s="91"/>
      <c r="R89" s="108" t="s">
        <v>472</v>
      </c>
      <c r="S89" s="108">
        <v>6</v>
      </c>
      <c r="T89" s="108"/>
      <c r="U89" s="108" t="s">
        <v>470</v>
      </c>
      <c r="Z89" s="170"/>
    </row>
    <row r="90" spans="2:26" ht="17.399999999999999" x14ac:dyDescent="0.4">
      <c r="B90" s="91" t="s">
        <v>148</v>
      </c>
      <c r="C90" s="120" t="e">
        <f t="shared" ref="C90:C91" si="129">C86*C73</f>
        <v>#DIV/0!</v>
      </c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96" t="s">
        <v>59</v>
      </c>
      <c r="O90" s="109"/>
      <c r="P90" s="91"/>
      <c r="R90" s="108" t="s">
        <v>473</v>
      </c>
      <c r="S90" s="108">
        <v>12</v>
      </c>
      <c r="T90" s="108"/>
      <c r="U90" s="108" t="s">
        <v>470</v>
      </c>
      <c r="Z90" s="170"/>
    </row>
    <row r="91" spans="2:26" ht="17.399999999999999" x14ac:dyDescent="0.4">
      <c r="B91" s="91" t="s">
        <v>149</v>
      </c>
      <c r="C91" s="120" t="e">
        <f t="shared" si="129"/>
        <v>#DIV/0!</v>
      </c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96" t="s">
        <v>59</v>
      </c>
      <c r="O91" s="109"/>
      <c r="P91" s="91"/>
      <c r="R91" s="108" t="s">
        <v>474</v>
      </c>
      <c r="S91" s="108">
        <v>78.540000000000006</v>
      </c>
      <c r="T91" s="108"/>
      <c r="U91" s="108" t="s">
        <v>470</v>
      </c>
      <c r="Z91" s="170"/>
    </row>
    <row r="92" spans="2:26" ht="17.399999999999999" x14ac:dyDescent="0.4">
      <c r="B92" s="91" t="s">
        <v>60</v>
      </c>
      <c r="C92" s="120">
        <v>60</v>
      </c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96" t="s">
        <v>59</v>
      </c>
      <c r="O92" s="109"/>
      <c r="P92" s="91" t="s">
        <v>150</v>
      </c>
      <c r="Z92" s="170"/>
    </row>
    <row r="93" spans="2:26" ht="17.399999999999999" x14ac:dyDescent="0.4">
      <c r="B93" s="91" t="s">
        <v>61</v>
      </c>
      <c r="C93" s="119">
        <v>8</v>
      </c>
      <c r="D93" s="119"/>
      <c r="E93" s="119"/>
      <c r="F93" s="119"/>
      <c r="G93" s="119"/>
      <c r="H93" s="119"/>
      <c r="I93" s="119"/>
      <c r="J93" s="119"/>
      <c r="K93" s="119"/>
      <c r="L93" s="119"/>
      <c r="M93" s="119"/>
      <c r="N93" s="96" t="s">
        <v>62</v>
      </c>
      <c r="O93" s="109"/>
      <c r="P93" s="91" t="s">
        <v>151</v>
      </c>
      <c r="Z93" s="170"/>
    </row>
    <row r="94" spans="2:26" ht="17.399999999999999" x14ac:dyDescent="0.4">
      <c r="B94" s="91" t="s">
        <v>63</v>
      </c>
      <c r="C94" s="100" t="e">
        <f t="shared" ref="C94" si="130">C92-(C77/1000*860/C93/60)</f>
        <v>#DIV/0!</v>
      </c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96" t="s">
        <v>59</v>
      </c>
      <c r="O94" s="109"/>
      <c r="P94" s="91"/>
      <c r="Z94" s="170"/>
    </row>
    <row r="95" spans="2:26" ht="17.399999999999999" x14ac:dyDescent="0.25">
      <c r="Z95" s="170"/>
    </row>
    <row r="96" spans="2:26" ht="17.399999999999999" x14ac:dyDescent="0.25">
      <c r="Z96" s="170"/>
    </row>
    <row r="97" spans="26:26" ht="17.399999999999999" x14ac:dyDescent="0.25">
      <c r="Z97" s="170"/>
    </row>
    <row r="98" spans="26:26" ht="17.399999999999999" x14ac:dyDescent="0.25">
      <c r="Z98" s="170"/>
    </row>
    <row r="99" spans="26:26" ht="17.399999999999999" x14ac:dyDescent="0.25">
      <c r="Z99" s="170"/>
    </row>
    <row r="100" spans="26:26" ht="17.399999999999999" x14ac:dyDescent="0.25">
      <c r="Z100" s="170"/>
    </row>
    <row r="101" spans="26:26" ht="17.399999999999999" x14ac:dyDescent="0.25">
      <c r="Z101" s="170"/>
    </row>
    <row r="102" spans="26:26" ht="17.399999999999999" x14ac:dyDescent="0.25">
      <c r="Z102" s="170"/>
    </row>
    <row r="103" spans="26:26" ht="17.399999999999999" x14ac:dyDescent="0.25">
      <c r="Z103" s="170"/>
    </row>
    <row r="104" spans="26:26" ht="17.399999999999999" x14ac:dyDescent="0.25">
      <c r="Z104" s="170"/>
    </row>
    <row r="105" spans="26:26" ht="17.399999999999999" x14ac:dyDescent="0.25">
      <c r="Z105" s="170"/>
    </row>
    <row r="106" spans="26:26" ht="17.399999999999999" x14ac:dyDescent="0.25">
      <c r="Z106" s="170"/>
    </row>
    <row r="107" spans="26:26" ht="17.399999999999999" x14ac:dyDescent="0.25">
      <c r="Z107" s="170"/>
    </row>
  </sheetData>
  <mergeCells count="27">
    <mergeCell ref="R84:U84"/>
    <mergeCell ref="R51:U51"/>
    <mergeCell ref="W53:Y53"/>
    <mergeCell ref="R57:U57"/>
    <mergeCell ref="W59:Y59"/>
    <mergeCell ref="R63:U63"/>
    <mergeCell ref="AE21:AG21"/>
    <mergeCell ref="W24:Y24"/>
    <mergeCell ref="AA24:AC24"/>
    <mergeCell ref="AA63:AC63"/>
    <mergeCell ref="R31:U31"/>
    <mergeCell ref="AE34:AG34"/>
    <mergeCell ref="AE40:AG40"/>
    <mergeCell ref="X41:Y41"/>
    <mergeCell ref="R42:U42"/>
    <mergeCell ref="AA43:AC43"/>
    <mergeCell ref="W30:Y30"/>
    <mergeCell ref="R18:U18"/>
    <mergeCell ref="W19:Y19"/>
    <mergeCell ref="R3:U3"/>
    <mergeCell ref="W3:Y3"/>
    <mergeCell ref="AA3:AC3"/>
    <mergeCell ref="C2:D2"/>
    <mergeCell ref="F2:G2"/>
    <mergeCell ref="AE3:AG3"/>
    <mergeCell ref="W10:Y10"/>
    <mergeCell ref="AE10:AG10"/>
  </mergeCells>
  <phoneticPr fontId="3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4"/>
  <sheetViews>
    <sheetView workbookViewId="0">
      <selection activeCell="C28" sqref="C28"/>
    </sheetView>
  </sheetViews>
  <sheetFormatPr defaultRowHeight="14.4" x14ac:dyDescent="0.25"/>
  <cols>
    <col min="2" max="2" width="22.19921875" bestFit="1" customWidth="1"/>
    <col min="3" max="3" width="54.296875" customWidth="1"/>
    <col min="4" max="4" width="41.8984375" customWidth="1"/>
  </cols>
  <sheetData>
    <row r="2" spans="2:4" ht="15" thickBot="1" x14ac:dyDescent="0.3"/>
    <row r="3" spans="2:4" ht="16.2" thickBot="1" x14ac:dyDescent="0.3">
      <c r="B3" s="176" t="s">
        <v>505</v>
      </c>
      <c r="C3" s="177" t="s">
        <v>580</v>
      </c>
      <c r="D3" s="177" t="s">
        <v>506</v>
      </c>
    </row>
    <row r="4" spans="2:4" ht="16.2" thickBot="1" x14ac:dyDescent="0.3">
      <c r="B4" s="178" t="s">
        <v>507</v>
      </c>
      <c r="C4" s="176" t="s">
        <v>581</v>
      </c>
      <c r="D4" s="176"/>
    </row>
    <row r="5" spans="2:4" ht="15.6" x14ac:dyDescent="0.25">
      <c r="B5" s="247" t="s">
        <v>508</v>
      </c>
      <c r="C5" s="179" t="s">
        <v>582</v>
      </c>
      <c r="D5" s="181"/>
    </row>
    <row r="6" spans="2:4" ht="15.6" x14ac:dyDescent="0.25">
      <c r="B6" s="247" t="s">
        <v>509</v>
      </c>
      <c r="C6" s="182" t="s">
        <v>609</v>
      </c>
      <c r="D6" s="242"/>
    </row>
    <row r="7" spans="2:4" ht="15.6" x14ac:dyDescent="0.25">
      <c r="B7" s="247" t="s">
        <v>510</v>
      </c>
      <c r="C7" s="180" t="s">
        <v>583</v>
      </c>
      <c r="D7" s="248"/>
    </row>
    <row r="8" spans="2:4" ht="15.6" x14ac:dyDescent="0.25">
      <c r="B8" s="247" t="s">
        <v>511</v>
      </c>
      <c r="C8" s="180" t="s">
        <v>584</v>
      </c>
      <c r="D8" s="248"/>
    </row>
    <row r="9" spans="2:4" ht="15.6" x14ac:dyDescent="0.25">
      <c r="B9" s="247" t="s">
        <v>512</v>
      </c>
      <c r="C9" s="180" t="s">
        <v>585</v>
      </c>
      <c r="D9" s="248"/>
    </row>
    <row r="10" spans="2:4" ht="15.6" x14ac:dyDescent="0.25">
      <c r="B10" s="247" t="s">
        <v>513</v>
      </c>
      <c r="C10" s="184" t="s">
        <v>586</v>
      </c>
      <c r="D10" s="249"/>
    </row>
    <row r="11" spans="2:4" s="169" customFormat="1" ht="15.6" x14ac:dyDescent="0.25">
      <c r="B11" s="247" t="s">
        <v>514</v>
      </c>
      <c r="C11" s="184" t="s">
        <v>515</v>
      </c>
      <c r="D11" s="249"/>
    </row>
    <row r="12" spans="2:4" ht="15.6" x14ac:dyDescent="0.25">
      <c r="B12" s="247" t="s">
        <v>516</v>
      </c>
      <c r="C12" s="184" t="s">
        <v>587</v>
      </c>
      <c r="D12" s="249"/>
    </row>
    <row r="13" spans="2:4" ht="15.6" x14ac:dyDescent="0.25">
      <c r="B13" s="247" t="s">
        <v>517</v>
      </c>
      <c r="C13" s="180" t="s">
        <v>588</v>
      </c>
      <c r="D13" s="248"/>
    </row>
    <row r="14" spans="2:4" s="183" customFormat="1" ht="15.6" x14ac:dyDescent="0.25">
      <c r="B14" s="180" t="s">
        <v>589</v>
      </c>
      <c r="C14" s="180" t="s">
        <v>590</v>
      </c>
      <c r="D14" s="180"/>
    </row>
    <row r="15" spans="2:4" s="183" customFormat="1" ht="15.6" x14ac:dyDescent="0.25">
      <c r="B15" s="180" t="s">
        <v>591</v>
      </c>
      <c r="C15" s="180" t="s">
        <v>610</v>
      </c>
      <c r="D15" s="180" t="s">
        <v>611</v>
      </c>
    </row>
    <row r="16" spans="2:4" s="243" customFormat="1" ht="15.6" x14ac:dyDescent="0.25">
      <c r="B16" s="180" t="s">
        <v>596</v>
      </c>
      <c r="C16" s="180" t="s">
        <v>606</v>
      </c>
      <c r="D16" s="180"/>
    </row>
    <row r="17" spans="2:4" s="183" customFormat="1" ht="15.6" x14ac:dyDescent="0.25">
      <c r="B17" s="180" t="s">
        <v>592</v>
      </c>
      <c r="C17" s="180" t="s">
        <v>593</v>
      </c>
      <c r="D17" s="180" t="s">
        <v>612</v>
      </c>
    </row>
    <row r="18" spans="2:4" s="183" customFormat="1" ht="15.6" x14ac:dyDescent="0.25">
      <c r="B18" s="180" t="s">
        <v>521</v>
      </c>
      <c r="C18" s="180" t="s">
        <v>594</v>
      </c>
      <c r="D18" s="184"/>
    </row>
    <row r="19" spans="2:4" s="183" customFormat="1" ht="15.6" x14ac:dyDescent="0.25">
      <c r="B19" s="247" t="s">
        <v>520</v>
      </c>
      <c r="C19" s="244" t="s">
        <v>595</v>
      </c>
      <c r="D19" s="249"/>
    </row>
    <row r="20" spans="2:4" s="245" customFormat="1" ht="46.8" x14ac:dyDescent="0.25">
      <c r="B20" s="247" t="s">
        <v>518</v>
      </c>
      <c r="C20" s="184" t="s">
        <v>623</v>
      </c>
      <c r="D20" s="261" t="s">
        <v>624</v>
      </c>
    </row>
    <row r="21" spans="2:4" s="243" customFormat="1" ht="31.2" x14ac:dyDescent="0.25">
      <c r="B21" s="247" t="s">
        <v>522</v>
      </c>
      <c r="C21" s="184" t="s">
        <v>613</v>
      </c>
      <c r="D21" s="180" t="s">
        <v>614</v>
      </c>
    </row>
    <row r="22" spans="2:4" s="243" customFormat="1" ht="15.6" x14ac:dyDescent="0.25">
      <c r="B22" s="247" t="s">
        <v>523</v>
      </c>
      <c r="C22" s="249" t="s">
        <v>600</v>
      </c>
      <c r="D22" s="249"/>
    </row>
    <row r="23" spans="2:4" s="243" customFormat="1" ht="31.2" x14ac:dyDescent="0.25">
      <c r="B23" s="247" t="s">
        <v>524</v>
      </c>
      <c r="C23" s="249" t="s">
        <v>601</v>
      </c>
      <c r="D23" s="249" t="s">
        <v>620</v>
      </c>
    </row>
    <row r="24" spans="2:4" s="243" customFormat="1" ht="15.6" x14ac:dyDescent="0.25">
      <c r="B24" s="247" t="s">
        <v>525</v>
      </c>
      <c r="C24" s="249" t="s">
        <v>504</v>
      </c>
      <c r="D24" s="249"/>
    </row>
    <row r="25" spans="2:4" s="243" customFormat="1" ht="15.6" x14ac:dyDescent="0.25">
      <c r="B25" s="250" t="s">
        <v>526</v>
      </c>
      <c r="C25" s="249"/>
      <c r="D25" s="249"/>
    </row>
    <row r="26" spans="2:4" s="243" customFormat="1" ht="15.6" x14ac:dyDescent="0.25">
      <c r="B26" s="247" t="s">
        <v>527</v>
      </c>
      <c r="C26" s="248"/>
      <c r="D26" s="248"/>
    </row>
    <row r="27" spans="2:4" s="243" customFormat="1" ht="15.6" x14ac:dyDescent="0.25">
      <c r="B27" s="247" t="s">
        <v>528</v>
      </c>
      <c r="C27" s="247" t="s">
        <v>602</v>
      </c>
      <c r="D27" s="247"/>
    </row>
    <row r="28" spans="2:4" s="243" customFormat="1" ht="15.6" x14ac:dyDescent="0.25">
      <c r="B28" s="247" t="s">
        <v>529</v>
      </c>
      <c r="C28" s="247" t="s">
        <v>603</v>
      </c>
      <c r="D28" s="247"/>
    </row>
    <row r="29" spans="2:4" s="243" customFormat="1" ht="15.6" x14ac:dyDescent="0.25">
      <c r="B29" s="247" t="s">
        <v>530</v>
      </c>
      <c r="C29" s="247" t="s">
        <v>604</v>
      </c>
      <c r="D29" s="247"/>
    </row>
    <row r="30" spans="2:4" s="243" customFormat="1" ht="15.6" x14ac:dyDescent="0.25">
      <c r="B30" s="247" t="s">
        <v>531</v>
      </c>
      <c r="C30" s="247" t="s">
        <v>605</v>
      </c>
      <c r="D30" s="247"/>
    </row>
    <row r="31" spans="2:4" s="243" customFormat="1" ht="15.6" x14ac:dyDescent="0.25">
      <c r="B31" s="251" t="s">
        <v>532</v>
      </c>
      <c r="C31" s="247" t="s">
        <v>617</v>
      </c>
      <c r="D31" s="247"/>
    </row>
    <row r="32" spans="2:4" s="243" customFormat="1" ht="15.6" x14ac:dyDescent="0.25">
      <c r="B32" s="251" t="s">
        <v>533</v>
      </c>
      <c r="C32" s="247" t="s">
        <v>618</v>
      </c>
      <c r="D32" s="251"/>
    </row>
    <row r="33" spans="2:4" s="243" customFormat="1" ht="15.6" x14ac:dyDescent="0.25">
      <c r="B33" s="247" t="s">
        <v>519</v>
      </c>
      <c r="C33" s="248" t="s">
        <v>597</v>
      </c>
      <c r="D33" s="248"/>
    </row>
    <row r="34" spans="2:4" s="243" customFormat="1" ht="16.2" thickBot="1" x14ac:dyDescent="0.3">
      <c r="B34" s="252" t="s">
        <v>598</v>
      </c>
      <c r="C34" s="252" t="s">
        <v>599</v>
      </c>
      <c r="D34" s="252"/>
    </row>
  </sheetData>
  <phoneticPr fontId="3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workbookViewId="0">
      <selection activeCell="I22" sqref="I22"/>
    </sheetView>
  </sheetViews>
  <sheetFormatPr defaultRowHeight="14.4" x14ac:dyDescent="0.25"/>
  <cols>
    <col min="3" max="3" width="11.3984375" bestFit="1" customWidth="1"/>
    <col min="4" max="4" width="15.296875" bestFit="1" customWidth="1"/>
    <col min="5" max="5" width="18.796875" bestFit="1" customWidth="1"/>
    <col min="6" max="6" width="10" bestFit="1" customWidth="1"/>
    <col min="7" max="7" width="7.8984375" bestFit="1" customWidth="1"/>
  </cols>
  <sheetData>
    <row r="1" spans="1:7" x14ac:dyDescent="0.25">
      <c r="A1" s="175"/>
      <c r="B1" s="175"/>
      <c r="C1" s="175"/>
      <c r="D1" s="175"/>
      <c r="E1" s="175"/>
      <c r="F1" s="175"/>
      <c r="G1" s="175"/>
    </row>
    <row r="2" spans="1:7" ht="27.6" x14ac:dyDescent="0.25">
      <c r="A2" s="175"/>
      <c r="B2" s="175"/>
      <c r="C2" s="290" t="s">
        <v>534</v>
      </c>
      <c r="D2" s="291"/>
      <c r="E2" s="291"/>
      <c r="F2" s="291"/>
      <c r="G2" s="292"/>
    </row>
    <row r="3" spans="1:7" ht="21" x14ac:dyDescent="0.25">
      <c r="A3" s="175"/>
      <c r="B3" s="175"/>
      <c r="C3" s="293" t="s">
        <v>535</v>
      </c>
      <c r="D3" s="293"/>
      <c r="E3" s="294" t="s">
        <v>616</v>
      </c>
      <c r="F3" s="295"/>
      <c r="G3" s="296"/>
    </row>
    <row r="4" spans="1:7" ht="21" x14ac:dyDescent="0.25">
      <c r="A4" s="175"/>
      <c r="B4" s="175"/>
      <c r="C4" s="185" t="s">
        <v>536</v>
      </c>
      <c r="D4" s="186" t="s">
        <v>615</v>
      </c>
      <c r="E4" s="185" t="s">
        <v>456</v>
      </c>
      <c r="F4" s="297" t="s">
        <v>608</v>
      </c>
      <c r="G4" s="298"/>
    </row>
    <row r="5" spans="1:7" ht="21" x14ac:dyDescent="0.25">
      <c r="A5" s="175"/>
      <c r="B5" s="175"/>
      <c r="C5" s="187" t="s">
        <v>537</v>
      </c>
      <c r="D5" s="188"/>
      <c r="E5" s="185" t="s">
        <v>457</v>
      </c>
      <c r="F5" s="294" t="s">
        <v>607</v>
      </c>
      <c r="G5" s="296"/>
    </row>
    <row r="6" spans="1:7" ht="17.399999999999999" x14ac:dyDescent="0.25">
      <c r="A6" s="175"/>
      <c r="B6" s="175"/>
      <c r="C6" s="278">
        <v>1</v>
      </c>
      <c r="D6" s="280" t="s">
        <v>538</v>
      </c>
      <c r="E6" s="194" t="s">
        <v>539</v>
      </c>
      <c r="F6" s="246">
        <v>15</v>
      </c>
      <c r="G6" s="196" t="s">
        <v>540</v>
      </c>
    </row>
    <row r="7" spans="1:7" ht="14.4" customHeight="1" x14ac:dyDescent="0.25">
      <c r="A7" s="175"/>
      <c r="B7" s="175"/>
      <c r="C7" s="279"/>
      <c r="D7" s="281"/>
      <c r="E7" s="194" t="s">
        <v>541</v>
      </c>
      <c r="F7" s="197">
        <v>1.5</v>
      </c>
      <c r="G7" s="196" t="s">
        <v>540</v>
      </c>
    </row>
    <row r="8" spans="1:7" ht="16.5" customHeight="1" x14ac:dyDescent="0.25">
      <c r="A8" s="175"/>
      <c r="B8" s="175"/>
      <c r="C8" s="278">
        <v>2</v>
      </c>
      <c r="D8" s="280" t="s">
        <v>542</v>
      </c>
      <c r="E8" s="194" t="s">
        <v>542</v>
      </c>
      <c r="F8" s="195">
        <v>220</v>
      </c>
      <c r="G8" s="196" t="s">
        <v>543</v>
      </c>
    </row>
    <row r="9" spans="1:7" ht="20.25" customHeight="1" x14ac:dyDescent="0.25">
      <c r="A9" s="175"/>
      <c r="B9" s="175"/>
      <c r="C9" s="282"/>
      <c r="D9" s="286"/>
      <c r="E9" s="194" t="s">
        <v>544</v>
      </c>
      <c r="F9" s="195">
        <v>250</v>
      </c>
      <c r="G9" s="196" t="s">
        <v>545</v>
      </c>
    </row>
    <row r="10" spans="1:7" ht="16.5" customHeight="1" x14ac:dyDescent="0.25">
      <c r="A10" s="175"/>
      <c r="B10" s="175"/>
      <c r="C10" s="279"/>
      <c r="D10" s="281"/>
      <c r="E10" s="198" t="s">
        <v>546</v>
      </c>
      <c r="F10" s="199"/>
      <c r="G10" s="196" t="s">
        <v>547</v>
      </c>
    </row>
    <row r="11" spans="1:7" ht="16.5" customHeight="1" x14ac:dyDescent="0.25">
      <c r="A11" s="175"/>
      <c r="B11" s="175"/>
      <c r="C11" s="278">
        <v>3</v>
      </c>
      <c r="D11" s="280" t="s">
        <v>548</v>
      </c>
      <c r="E11" s="194" t="s">
        <v>549</v>
      </c>
      <c r="F11" s="195">
        <v>100</v>
      </c>
      <c r="G11" s="196" t="s">
        <v>550</v>
      </c>
    </row>
    <row r="12" spans="1:7" ht="16.5" customHeight="1" x14ac:dyDescent="0.25">
      <c r="A12" s="175"/>
      <c r="B12" s="175"/>
      <c r="C12" s="279"/>
      <c r="D12" s="281"/>
      <c r="E12" s="198" t="s">
        <v>551</v>
      </c>
      <c r="F12" s="199">
        <v>75</v>
      </c>
      <c r="G12" s="196" t="s">
        <v>552</v>
      </c>
    </row>
    <row r="13" spans="1:7" ht="16.5" customHeight="1" x14ac:dyDescent="0.25">
      <c r="A13" s="175"/>
      <c r="B13" s="175"/>
      <c r="C13" s="278">
        <v>4</v>
      </c>
      <c r="D13" s="283" t="s">
        <v>553</v>
      </c>
      <c r="E13" s="200" t="s">
        <v>554</v>
      </c>
      <c r="F13" s="197">
        <v>10</v>
      </c>
      <c r="G13" s="201" t="s">
        <v>555</v>
      </c>
    </row>
    <row r="14" spans="1:7" ht="17.399999999999999" x14ac:dyDescent="0.25">
      <c r="A14" s="175"/>
      <c r="B14" s="175"/>
      <c r="C14" s="282"/>
      <c r="D14" s="286"/>
      <c r="E14" s="200" t="s">
        <v>556</v>
      </c>
      <c r="F14" s="204">
        <v>2</v>
      </c>
      <c r="G14" s="191" t="s">
        <v>557</v>
      </c>
    </row>
    <row r="15" spans="1:7" ht="17.399999999999999" x14ac:dyDescent="0.25">
      <c r="A15" s="175"/>
      <c r="B15" s="175"/>
      <c r="C15" s="282"/>
      <c r="D15" s="286"/>
      <c r="E15" s="200" t="s">
        <v>558</v>
      </c>
      <c r="F15" s="195">
        <v>100</v>
      </c>
      <c r="G15" s="191" t="s">
        <v>559</v>
      </c>
    </row>
    <row r="16" spans="1:7" ht="17.399999999999999" x14ac:dyDescent="0.25">
      <c r="A16" s="175"/>
      <c r="B16" s="175"/>
      <c r="C16" s="282"/>
      <c r="D16" s="286"/>
      <c r="E16" s="200" t="s">
        <v>560</v>
      </c>
      <c r="F16" s="195">
        <v>65</v>
      </c>
      <c r="G16" s="191" t="s">
        <v>552</v>
      </c>
    </row>
    <row r="17" spans="1:7" ht="17.399999999999999" x14ac:dyDescent="0.25">
      <c r="A17" s="175"/>
      <c r="B17" s="175"/>
      <c r="C17" s="282"/>
      <c r="D17" s="286"/>
      <c r="E17" s="196" t="s">
        <v>561</v>
      </c>
      <c r="F17" s="204">
        <f>(5/(F13/F14))*F15</f>
        <v>100</v>
      </c>
      <c r="G17" s="191" t="s">
        <v>552</v>
      </c>
    </row>
    <row r="18" spans="1:7" ht="17.399999999999999" x14ac:dyDescent="0.25">
      <c r="A18" s="175"/>
      <c r="B18" s="175"/>
      <c r="C18" s="282"/>
      <c r="D18" s="286"/>
      <c r="E18" s="196" t="s">
        <v>562</v>
      </c>
      <c r="F18" s="204">
        <f>F17*1.11</f>
        <v>111.00000000000001</v>
      </c>
      <c r="G18" s="191" t="s">
        <v>552</v>
      </c>
    </row>
    <row r="19" spans="1:7" ht="17.399999999999999" x14ac:dyDescent="0.25">
      <c r="A19" s="175"/>
      <c r="B19" s="175"/>
      <c r="C19" s="279"/>
      <c r="D19" s="281"/>
      <c r="E19" s="202" t="s">
        <v>563</v>
      </c>
      <c r="F19" s="199">
        <v>75</v>
      </c>
      <c r="G19" s="191" t="s">
        <v>552</v>
      </c>
    </row>
    <row r="20" spans="1:7" ht="17.399999999999999" x14ac:dyDescent="0.25">
      <c r="A20" s="175"/>
      <c r="B20" s="175"/>
      <c r="C20" s="278">
        <v>5</v>
      </c>
      <c r="D20" s="280" t="s">
        <v>564</v>
      </c>
      <c r="E20" s="196" t="s">
        <v>541</v>
      </c>
      <c r="F20" s="195">
        <v>200000</v>
      </c>
      <c r="G20" s="191" t="s">
        <v>565</v>
      </c>
    </row>
    <row r="21" spans="1:7" ht="17.399999999999999" x14ac:dyDescent="0.25">
      <c r="A21" s="175"/>
      <c r="B21" s="175"/>
      <c r="C21" s="282"/>
      <c r="D21" s="286"/>
      <c r="E21" s="196" t="s">
        <v>539</v>
      </c>
      <c r="F21" s="195">
        <v>320000</v>
      </c>
      <c r="G21" s="191" t="s">
        <v>565</v>
      </c>
    </row>
    <row r="22" spans="1:7" ht="17.399999999999999" x14ac:dyDescent="0.25">
      <c r="A22" s="175"/>
      <c r="B22" s="175"/>
      <c r="C22" s="282"/>
      <c r="D22" s="286"/>
      <c r="E22" s="196" t="s">
        <v>566</v>
      </c>
      <c r="F22" s="195">
        <v>200000</v>
      </c>
      <c r="G22" s="191" t="s">
        <v>565</v>
      </c>
    </row>
    <row r="23" spans="1:7" ht="16.5" customHeight="1" x14ac:dyDescent="0.25">
      <c r="A23" s="175"/>
      <c r="B23" s="175"/>
      <c r="C23" s="278">
        <v>6</v>
      </c>
      <c r="D23" s="280" t="s">
        <v>567</v>
      </c>
      <c r="E23" s="196" t="s">
        <v>568</v>
      </c>
      <c r="F23" s="195"/>
      <c r="G23" s="191"/>
    </row>
    <row r="24" spans="1:7" ht="17.399999999999999" x14ac:dyDescent="0.25">
      <c r="A24" s="175"/>
      <c r="B24" s="175"/>
      <c r="C24" s="282"/>
      <c r="D24" s="286"/>
      <c r="E24" s="196" t="s">
        <v>569</v>
      </c>
      <c r="F24" s="195"/>
      <c r="G24" s="191"/>
    </row>
    <row r="25" spans="1:7" ht="17.399999999999999" x14ac:dyDescent="0.25">
      <c r="A25" s="175"/>
      <c r="B25" s="175"/>
      <c r="C25" s="279"/>
      <c r="D25" s="281"/>
      <c r="E25" s="196" t="s">
        <v>570</v>
      </c>
      <c r="F25" s="195"/>
      <c r="G25" s="191" t="s">
        <v>557</v>
      </c>
    </row>
    <row r="26" spans="1:7" x14ac:dyDescent="0.25">
      <c r="A26" s="175"/>
      <c r="B26" s="175"/>
      <c r="C26" s="193">
        <v>7</v>
      </c>
      <c r="D26" s="203" t="s">
        <v>571</v>
      </c>
      <c r="E26" s="287" t="s">
        <v>572</v>
      </c>
      <c r="F26" s="288"/>
      <c r="G26" s="289"/>
    </row>
    <row r="27" spans="1:7" x14ac:dyDescent="0.25">
      <c r="A27" s="175"/>
      <c r="B27" s="175"/>
      <c r="C27" s="193">
        <v>8</v>
      </c>
      <c r="D27" s="203" t="s">
        <v>573</v>
      </c>
      <c r="E27" s="287" t="s">
        <v>574</v>
      </c>
      <c r="F27" s="288"/>
      <c r="G27" s="289"/>
    </row>
    <row r="28" spans="1:7" ht="16.5" customHeight="1" x14ac:dyDescent="0.25">
      <c r="A28" s="175"/>
      <c r="B28" s="175"/>
      <c r="C28" s="190"/>
      <c r="D28" s="190"/>
      <c r="E28" s="190"/>
      <c r="F28" s="192"/>
      <c r="G28" s="190"/>
    </row>
    <row r="29" spans="1:7" ht="16.5" customHeight="1" x14ac:dyDescent="0.25">
      <c r="A29" s="175"/>
      <c r="B29" s="175"/>
      <c r="C29" s="278" t="s">
        <v>575</v>
      </c>
      <c r="D29" s="283" t="s">
        <v>619</v>
      </c>
      <c r="E29" s="283"/>
      <c r="F29" s="283"/>
      <c r="G29" s="283"/>
    </row>
    <row r="30" spans="1:7" x14ac:dyDescent="0.25">
      <c r="A30" s="175"/>
      <c r="B30" s="175"/>
      <c r="C30" s="282"/>
      <c r="D30" s="284"/>
      <c r="E30" s="284"/>
      <c r="F30" s="284"/>
      <c r="G30" s="284"/>
    </row>
    <row r="31" spans="1:7" x14ac:dyDescent="0.25">
      <c r="A31" s="175"/>
      <c r="B31" s="175"/>
      <c r="C31" s="282"/>
      <c r="D31" s="284"/>
      <c r="E31" s="284"/>
      <c r="F31" s="284"/>
      <c r="G31" s="284"/>
    </row>
    <row r="32" spans="1:7" x14ac:dyDescent="0.25">
      <c r="A32" s="175"/>
      <c r="B32" s="175"/>
      <c r="C32" s="282"/>
      <c r="D32" s="284"/>
      <c r="E32" s="284"/>
      <c r="F32" s="284"/>
      <c r="G32" s="284"/>
    </row>
    <row r="33" spans="1:7" x14ac:dyDescent="0.25">
      <c r="A33" s="175"/>
      <c r="B33" s="175"/>
      <c r="C33" s="279"/>
      <c r="D33" s="285"/>
      <c r="E33" s="285"/>
      <c r="F33" s="285"/>
      <c r="G33" s="285"/>
    </row>
    <row r="34" spans="1:7" x14ac:dyDescent="0.25">
      <c r="A34" s="175"/>
      <c r="B34" s="175"/>
      <c r="C34" s="175"/>
      <c r="D34" s="175"/>
      <c r="E34" s="175"/>
      <c r="F34" s="175"/>
      <c r="G34" s="175"/>
    </row>
    <row r="35" spans="1:7" x14ac:dyDescent="0.25">
      <c r="A35" s="175"/>
      <c r="B35" s="175"/>
      <c r="C35" s="175"/>
      <c r="D35" s="175"/>
      <c r="E35" s="175"/>
      <c r="F35" s="175"/>
      <c r="G35" s="175"/>
    </row>
    <row r="36" spans="1:7" x14ac:dyDescent="0.25">
      <c r="A36" s="175"/>
      <c r="B36" s="175"/>
      <c r="C36" s="175"/>
      <c r="D36" s="175"/>
      <c r="E36" s="175"/>
      <c r="F36" s="175"/>
      <c r="G36" s="175"/>
    </row>
    <row r="37" spans="1:7" x14ac:dyDescent="0.25">
      <c r="A37" s="175"/>
      <c r="B37" s="175"/>
      <c r="C37" s="175"/>
      <c r="D37" s="175"/>
      <c r="E37" s="175"/>
      <c r="F37" s="175"/>
      <c r="G37" s="175"/>
    </row>
    <row r="38" spans="1:7" x14ac:dyDescent="0.25">
      <c r="A38" s="175"/>
      <c r="B38" s="175"/>
      <c r="C38" s="175"/>
      <c r="D38" s="175"/>
      <c r="E38" s="175"/>
      <c r="F38" s="175"/>
      <c r="G38" s="175"/>
    </row>
    <row r="39" spans="1:7" ht="16.5" customHeight="1" x14ac:dyDescent="0.25">
      <c r="A39" s="175"/>
      <c r="B39" s="175"/>
      <c r="C39" s="183"/>
      <c r="D39" s="183"/>
      <c r="E39" s="183"/>
      <c r="F39" s="183"/>
      <c r="G39" s="183"/>
    </row>
    <row r="40" spans="1:7" x14ac:dyDescent="0.25">
      <c r="A40" s="175"/>
      <c r="B40" s="175"/>
      <c r="C40" s="175"/>
      <c r="D40" s="175"/>
      <c r="E40" s="175"/>
      <c r="F40" s="175"/>
      <c r="G40" s="175"/>
    </row>
    <row r="41" spans="1:7" x14ac:dyDescent="0.25">
      <c r="A41" s="175"/>
      <c r="B41" s="175"/>
      <c r="C41" s="175"/>
      <c r="D41" s="175"/>
      <c r="E41" s="175"/>
      <c r="F41" s="175"/>
      <c r="G41" s="175"/>
    </row>
    <row r="42" spans="1:7" x14ac:dyDescent="0.25">
      <c r="A42" s="175"/>
      <c r="B42" s="175"/>
      <c r="C42" s="175"/>
      <c r="D42" s="175"/>
      <c r="E42" s="175"/>
      <c r="F42" s="175"/>
      <c r="G42" s="175"/>
    </row>
    <row r="43" spans="1:7" ht="16.5" hidden="1" customHeight="1" x14ac:dyDescent="0.25">
      <c r="A43" s="175"/>
      <c r="B43" s="175"/>
      <c r="C43" s="183"/>
      <c r="D43" s="183"/>
      <c r="E43" s="183"/>
      <c r="F43" s="183"/>
      <c r="G43" s="183"/>
    </row>
    <row r="44" spans="1:7" x14ac:dyDescent="0.25">
      <c r="A44" s="175"/>
      <c r="B44" s="175"/>
      <c r="C44" s="175"/>
      <c r="D44" s="175"/>
      <c r="E44" s="175"/>
      <c r="F44" s="175"/>
      <c r="G44" s="175"/>
    </row>
    <row r="45" spans="1:7" x14ac:dyDescent="0.25">
      <c r="A45" s="175"/>
      <c r="B45" s="175"/>
      <c r="C45" s="175"/>
      <c r="D45" s="175"/>
      <c r="E45" s="175"/>
      <c r="F45" s="175"/>
      <c r="G45" s="175"/>
    </row>
    <row r="46" spans="1:7" x14ac:dyDescent="0.25">
      <c r="A46" s="175"/>
      <c r="B46" s="175"/>
      <c r="C46" s="175"/>
      <c r="D46" s="175"/>
      <c r="E46" s="175"/>
      <c r="F46" s="175"/>
      <c r="G46" s="175"/>
    </row>
    <row r="47" spans="1:7" x14ac:dyDescent="0.25">
      <c r="A47" s="175"/>
      <c r="B47" s="175"/>
      <c r="C47" s="175"/>
      <c r="D47" s="175"/>
      <c r="E47" s="175"/>
      <c r="F47" s="175"/>
      <c r="G47" s="175"/>
    </row>
    <row r="48" spans="1:7" x14ac:dyDescent="0.25">
      <c r="A48" s="175"/>
      <c r="B48" s="175"/>
      <c r="C48" s="175"/>
      <c r="D48" s="175"/>
      <c r="E48" s="175"/>
      <c r="F48" s="175"/>
      <c r="G48" s="175"/>
    </row>
    <row r="49" spans="1:7" x14ac:dyDescent="0.25">
      <c r="A49" s="175"/>
      <c r="B49" s="175"/>
      <c r="C49" s="175"/>
      <c r="D49" s="175"/>
      <c r="E49" s="175"/>
      <c r="F49" s="175"/>
      <c r="G49" s="175"/>
    </row>
    <row r="50" spans="1:7" x14ac:dyDescent="0.25">
      <c r="A50" s="175"/>
      <c r="B50" s="175"/>
      <c r="C50" s="175"/>
      <c r="D50" s="175"/>
      <c r="E50" s="175"/>
      <c r="F50" s="175"/>
      <c r="G50" s="175"/>
    </row>
    <row r="51" spans="1:7" x14ac:dyDescent="0.25">
      <c r="A51" s="175"/>
      <c r="B51" s="175"/>
      <c r="C51" s="175"/>
      <c r="D51" s="175"/>
      <c r="E51" s="175"/>
      <c r="F51" s="175"/>
      <c r="G51" s="175"/>
    </row>
    <row r="52" spans="1:7" ht="37.5" customHeight="1" x14ac:dyDescent="0.25">
      <c r="A52" s="175"/>
      <c r="B52" s="175"/>
      <c r="C52" s="175"/>
      <c r="D52" s="175"/>
      <c r="E52" s="175"/>
      <c r="F52" s="175"/>
      <c r="G52" s="175"/>
    </row>
    <row r="53" spans="1:7" x14ac:dyDescent="0.25">
      <c r="A53" s="175"/>
      <c r="B53" s="175"/>
      <c r="C53" s="175"/>
      <c r="D53" s="175"/>
      <c r="E53" s="175"/>
      <c r="F53" s="175"/>
      <c r="G53" s="175"/>
    </row>
    <row r="54" spans="1:7" x14ac:dyDescent="0.25">
      <c r="A54" s="175"/>
      <c r="B54" s="175"/>
      <c r="C54" s="175"/>
      <c r="D54" s="175"/>
      <c r="E54" s="175"/>
      <c r="F54" s="175"/>
      <c r="G54" s="175"/>
    </row>
    <row r="55" spans="1:7" x14ac:dyDescent="0.25">
      <c r="A55" s="175"/>
      <c r="B55" s="175"/>
      <c r="C55" s="175"/>
      <c r="D55" s="175"/>
      <c r="E55" s="175"/>
      <c r="F55" s="175"/>
      <c r="G55" s="175"/>
    </row>
    <row r="56" spans="1:7" x14ac:dyDescent="0.25">
      <c r="A56" s="175"/>
      <c r="B56" s="175"/>
      <c r="C56" s="175"/>
      <c r="D56" s="175"/>
      <c r="E56" s="175"/>
      <c r="F56" s="175"/>
      <c r="G56" s="175"/>
    </row>
    <row r="57" spans="1:7" x14ac:dyDescent="0.25">
      <c r="A57" s="175"/>
      <c r="B57" s="175"/>
      <c r="C57" s="175"/>
      <c r="D57" s="175"/>
      <c r="E57" s="175"/>
      <c r="F57" s="175"/>
      <c r="G57" s="175"/>
    </row>
    <row r="58" spans="1:7" x14ac:dyDescent="0.25">
      <c r="A58" s="175"/>
      <c r="B58" s="175"/>
      <c r="C58" s="175"/>
      <c r="D58" s="175"/>
      <c r="E58" s="175"/>
      <c r="F58" s="175"/>
      <c r="G58" s="175"/>
    </row>
    <row r="59" spans="1:7" ht="39" customHeight="1" x14ac:dyDescent="0.25">
      <c r="A59" s="175"/>
      <c r="B59" s="175"/>
      <c r="C59" s="175"/>
      <c r="D59" s="175"/>
      <c r="E59" s="175"/>
      <c r="F59" s="175"/>
      <c r="G59" s="175"/>
    </row>
    <row r="60" spans="1:7" x14ac:dyDescent="0.25">
      <c r="A60" s="175"/>
      <c r="B60" s="175"/>
      <c r="C60" s="175"/>
      <c r="D60" s="175"/>
      <c r="E60" s="175"/>
      <c r="F60" s="175"/>
      <c r="G60" s="175"/>
    </row>
    <row r="61" spans="1:7" ht="100.5" customHeight="1" x14ac:dyDescent="0.25">
      <c r="A61" s="175"/>
      <c r="B61" s="175"/>
      <c r="C61" s="175"/>
      <c r="D61" s="175"/>
      <c r="E61" s="175"/>
      <c r="F61" s="175"/>
      <c r="G61" s="175"/>
    </row>
  </sheetData>
  <mergeCells count="21">
    <mergeCell ref="C2:G2"/>
    <mergeCell ref="C3:D3"/>
    <mergeCell ref="E3:G3"/>
    <mergeCell ref="F4:G4"/>
    <mergeCell ref="F5:G5"/>
    <mergeCell ref="C6:C7"/>
    <mergeCell ref="D6:D7"/>
    <mergeCell ref="C29:C33"/>
    <mergeCell ref="D29:G33"/>
    <mergeCell ref="C20:C22"/>
    <mergeCell ref="D20:D22"/>
    <mergeCell ref="C23:C25"/>
    <mergeCell ref="D23:D25"/>
    <mergeCell ref="E26:G26"/>
    <mergeCell ref="E27:G27"/>
    <mergeCell ref="C8:C10"/>
    <mergeCell ref="D8:D10"/>
    <mergeCell ref="C11:C12"/>
    <mergeCell ref="D11:D12"/>
    <mergeCell ref="C13:C19"/>
    <mergeCell ref="D13:D19"/>
  </mergeCells>
  <phoneticPr fontId="3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workbookViewId="0">
      <selection activeCell="M6" sqref="M6"/>
    </sheetView>
  </sheetViews>
  <sheetFormatPr defaultRowHeight="14.4" x14ac:dyDescent="0.25"/>
  <cols>
    <col min="13" max="13" width="14.19921875" bestFit="1" customWidth="1"/>
    <col min="14" max="14" width="20.3984375" bestFit="1" customWidth="1"/>
    <col min="17" max="17" width="23.796875" bestFit="1" customWidth="1"/>
    <col min="18" max="18" width="11.3984375" bestFit="1" customWidth="1"/>
    <col min="19" max="19" width="25.09765625" bestFit="1" customWidth="1"/>
    <col min="20" max="20" width="8" bestFit="1" customWidth="1"/>
    <col min="21" max="21" width="10" bestFit="1" customWidth="1"/>
    <col min="22" max="22" width="30.796875" bestFit="1" customWidth="1"/>
  </cols>
  <sheetData>
    <row r="1" spans="1:22" ht="15" thickBot="1" x14ac:dyDescent="0.3"/>
    <row r="2" spans="1:22" ht="18" thickBot="1" x14ac:dyDescent="0.3">
      <c r="A2" s="311" t="s">
        <v>329</v>
      </c>
      <c r="B2" s="301" t="s">
        <v>330</v>
      </c>
      <c r="C2" s="301" t="s">
        <v>331</v>
      </c>
      <c r="D2" s="301" t="s">
        <v>332</v>
      </c>
      <c r="E2" s="301" t="s">
        <v>333</v>
      </c>
      <c r="F2" s="303" t="s">
        <v>334</v>
      </c>
      <c r="G2" s="305" t="s">
        <v>335</v>
      </c>
      <c r="H2" s="301" t="s">
        <v>336</v>
      </c>
      <c r="I2" s="305" t="s">
        <v>337</v>
      </c>
      <c r="J2" s="313" t="s">
        <v>338</v>
      </c>
      <c r="K2" s="301" t="s">
        <v>339</v>
      </c>
      <c r="L2" s="303" t="s">
        <v>340</v>
      </c>
      <c r="M2" s="301" t="s">
        <v>341</v>
      </c>
      <c r="N2" s="301" t="s">
        <v>342</v>
      </c>
      <c r="O2" s="303" t="s">
        <v>343</v>
      </c>
      <c r="P2" s="301" t="s">
        <v>344</v>
      </c>
      <c r="Q2" s="301" t="s">
        <v>345</v>
      </c>
      <c r="R2" s="301"/>
      <c r="S2" s="305" t="s">
        <v>346</v>
      </c>
      <c r="T2" s="307" t="s">
        <v>347</v>
      </c>
      <c r="U2" s="309" t="s">
        <v>348</v>
      </c>
      <c r="V2" s="309" t="s">
        <v>349</v>
      </c>
    </row>
    <row r="3" spans="1:22" ht="18" thickBot="1" x14ac:dyDescent="0.3">
      <c r="A3" s="312"/>
      <c r="B3" s="302"/>
      <c r="C3" s="302"/>
      <c r="D3" s="302"/>
      <c r="E3" s="302"/>
      <c r="F3" s="304"/>
      <c r="G3" s="306"/>
      <c r="H3" s="302"/>
      <c r="I3" s="306"/>
      <c r="J3" s="314"/>
      <c r="K3" s="302"/>
      <c r="L3" s="304"/>
      <c r="M3" s="302"/>
      <c r="N3" s="302"/>
      <c r="O3" s="304"/>
      <c r="P3" s="302"/>
      <c r="Q3" s="135" t="s">
        <v>350</v>
      </c>
      <c r="R3" s="135" t="s">
        <v>351</v>
      </c>
      <c r="S3" s="306"/>
      <c r="T3" s="308"/>
      <c r="U3" s="310"/>
      <c r="V3" s="310"/>
    </row>
    <row r="4" spans="1:22" ht="18" thickTop="1" x14ac:dyDescent="0.4">
      <c r="A4" s="136">
        <v>15</v>
      </c>
      <c r="B4" s="137">
        <v>220</v>
      </c>
      <c r="C4" s="138">
        <f t="shared" ref="C4:C48" si="0">ROUNDUP(A4/(B4*0.9)/3^0.5*1000/0.9,0)</f>
        <v>49</v>
      </c>
      <c r="D4" s="138">
        <f t="shared" ref="D4:D48" si="1">ROUNDUP(B4*2^0.5*0.93,0)</f>
        <v>290</v>
      </c>
      <c r="E4" s="138">
        <f t="shared" ref="E4:E48" si="2">ROUNDUP(A4*1000/D4,0)</f>
        <v>52</v>
      </c>
      <c r="F4" s="139">
        <f t="shared" ref="F4:F48" si="3">30.8*100*C4/(1000*10)</f>
        <v>15.092000000000001</v>
      </c>
      <c r="G4" s="140">
        <f t="shared" ref="G4:G48" si="4">C4/(H4*I4)</f>
        <v>1.4</v>
      </c>
      <c r="H4" s="137">
        <v>35</v>
      </c>
      <c r="I4" s="137">
        <v>1</v>
      </c>
      <c r="J4" s="137">
        <f t="shared" ref="J4:J48" si="5">L4*0.052</f>
        <v>3.9</v>
      </c>
      <c r="K4" s="137">
        <v>16</v>
      </c>
      <c r="L4" s="137">
        <v>75</v>
      </c>
      <c r="M4" s="137" t="s">
        <v>352</v>
      </c>
      <c r="N4" s="137" t="s">
        <v>353</v>
      </c>
      <c r="O4" s="141">
        <f t="shared" ref="O4:O48" si="6">SUM(C4*1.25)</f>
        <v>61.25</v>
      </c>
      <c r="P4" s="137" t="s">
        <v>354</v>
      </c>
      <c r="Q4" s="137" t="s">
        <v>355</v>
      </c>
      <c r="R4" s="137"/>
      <c r="S4" s="142" t="s">
        <v>356</v>
      </c>
      <c r="T4" s="142" t="s">
        <v>357</v>
      </c>
      <c r="U4" s="137" t="s">
        <v>358</v>
      </c>
      <c r="V4" s="143" t="s">
        <v>359</v>
      </c>
    </row>
    <row r="5" spans="1:22" s="245" customFormat="1" ht="17.399999999999999" x14ac:dyDescent="0.4">
      <c r="A5" s="253">
        <v>20</v>
      </c>
      <c r="B5" s="254">
        <v>220</v>
      </c>
      <c r="C5" s="255">
        <f t="shared" ref="C5" si="7">ROUNDUP(A5/(B5*0.9)/3^0.5*1000/0.9,0)</f>
        <v>65</v>
      </c>
      <c r="D5" s="255">
        <f t="shared" ref="D5" si="8">ROUNDUP(B5*2^0.5*0.93,0)</f>
        <v>290</v>
      </c>
      <c r="E5" s="255">
        <f t="shared" ref="E5" si="9">ROUNDUP(A5*1000/D5,0)</f>
        <v>69</v>
      </c>
      <c r="F5" s="256">
        <f t="shared" ref="F5" si="10">30.8*100*C5/(1000*10)</f>
        <v>20.02</v>
      </c>
      <c r="G5" s="257">
        <f t="shared" ref="G5" si="11">C5/(H5*I5)</f>
        <v>1.8571428571428572</v>
      </c>
      <c r="H5" s="254">
        <v>35</v>
      </c>
      <c r="I5" s="254">
        <v>1</v>
      </c>
      <c r="J5" s="254">
        <f t="shared" ref="J5" si="12">L5*0.052</f>
        <v>3.9</v>
      </c>
      <c r="K5" s="254">
        <v>16</v>
      </c>
      <c r="L5" s="254">
        <v>75</v>
      </c>
      <c r="M5" s="254" t="s">
        <v>352</v>
      </c>
      <c r="N5" s="254" t="s">
        <v>353</v>
      </c>
      <c r="O5" s="258">
        <f t="shared" ref="O5" si="13">SUM(C5*1.25)</f>
        <v>81.25</v>
      </c>
      <c r="P5" s="254" t="s">
        <v>354</v>
      </c>
      <c r="Q5" s="254" t="s">
        <v>355</v>
      </c>
      <c r="R5" s="254"/>
      <c r="S5" s="259" t="s">
        <v>356</v>
      </c>
      <c r="T5" s="259" t="s">
        <v>354</v>
      </c>
      <c r="U5" s="254" t="s">
        <v>358</v>
      </c>
      <c r="V5" s="260" t="s">
        <v>359</v>
      </c>
    </row>
    <row r="6" spans="1:22" ht="17.399999999999999" x14ac:dyDescent="0.4">
      <c r="A6" s="136">
        <v>20</v>
      </c>
      <c r="B6" s="137">
        <v>380</v>
      </c>
      <c r="C6" s="138">
        <f t="shared" si="0"/>
        <v>38</v>
      </c>
      <c r="D6" s="138">
        <f t="shared" si="1"/>
        <v>500</v>
      </c>
      <c r="E6" s="138">
        <f t="shared" si="2"/>
        <v>40</v>
      </c>
      <c r="F6" s="139">
        <f t="shared" si="3"/>
        <v>11.704000000000001</v>
      </c>
      <c r="G6" s="140">
        <f t="shared" si="4"/>
        <v>1.52</v>
      </c>
      <c r="H6" s="137">
        <v>25</v>
      </c>
      <c r="I6" s="137">
        <v>1</v>
      </c>
      <c r="J6" s="137">
        <f t="shared" si="5"/>
        <v>2.6</v>
      </c>
      <c r="K6" s="137">
        <v>16</v>
      </c>
      <c r="L6" s="137">
        <v>50</v>
      </c>
      <c r="M6" s="137" t="s">
        <v>360</v>
      </c>
      <c r="N6" s="137" t="s">
        <v>361</v>
      </c>
      <c r="O6" s="141">
        <f t="shared" si="6"/>
        <v>47.5</v>
      </c>
      <c r="P6" s="137" t="s">
        <v>362</v>
      </c>
      <c r="Q6" s="137" t="s">
        <v>355</v>
      </c>
      <c r="R6" s="137"/>
      <c r="S6" s="142" t="s">
        <v>356</v>
      </c>
      <c r="T6" s="142" t="s">
        <v>354</v>
      </c>
      <c r="U6" s="137" t="s">
        <v>363</v>
      </c>
      <c r="V6" s="143" t="s">
        <v>359</v>
      </c>
    </row>
    <row r="7" spans="1:22" ht="17.399999999999999" x14ac:dyDescent="0.4">
      <c r="A7" s="136">
        <v>20</v>
      </c>
      <c r="B7" s="137">
        <v>440</v>
      </c>
      <c r="C7" s="138">
        <f t="shared" si="0"/>
        <v>33</v>
      </c>
      <c r="D7" s="138">
        <f t="shared" si="1"/>
        <v>579</v>
      </c>
      <c r="E7" s="138">
        <f t="shared" si="2"/>
        <v>35</v>
      </c>
      <c r="F7" s="139">
        <f t="shared" si="3"/>
        <v>10.164</v>
      </c>
      <c r="G7" s="140">
        <f t="shared" si="4"/>
        <v>1.32</v>
      </c>
      <c r="H7" s="137">
        <v>25</v>
      </c>
      <c r="I7" s="137">
        <v>1</v>
      </c>
      <c r="J7" s="137">
        <f t="shared" si="5"/>
        <v>2.6</v>
      </c>
      <c r="K7" s="137">
        <v>16</v>
      </c>
      <c r="L7" s="137">
        <v>50</v>
      </c>
      <c r="M7" s="137" t="s">
        <v>360</v>
      </c>
      <c r="N7" s="137" t="s">
        <v>361</v>
      </c>
      <c r="O7" s="141">
        <f t="shared" si="6"/>
        <v>41.25</v>
      </c>
      <c r="P7" s="137" t="s">
        <v>362</v>
      </c>
      <c r="Q7" s="137" t="s">
        <v>355</v>
      </c>
      <c r="R7" s="137"/>
      <c r="S7" s="142" t="s">
        <v>356</v>
      </c>
      <c r="T7" s="142" t="s">
        <v>354</v>
      </c>
      <c r="U7" s="137" t="s">
        <v>363</v>
      </c>
      <c r="V7" s="143" t="s">
        <v>359</v>
      </c>
    </row>
    <row r="8" spans="1:22" ht="17.399999999999999" x14ac:dyDescent="0.4">
      <c r="A8" s="136">
        <v>30</v>
      </c>
      <c r="B8" s="137">
        <v>220</v>
      </c>
      <c r="C8" s="138">
        <f t="shared" si="0"/>
        <v>98</v>
      </c>
      <c r="D8" s="138">
        <f t="shared" si="1"/>
        <v>290</v>
      </c>
      <c r="E8" s="138">
        <f t="shared" si="2"/>
        <v>104</v>
      </c>
      <c r="F8" s="139">
        <f t="shared" si="3"/>
        <v>30.184000000000001</v>
      </c>
      <c r="G8" s="140">
        <f t="shared" si="4"/>
        <v>1.96</v>
      </c>
      <c r="H8" s="137">
        <v>50</v>
      </c>
      <c r="I8" s="137">
        <v>1</v>
      </c>
      <c r="J8" s="137">
        <f t="shared" si="5"/>
        <v>6.5</v>
      </c>
      <c r="K8" s="137">
        <v>16</v>
      </c>
      <c r="L8" s="137">
        <v>125</v>
      </c>
      <c r="M8" s="137" t="s">
        <v>364</v>
      </c>
      <c r="N8" s="137" t="s">
        <v>365</v>
      </c>
      <c r="O8" s="141">
        <f t="shared" si="6"/>
        <v>122.5</v>
      </c>
      <c r="P8" s="137" t="s">
        <v>366</v>
      </c>
      <c r="Q8" s="137" t="s">
        <v>355</v>
      </c>
      <c r="R8" s="144" t="s">
        <v>359</v>
      </c>
      <c r="S8" s="142" t="s">
        <v>356</v>
      </c>
      <c r="T8" s="142" t="s">
        <v>367</v>
      </c>
      <c r="U8" s="137" t="s">
        <v>363</v>
      </c>
      <c r="V8" s="143" t="s">
        <v>359</v>
      </c>
    </row>
    <row r="9" spans="1:22" ht="17.399999999999999" x14ac:dyDescent="0.4">
      <c r="A9" s="136">
        <v>30</v>
      </c>
      <c r="B9" s="137">
        <v>380</v>
      </c>
      <c r="C9" s="138">
        <f t="shared" si="0"/>
        <v>57</v>
      </c>
      <c r="D9" s="138">
        <f t="shared" si="1"/>
        <v>500</v>
      </c>
      <c r="E9" s="138">
        <f t="shared" si="2"/>
        <v>60</v>
      </c>
      <c r="F9" s="139">
        <f t="shared" si="3"/>
        <v>17.556000000000001</v>
      </c>
      <c r="G9" s="140">
        <f t="shared" si="4"/>
        <v>1.6285714285714286</v>
      </c>
      <c r="H9" s="137">
        <v>35</v>
      </c>
      <c r="I9" s="137">
        <v>1</v>
      </c>
      <c r="J9" s="137">
        <f t="shared" si="5"/>
        <v>3.9</v>
      </c>
      <c r="K9" s="137">
        <v>16</v>
      </c>
      <c r="L9" s="137">
        <v>75</v>
      </c>
      <c r="M9" s="137" t="s">
        <v>352</v>
      </c>
      <c r="N9" s="137" t="s">
        <v>353</v>
      </c>
      <c r="O9" s="141">
        <f t="shared" si="6"/>
        <v>71.25</v>
      </c>
      <c r="P9" s="137" t="s">
        <v>354</v>
      </c>
      <c r="Q9" s="137" t="s">
        <v>355</v>
      </c>
      <c r="R9" s="144" t="s">
        <v>359</v>
      </c>
      <c r="S9" s="142" t="s">
        <v>356</v>
      </c>
      <c r="T9" s="142" t="s">
        <v>354</v>
      </c>
      <c r="U9" s="137" t="s">
        <v>363</v>
      </c>
      <c r="V9" s="143" t="s">
        <v>359</v>
      </c>
    </row>
    <row r="10" spans="1:22" ht="17.399999999999999" x14ac:dyDescent="0.4">
      <c r="A10" s="136">
        <v>30</v>
      </c>
      <c r="B10" s="137">
        <v>440</v>
      </c>
      <c r="C10" s="138">
        <f t="shared" si="0"/>
        <v>49</v>
      </c>
      <c r="D10" s="138">
        <f t="shared" si="1"/>
        <v>579</v>
      </c>
      <c r="E10" s="138">
        <f t="shared" si="2"/>
        <v>52</v>
      </c>
      <c r="F10" s="139">
        <f t="shared" si="3"/>
        <v>15.092000000000001</v>
      </c>
      <c r="G10" s="140">
        <f t="shared" si="4"/>
        <v>1.4</v>
      </c>
      <c r="H10" s="137">
        <v>35</v>
      </c>
      <c r="I10" s="137">
        <v>1</v>
      </c>
      <c r="J10" s="137">
        <f t="shared" si="5"/>
        <v>3.9</v>
      </c>
      <c r="K10" s="137">
        <v>16</v>
      </c>
      <c r="L10" s="137">
        <v>75</v>
      </c>
      <c r="M10" s="137" t="s">
        <v>352</v>
      </c>
      <c r="N10" s="137" t="s">
        <v>353</v>
      </c>
      <c r="O10" s="141">
        <f t="shared" si="6"/>
        <v>61.25</v>
      </c>
      <c r="P10" s="137" t="s">
        <v>354</v>
      </c>
      <c r="Q10" s="137" t="s">
        <v>355</v>
      </c>
      <c r="R10" s="144" t="s">
        <v>359</v>
      </c>
      <c r="S10" s="142" t="s">
        <v>356</v>
      </c>
      <c r="T10" s="142" t="s">
        <v>354</v>
      </c>
      <c r="U10" s="137" t="s">
        <v>363</v>
      </c>
      <c r="V10" s="143" t="s">
        <v>359</v>
      </c>
    </row>
    <row r="11" spans="1:22" ht="17.399999999999999" x14ac:dyDescent="0.4">
      <c r="A11" s="136">
        <v>50</v>
      </c>
      <c r="B11" s="137">
        <v>220</v>
      </c>
      <c r="C11" s="138">
        <f t="shared" si="0"/>
        <v>162</v>
      </c>
      <c r="D11" s="138">
        <f t="shared" si="1"/>
        <v>290</v>
      </c>
      <c r="E11" s="138">
        <f t="shared" si="2"/>
        <v>173</v>
      </c>
      <c r="F11" s="139">
        <f t="shared" si="3"/>
        <v>49.896000000000001</v>
      </c>
      <c r="G11" s="140">
        <f t="shared" si="4"/>
        <v>2.3142857142857145</v>
      </c>
      <c r="H11" s="137">
        <v>70</v>
      </c>
      <c r="I11" s="137">
        <v>1</v>
      </c>
      <c r="J11" s="137">
        <f t="shared" si="5"/>
        <v>10.4</v>
      </c>
      <c r="K11" s="137">
        <v>16</v>
      </c>
      <c r="L11" s="137">
        <v>200</v>
      </c>
      <c r="M11" s="137" t="s">
        <v>368</v>
      </c>
      <c r="N11" s="137" t="s">
        <v>369</v>
      </c>
      <c r="O11" s="141">
        <f t="shared" si="6"/>
        <v>202.5</v>
      </c>
      <c r="P11" s="137" t="s">
        <v>370</v>
      </c>
      <c r="Q11" s="137" t="s">
        <v>371</v>
      </c>
      <c r="R11" s="144" t="s">
        <v>359</v>
      </c>
      <c r="S11" s="142" t="s">
        <v>372</v>
      </c>
      <c r="T11" s="142" t="s">
        <v>373</v>
      </c>
      <c r="U11" s="299" t="s">
        <v>374</v>
      </c>
      <c r="V11" s="300"/>
    </row>
    <row r="12" spans="1:22" ht="17.399999999999999" x14ac:dyDescent="0.4">
      <c r="A12" s="136">
        <v>50</v>
      </c>
      <c r="B12" s="137">
        <v>380</v>
      </c>
      <c r="C12" s="138">
        <f t="shared" si="0"/>
        <v>94</v>
      </c>
      <c r="D12" s="138">
        <f t="shared" si="1"/>
        <v>500</v>
      </c>
      <c r="E12" s="138">
        <f t="shared" si="2"/>
        <v>100</v>
      </c>
      <c r="F12" s="139">
        <f t="shared" si="3"/>
        <v>28.952000000000002</v>
      </c>
      <c r="G12" s="140">
        <f t="shared" si="4"/>
        <v>1.3428571428571427</v>
      </c>
      <c r="H12" s="137">
        <v>70</v>
      </c>
      <c r="I12" s="137">
        <v>1</v>
      </c>
      <c r="J12" s="137">
        <f t="shared" si="5"/>
        <v>6.5</v>
      </c>
      <c r="K12" s="137">
        <v>16</v>
      </c>
      <c r="L12" s="137">
        <v>125</v>
      </c>
      <c r="M12" s="137" t="s">
        <v>375</v>
      </c>
      <c r="N12" s="137" t="s">
        <v>365</v>
      </c>
      <c r="O12" s="141">
        <f t="shared" si="6"/>
        <v>117.5</v>
      </c>
      <c r="P12" s="137" t="s">
        <v>366</v>
      </c>
      <c r="Q12" s="137" t="s">
        <v>355</v>
      </c>
      <c r="R12" s="144" t="s">
        <v>359</v>
      </c>
      <c r="S12" s="142" t="s">
        <v>356</v>
      </c>
      <c r="T12" s="142" t="s">
        <v>367</v>
      </c>
      <c r="U12" s="137" t="s">
        <v>363</v>
      </c>
      <c r="V12" s="143" t="s">
        <v>359</v>
      </c>
    </row>
    <row r="13" spans="1:22" ht="17.399999999999999" x14ac:dyDescent="0.4">
      <c r="A13" s="136">
        <v>50</v>
      </c>
      <c r="B13" s="137">
        <v>440</v>
      </c>
      <c r="C13" s="138">
        <f t="shared" si="0"/>
        <v>81</v>
      </c>
      <c r="D13" s="138">
        <f t="shared" si="1"/>
        <v>579</v>
      </c>
      <c r="E13" s="138">
        <f t="shared" si="2"/>
        <v>87</v>
      </c>
      <c r="F13" s="139">
        <f t="shared" si="3"/>
        <v>24.948</v>
      </c>
      <c r="G13" s="140">
        <f t="shared" si="4"/>
        <v>1.1571428571428573</v>
      </c>
      <c r="H13" s="137">
        <v>70</v>
      </c>
      <c r="I13" s="137">
        <v>1</v>
      </c>
      <c r="J13" s="137">
        <f t="shared" si="5"/>
        <v>5.2</v>
      </c>
      <c r="K13" s="137">
        <v>16</v>
      </c>
      <c r="L13" s="137">
        <v>100</v>
      </c>
      <c r="M13" s="137" t="s">
        <v>375</v>
      </c>
      <c r="N13" s="137" t="s">
        <v>365</v>
      </c>
      <c r="O13" s="141">
        <f t="shared" si="6"/>
        <v>101.25</v>
      </c>
      <c r="P13" s="137" t="s">
        <v>366</v>
      </c>
      <c r="Q13" s="137" t="s">
        <v>355</v>
      </c>
      <c r="R13" s="144" t="s">
        <v>359</v>
      </c>
      <c r="S13" s="142" t="s">
        <v>356</v>
      </c>
      <c r="T13" s="142" t="s">
        <v>367</v>
      </c>
      <c r="U13" s="137" t="s">
        <v>363</v>
      </c>
      <c r="V13" s="143" t="s">
        <v>359</v>
      </c>
    </row>
    <row r="14" spans="1:22" ht="17.399999999999999" x14ac:dyDescent="0.4">
      <c r="A14" s="136">
        <v>75</v>
      </c>
      <c r="B14" s="137">
        <v>220</v>
      </c>
      <c r="C14" s="138">
        <f t="shared" si="0"/>
        <v>243</v>
      </c>
      <c r="D14" s="138">
        <f t="shared" si="1"/>
        <v>290</v>
      </c>
      <c r="E14" s="138">
        <f t="shared" si="2"/>
        <v>259</v>
      </c>
      <c r="F14" s="139">
        <f t="shared" si="3"/>
        <v>74.843999999999994</v>
      </c>
      <c r="G14" s="140">
        <f t="shared" si="4"/>
        <v>1.7357142857142858</v>
      </c>
      <c r="H14" s="137">
        <v>70</v>
      </c>
      <c r="I14" s="137">
        <v>2</v>
      </c>
      <c r="J14" s="137">
        <f t="shared" si="5"/>
        <v>15.6</v>
      </c>
      <c r="K14" s="137">
        <v>16</v>
      </c>
      <c r="L14" s="137">
        <v>300</v>
      </c>
      <c r="M14" s="137" t="s">
        <v>376</v>
      </c>
      <c r="N14" s="137" t="s">
        <v>377</v>
      </c>
      <c r="O14" s="141">
        <f t="shared" si="6"/>
        <v>303.75</v>
      </c>
      <c r="P14" s="137" t="s">
        <v>378</v>
      </c>
      <c r="Q14" s="137" t="s">
        <v>371</v>
      </c>
      <c r="R14" s="144" t="s">
        <v>359</v>
      </c>
      <c r="S14" s="142" t="s">
        <v>379</v>
      </c>
      <c r="T14" s="142" t="s">
        <v>378</v>
      </c>
      <c r="U14" s="299" t="s">
        <v>374</v>
      </c>
      <c r="V14" s="300"/>
    </row>
    <row r="15" spans="1:22" ht="17.399999999999999" x14ac:dyDescent="0.4">
      <c r="A15" s="136">
        <v>75</v>
      </c>
      <c r="B15" s="137">
        <v>380</v>
      </c>
      <c r="C15" s="138">
        <f t="shared" si="0"/>
        <v>141</v>
      </c>
      <c r="D15" s="138">
        <f t="shared" si="1"/>
        <v>500</v>
      </c>
      <c r="E15" s="138">
        <f t="shared" si="2"/>
        <v>150</v>
      </c>
      <c r="F15" s="139">
        <f t="shared" si="3"/>
        <v>43.427999999999997</v>
      </c>
      <c r="G15" s="140">
        <f t="shared" si="4"/>
        <v>2.0142857142857142</v>
      </c>
      <c r="H15" s="137">
        <v>70</v>
      </c>
      <c r="I15" s="137">
        <v>1</v>
      </c>
      <c r="J15" s="137">
        <f t="shared" si="5"/>
        <v>9.1</v>
      </c>
      <c r="K15" s="137">
        <v>16</v>
      </c>
      <c r="L15" s="137">
        <v>175</v>
      </c>
      <c r="M15" s="137" t="s">
        <v>368</v>
      </c>
      <c r="N15" s="137" t="s">
        <v>369</v>
      </c>
      <c r="O15" s="141">
        <f t="shared" si="6"/>
        <v>176.25</v>
      </c>
      <c r="P15" s="137" t="s">
        <v>370</v>
      </c>
      <c r="Q15" s="137" t="s">
        <v>371</v>
      </c>
      <c r="R15" s="144" t="s">
        <v>359</v>
      </c>
      <c r="S15" s="142" t="s">
        <v>379</v>
      </c>
      <c r="T15" s="142" t="s">
        <v>370</v>
      </c>
      <c r="U15" s="299" t="s">
        <v>374</v>
      </c>
      <c r="V15" s="300"/>
    </row>
    <row r="16" spans="1:22" ht="17.399999999999999" x14ac:dyDescent="0.4">
      <c r="A16" s="136">
        <v>75</v>
      </c>
      <c r="B16" s="137">
        <v>440</v>
      </c>
      <c r="C16" s="138">
        <f t="shared" si="0"/>
        <v>122</v>
      </c>
      <c r="D16" s="138">
        <f t="shared" si="1"/>
        <v>579</v>
      </c>
      <c r="E16" s="138">
        <f t="shared" si="2"/>
        <v>130</v>
      </c>
      <c r="F16" s="139">
        <f t="shared" si="3"/>
        <v>37.576000000000001</v>
      </c>
      <c r="G16" s="140">
        <f t="shared" si="4"/>
        <v>1.7428571428571429</v>
      </c>
      <c r="H16" s="137">
        <v>70</v>
      </c>
      <c r="I16" s="137">
        <v>1</v>
      </c>
      <c r="J16" s="137">
        <f t="shared" si="5"/>
        <v>7.8</v>
      </c>
      <c r="K16" s="137">
        <v>16</v>
      </c>
      <c r="L16" s="137">
        <v>150</v>
      </c>
      <c r="M16" s="137" t="s">
        <v>368</v>
      </c>
      <c r="N16" s="137" t="s">
        <v>369</v>
      </c>
      <c r="O16" s="141">
        <f t="shared" si="6"/>
        <v>152.5</v>
      </c>
      <c r="P16" s="137" t="s">
        <v>370</v>
      </c>
      <c r="Q16" s="137" t="s">
        <v>371</v>
      </c>
      <c r="R16" s="144" t="s">
        <v>359</v>
      </c>
      <c r="S16" s="142" t="s">
        <v>379</v>
      </c>
      <c r="T16" s="142" t="s">
        <v>370</v>
      </c>
      <c r="U16" s="299" t="s">
        <v>374</v>
      </c>
      <c r="V16" s="300"/>
    </row>
    <row r="17" spans="1:22" ht="17.399999999999999" x14ac:dyDescent="0.4">
      <c r="A17" s="136">
        <v>100</v>
      </c>
      <c r="B17" s="137">
        <v>380</v>
      </c>
      <c r="C17" s="138">
        <f t="shared" si="0"/>
        <v>188</v>
      </c>
      <c r="D17" s="138">
        <f t="shared" si="1"/>
        <v>500</v>
      </c>
      <c r="E17" s="138">
        <f t="shared" si="2"/>
        <v>200</v>
      </c>
      <c r="F17" s="139">
        <f t="shared" si="3"/>
        <v>57.904000000000003</v>
      </c>
      <c r="G17" s="140">
        <f t="shared" si="4"/>
        <v>1.9789473684210526</v>
      </c>
      <c r="H17" s="137">
        <v>95</v>
      </c>
      <c r="I17" s="137">
        <v>1</v>
      </c>
      <c r="J17" s="137">
        <f t="shared" si="5"/>
        <v>10.4</v>
      </c>
      <c r="K17" s="137">
        <v>16</v>
      </c>
      <c r="L17" s="137">
        <v>200</v>
      </c>
      <c r="M17" s="137" t="s">
        <v>368</v>
      </c>
      <c r="N17" s="137" t="s">
        <v>380</v>
      </c>
      <c r="O17" s="141">
        <f t="shared" si="6"/>
        <v>235</v>
      </c>
      <c r="P17" s="137" t="s">
        <v>381</v>
      </c>
      <c r="Q17" s="137" t="s">
        <v>371</v>
      </c>
      <c r="R17" s="144" t="s">
        <v>359</v>
      </c>
      <c r="S17" s="142" t="s">
        <v>379</v>
      </c>
      <c r="T17" s="142" t="s">
        <v>378</v>
      </c>
      <c r="U17" s="299" t="s">
        <v>374</v>
      </c>
      <c r="V17" s="300"/>
    </row>
    <row r="18" spans="1:22" ht="17.399999999999999" x14ac:dyDescent="0.4">
      <c r="A18" s="136">
        <v>100</v>
      </c>
      <c r="B18" s="137">
        <v>440</v>
      </c>
      <c r="C18" s="138">
        <f t="shared" si="0"/>
        <v>162</v>
      </c>
      <c r="D18" s="138">
        <f t="shared" si="1"/>
        <v>579</v>
      </c>
      <c r="E18" s="138">
        <f t="shared" si="2"/>
        <v>173</v>
      </c>
      <c r="F18" s="139">
        <f t="shared" si="3"/>
        <v>49.896000000000001</v>
      </c>
      <c r="G18" s="140">
        <f t="shared" si="4"/>
        <v>1.7052631578947368</v>
      </c>
      <c r="H18" s="137">
        <v>95</v>
      </c>
      <c r="I18" s="137">
        <v>1</v>
      </c>
      <c r="J18" s="137">
        <f t="shared" si="5"/>
        <v>10.4</v>
      </c>
      <c r="K18" s="137">
        <v>16</v>
      </c>
      <c r="L18" s="137">
        <v>200</v>
      </c>
      <c r="M18" s="137" t="s">
        <v>368</v>
      </c>
      <c r="N18" s="137" t="s">
        <v>380</v>
      </c>
      <c r="O18" s="141">
        <f t="shared" si="6"/>
        <v>202.5</v>
      </c>
      <c r="P18" s="137" t="s">
        <v>381</v>
      </c>
      <c r="Q18" s="137" t="s">
        <v>371</v>
      </c>
      <c r="R18" s="144" t="s">
        <v>359</v>
      </c>
      <c r="S18" s="142" t="s">
        <v>379</v>
      </c>
      <c r="T18" s="142" t="s">
        <v>378</v>
      </c>
      <c r="U18" s="299" t="s">
        <v>374</v>
      </c>
      <c r="V18" s="300"/>
    </row>
    <row r="19" spans="1:22" ht="17.399999999999999" x14ac:dyDescent="0.4">
      <c r="A19" s="136">
        <v>125</v>
      </c>
      <c r="B19" s="137">
        <v>380</v>
      </c>
      <c r="C19" s="138">
        <f t="shared" si="0"/>
        <v>235</v>
      </c>
      <c r="D19" s="138">
        <f t="shared" si="1"/>
        <v>500</v>
      </c>
      <c r="E19" s="138">
        <f t="shared" si="2"/>
        <v>250</v>
      </c>
      <c r="F19" s="139">
        <f t="shared" si="3"/>
        <v>72.38</v>
      </c>
      <c r="G19" s="140">
        <f t="shared" si="4"/>
        <v>1.6785714285714286</v>
      </c>
      <c r="H19" s="137">
        <v>70</v>
      </c>
      <c r="I19" s="137">
        <v>2</v>
      </c>
      <c r="J19" s="137">
        <f t="shared" si="5"/>
        <v>13</v>
      </c>
      <c r="K19" s="137">
        <v>16</v>
      </c>
      <c r="L19" s="137">
        <v>250</v>
      </c>
      <c r="M19" s="137" t="s">
        <v>376</v>
      </c>
      <c r="N19" s="137" t="s">
        <v>377</v>
      </c>
      <c r="O19" s="141">
        <f t="shared" si="6"/>
        <v>293.75</v>
      </c>
      <c r="P19" s="137" t="s">
        <v>378</v>
      </c>
      <c r="Q19" s="137" t="s">
        <v>371</v>
      </c>
      <c r="R19" s="144" t="s">
        <v>359</v>
      </c>
      <c r="S19" s="142" t="s">
        <v>382</v>
      </c>
      <c r="T19" s="142" t="s">
        <v>378</v>
      </c>
      <c r="U19" s="299" t="s">
        <v>374</v>
      </c>
      <c r="V19" s="300"/>
    </row>
    <row r="20" spans="1:22" ht="17.399999999999999" x14ac:dyDescent="0.4">
      <c r="A20" s="136">
        <v>125</v>
      </c>
      <c r="B20" s="137">
        <v>440</v>
      </c>
      <c r="C20" s="138">
        <f t="shared" si="0"/>
        <v>203</v>
      </c>
      <c r="D20" s="138">
        <f t="shared" si="1"/>
        <v>579</v>
      </c>
      <c r="E20" s="138">
        <f t="shared" si="2"/>
        <v>216</v>
      </c>
      <c r="F20" s="139">
        <f t="shared" si="3"/>
        <v>62.524000000000001</v>
      </c>
      <c r="G20" s="140">
        <f t="shared" si="4"/>
        <v>1.45</v>
      </c>
      <c r="H20" s="137">
        <v>70</v>
      </c>
      <c r="I20" s="137">
        <v>2</v>
      </c>
      <c r="J20" s="137">
        <f t="shared" si="5"/>
        <v>13</v>
      </c>
      <c r="K20" s="137">
        <v>16</v>
      </c>
      <c r="L20" s="137">
        <v>250</v>
      </c>
      <c r="M20" s="137" t="s">
        <v>383</v>
      </c>
      <c r="N20" s="137" t="s">
        <v>380</v>
      </c>
      <c r="O20" s="141">
        <f t="shared" si="6"/>
        <v>253.75</v>
      </c>
      <c r="P20" s="137" t="s">
        <v>378</v>
      </c>
      <c r="Q20" s="137" t="s">
        <v>371</v>
      </c>
      <c r="R20" s="144" t="s">
        <v>359</v>
      </c>
      <c r="S20" s="142" t="s">
        <v>382</v>
      </c>
      <c r="T20" s="142" t="s">
        <v>378</v>
      </c>
      <c r="U20" s="299" t="s">
        <v>374</v>
      </c>
      <c r="V20" s="300"/>
    </row>
    <row r="21" spans="1:22" ht="17.399999999999999" x14ac:dyDescent="0.4">
      <c r="A21" s="136">
        <v>150</v>
      </c>
      <c r="B21" s="137">
        <v>380</v>
      </c>
      <c r="C21" s="138">
        <f t="shared" si="0"/>
        <v>282</v>
      </c>
      <c r="D21" s="138">
        <f t="shared" si="1"/>
        <v>500</v>
      </c>
      <c r="E21" s="138">
        <f t="shared" si="2"/>
        <v>300</v>
      </c>
      <c r="F21" s="139">
        <f t="shared" si="3"/>
        <v>86.855999999999995</v>
      </c>
      <c r="G21" s="140">
        <f t="shared" si="4"/>
        <v>2.0142857142857142</v>
      </c>
      <c r="H21" s="137">
        <v>70</v>
      </c>
      <c r="I21" s="137">
        <v>2</v>
      </c>
      <c r="J21" s="137">
        <f t="shared" si="5"/>
        <v>15.6</v>
      </c>
      <c r="K21" s="137">
        <v>25</v>
      </c>
      <c r="L21" s="137">
        <v>300</v>
      </c>
      <c r="M21" s="137" t="s">
        <v>376</v>
      </c>
      <c r="N21" s="137" t="s">
        <v>377</v>
      </c>
      <c r="O21" s="141">
        <f t="shared" si="6"/>
        <v>352.5</v>
      </c>
      <c r="P21" s="137" t="s">
        <v>384</v>
      </c>
      <c r="Q21" s="137" t="s">
        <v>371</v>
      </c>
      <c r="R21" s="144" t="s">
        <v>359</v>
      </c>
      <c r="S21" s="142" t="s">
        <v>382</v>
      </c>
      <c r="T21" s="142" t="s">
        <v>384</v>
      </c>
      <c r="U21" s="299" t="s">
        <v>374</v>
      </c>
      <c r="V21" s="300"/>
    </row>
    <row r="22" spans="1:22" ht="17.399999999999999" x14ac:dyDescent="0.4">
      <c r="A22" s="136">
        <v>150</v>
      </c>
      <c r="B22" s="137">
        <v>440</v>
      </c>
      <c r="C22" s="138">
        <f t="shared" si="0"/>
        <v>243</v>
      </c>
      <c r="D22" s="138">
        <f t="shared" si="1"/>
        <v>579</v>
      </c>
      <c r="E22" s="138">
        <f t="shared" si="2"/>
        <v>260</v>
      </c>
      <c r="F22" s="139">
        <f t="shared" si="3"/>
        <v>74.843999999999994</v>
      </c>
      <c r="G22" s="140">
        <f t="shared" si="4"/>
        <v>1.7357142857142858</v>
      </c>
      <c r="H22" s="137">
        <v>70</v>
      </c>
      <c r="I22" s="137">
        <v>2</v>
      </c>
      <c r="J22" s="137">
        <f t="shared" si="5"/>
        <v>15.6</v>
      </c>
      <c r="K22" s="137">
        <v>25</v>
      </c>
      <c r="L22" s="137">
        <v>300</v>
      </c>
      <c r="M22" s="137" t="s">
        <v>376</v>
      </c>
      <c r="N22" s="137" t="s">
        <v>377</v>
      </c>
      <c r="O22" s="141">
        <f t="shared" si="6"/>
        <v>303.75</v>
      </c>
      <c r="P22" s="137" t="s">
        <v>378</v>
      </c>
      <c r="Q22" s="137" t="s">
        <v>371</v>
      </c>
      <c r="R22" s="144" t="s">
        <v>359</v>
      </c>
      <c r="S22" s="142" t="s">
        <v>382</v>
      </c>
      <c r="T22" s="142" t="s">
        <v>384</v>
      </c>
      <c r="U22" s="299" t="s">
        <v>374</v>
      </c>
      <c r="V22" s="300"/>
    </row>
    <row r="23" spans="1:22" ht="17.399999999999999" x14ac:dyDescent="0.4">
      <c r="A23" s="136">
        <v>200</v>
      </c>
      <c r="B23" s="137">
        <v>380</v>
      </c>
      <c r="C23" s="138">
        <f t="shared" si="0"/>
        <v>376</v>
      </c>
      <c r="D23" s="138">
        <f t="shared" si="1"/>
        <v>500</v>
      </c>
      <c r="E23" s="138">
        <f t="shared" si="2"/>
        <v>400</v>
      </c>
      <c r="F23" s="139">
        <f t="shared" si="3"/>
        <v>115.80800000000001</v>
      </c>
      <c r="G23" s="140">
        <f t="shared" si="4"/>
        <v>1.9789473684210526</v>
      </c>
      <c r="H23" s="137">
        <v>95</v>
      </c>
      <c r="I23" s="137">
        <v>2</v>
      </c>
      <c r="J23" s="137">
        <f t="shared" si="5"/>
        <v>20.8</v>
      </c>
      <c r="K23" s="137">
        <v>25</v>
      </c>
      <c r="L23" s="137">
        <v>400</v>
      </c>
      <c r="M23" s="137" t="s">
        <v>385</v>
      </c>
      <c r="N23" s="137" t="s">
        <v>377</v>
      </c>
      <c r="O23" s="141">
        <f t="shared" si="6"/>
        <v>470</v>
      </c>
      <c r="P23" s="137" t="s">
        <v>386</v>
      </c>
      <c r="Q23" s="137" t="s">
        <v>387</v>
      </c>
      <c r="R23" s="144" t="s">
        <v>359</v>
      </c>
      <c r="S23" s="142" t="s">
        <v>382</v>
      </c>
      <c r="T23" s="142" t="s">
        <v>386</v>
      </c>
      <c r="U23" s="299" t="s">
        <v>374</v>
      </c>
      <c r="V23" s="300"/>
    </row>
    <row r="24" spans="1:22" ht="17.399999999999999" x14ac:dyDescent="0.4">
      <c r="A24" s="136">
        <v>200</v>
      </c>
      <c r="B24" s="137">
        <v>440</v>
      </c>
      <c r="C24" s="138">
        <f t="shared" si="0"/>
        <v>324</v>
      </c>
      <c r="D24" s="138">
        <f t="shared" si="1"/>
        <v>579</v>
      </c>
      <c r="E24" s="138">
        <f t="shared" si="2"/>
        <v>346</v>
      </c>
      <c r="F24" s="139">
        <f t="shared" si="3"/>
        <v>99.792000000000002</v>
      </c>
      <c r="G24" s="140">
        <f t="shared" si="4"/>
        <v>1.7052631578947368</v>
      </c>
      <c r="H24" s="137">
        <v>95</v>
      </c>
      <c r="I24" s="137">
        <v>2</v>
      </c>
      <c r="J24" s="137">
        <f t="shared" si="5"/>
        <v>20.8</v>
      </c>
      <c r="K24" s="137">
        <v>25</v>
      </c>
      <c r="L24" s="137">
        <v>400</v>
      </c>
      <c r="M24" s="137" t="s">
        <v>385</v>
      </c>
      <c r="N24" s="137" t="s">
        <v>377</v>
      </c>
      <c r="O24" s="141">
        <f t="shared" si="6"/>
        <v>405</v>
      </c>
      <c r="P24" s="137" t="s">
        <v>384</v>
      </c>
      <c r="Q24" s="137" t="s">
        <v>387</v>
      </c>
      <c r="R24" s="144" t="s">
        <v>359</v>
      </c>
      <c r="S24" s="142" t="s">
        <v>382</v>
      </c>
      <c r="T24" s="142" t="s">
        <v>386</v>
      </c>
      <c r="U24" s="299" t="s">
        <v>374</v>
      </c>
      <c r="V24" s="300"/>
    </row>
    <row r="25" spans="1:22" ht="17.399999999999999" x14ac:dyDescent="0.4">
      <c r="A25" s="136">
        <v>250</v>
      </c>
      <c r="B25" s="137">
        <v>380</v>
      </c>
      <c r="C25" s="138">
        <f t="shared" si="0"/>
        <v>469</v>
      </c>
      <c r="D25" s="138">
        <f t="shared" si="1"/>
        <v>500</v>
      </c>
      <c r="E25" s="138">
        <f t="shared" si="2"/>
        <v>500</v>
      </c>
      <c r="F25" s="139">
        <f t="shared" si="3"/>
        <v>144.452</v>
      </c>
      <c r="G25" s="140">
        <f t="shared" si="4"/>
        <v>1.9541666666666666</v>
      </c>
      <c r="H25" s="137">
        <v>120</v>
      </c>
      <c r="I25" s="137">
        <v>2</v>
      </c>
      <c r="J25" s="137">
        <f t="shared" si="5"/>
        <v>26</v>
      </c>
      <c r="K25" s="137">
        <v>35</v>
      </c>
      <c r="L25" s="137">
        <v>500</v>
      </c>
      <c r="M25" s="137" t="s">
        <v>388</v>
      </c>
      <c r="N25" s="137" t="s">
        <v>389</v>
      </c>
      <c r="O25" s="141">
        <f t="shared" si="6"/>
        <v>586.25</v>
      </c>
      <c r="P25" s="137" t="s">
        <v>390</v>
      </c>
      <c r="Q25" s="137" t="s">
        <v>387</v>
      </c>
      <c r="R25" s="144" t="s">
        <v>359</v>
      </c>
      <c r="S25" s="142" t="s">
        <v>391</v>
      </c>
      <c r="T25" s="142" t="s">
        <v>390</v>
      </c>
      <c r="U25" s="299" t="s">
        <v>374</v>
      </c>
      <c r="V25" s="300"/>
    </row>
    <row r="26" spans="1:22" ht="17.399999999999999" x14ac:dyDescent="0.4">
      <c r="A26" s="136">
        <v>250</v>
      </c>
      <c r="B26" s="137">
        <v>440</v>
      </c>
      <c r="C26" s="138">
        <f t="shared" si="0"/>
        <v>405</v>
      </c>
      <c r="D26" s="138">
        <f t="shared" si="1"/>
        <v>579</v>
      </c>
      <c r="E26" s="138">
        <f t="shared" si="2"/>
        <v>432</v>
      </c>
      <c r="F26" s="139">
        <f t="shared" si="3"/>
        <v>124.74</v>
      </c>
      <c r="G26" s="140">
        <f t="shared" si="4"/>
        <v>1.6875</v>
      </c>
      <c r="H26" s="137">
        <v>120</v>
      </c>
      <c r="I26" s="137">
        <v>2</v>
      </c>
      <c r="J26" s="137">
        <f t="shared" si="5"/>
        <v>26</v>
      </c>
      <c r="K26" s="137">
        <v>35</v>
      </c>
      <c r="L26" s="137">
        <v>500</v>
      </c>
      <c r="M26" s="137" t="s">
        <v>385</v>
      </c>
      <c r="N26" s="137" t="s">
        <v>392</v>
      </c>
      <c r="O26" s="141">
        <f t="shared" si="6"/>
        <v>506.25</v>
      </c>
      <c r="P26" s="137" t="s">
        <v>386</v>
      </c>
      <c r="Q26" s="137" t="s">
        <v>387</v>
      </c>
      <c r="R26" s="144" t="s">
        <v>359</v>
      </c>
      <c r="S26" s="142" t="s">
        <v>391</v>
      </c>
      <c r="T26" s="142" t="s">
        <v>390</v>
      </c>
      <c r="U26" s="299" t="s">
        <v>374</v>
      </c>
      <c r="V26" s="300"/>
    </row>
    <row r="27" spans="1:22" ht="17.399999999999999" x14ac:dyDescent="0.4">
      <c r="A27" s="136">
        <v>300</v>
      </c>
      <c r="B27" s="137">
        <v>380</v>
      </c>
      <c r="C27" s="138">
        <f t="shared" si="0"/>
        <v>563</v>
      </c>
      <c r="D27" s="138">
        <f t="shared" si="1"/>
        <v>500</v>
      </c>
      <c r="E27" s="138">
        <f t="shared" si="2"/>
        <v>600</v>
      </c>
      <c r="F27" s="139">
        <f t="shared" si="3"/>
        <v>173.404</v>
      </c>
      <c r="G27" s="140">
        <f t="shared" si="4"/>
        <v>1.8766666666666667</v>
      </c>
      <c r="H27" s="137">
        <v>150</v>
      </c>
      <c r="I27" s="137">
        <v>2</v>
      </c>
      <c r="J27" s="137">
        <f t="shared" si="5"/>
        <v>32.76</v>
      </c>
      <c r="K27" s="137">
        <v>35</v>
      </c>
      <c r="L27" s="137">
        <v>630</v>
      </c>
      <c r="M27" s="137" t="s">
        <v>393</v>
      </c>
      <c r="N27" s="137" t="s">
        <v>389</v>
      </c>
      <c r="O27" s="141">
        <f t="shared" si="6"/>
        <v>703.75</v>
      </c>
      <c r="P27" s="137" t="s">
        <v>394</v>
      </c>
      <c r="Q27" s="137" t="s">
        <v>387</v>
      </c>
      <c r="R27" s="144" t="s">
        <v>359</v>
      </c>
      <c r="S27" s="142" t="s">
        <v>391</v>
      </c>
      <c r="T27" s="142" t="s">
        <v>394</v>
      </c>
      <c r="U27" s="299" t="s">
        <v>374</v>
      </c>
      <c r="V27" s="300"/>
    </row>
    <row r="28" spans="1:22" ht="17.399999999999999" x14ac:dyDescent="0.4">
      <c r="A28" s="136">
        <v>300</v>
      </c>
      <c r="B28" s="137">
        <v>440</v>
      </c>
      <c r="C28" s="138">
        <f t="shared" si="0"/>
        <v>486</v>
      </c>
      <c r="D28" s="138">
        <f t="shared" si="1"/>
        <v>579</v>
      </c>
      <c r="E28" s="138">
        <f t="shared" si="2"/>
        <v>519</v>
      </c>
      <c r="F28" s="139">
        <f t="shared" si="3"/>
        <v>149.68799999999999</v>
      </c>
      <c r="G28" s="140">
        <f t="shared" si="4"/>
        <v>1.62</v>
      </c>
      <c r="H28" s="137">
        <v>150</v>
      </c>
      <c r="I28" s="137">
        <v>2</v>
      </c>
      <c r="J28" s="137">
        <f t="shared" si="5"/>
        <v>32.76</v>
      </c>
      <c r="K28" s="137">
        <v>35</v>
      </c>
      <c r="L28" s="137">
        <v>630</v>
      </c>
      <c r="M28" s="137" t="s">
        <v>393</v>
      </c>
      <c r="N28" s="137" t="s">
        <v>389</v>
      </c>
      <c r="O28" s="141">
        <f t="shared" si="6"/>
        <v>607.5</v>
      </c>
      <c r="P28" s="137" t="s">
        <v>390</v>
      </c>
      <c r="Q28" s="137" t="s">
        <v>387</v>
      </c>
      <c r="R28" s="144" t="s">
        <v>359</v>
      </c>
      <c r="S28" s="142" t="s">
        <v>391</v>
      </c>
      <c r="T28" s="142" t="s">
        <v>394</v>
      </c>
      <c r="U28" s="299" t="s">
        <v>374</v>
      </c>
      <c r="V28" s="300"/>
    </row>
    <row r="29" spans="1:22" ht="17.399999999999999" x14ac:dyDescent="0.4">
      <c r="A29" s="136">
        <v>350</v>
      </c>
      <c r="B29" s="137">
        <v>440</v>
      </c>
      <c r="C29" s="138">
        <f t="shared" si="0"/>
        <v>567</v>
      </c>
      <c r="D29" s="138">
        <f t="shared" si="1"/>
        <v>579</v>
      </c>
      <c r="E29" s="138">
        <f t="shared" si="2"/>
        <v>605</v>
      </c>
      <c r="F29" s="139">
        <f t="shared" si="3"/>
        <v>174.636</v>
      </c>
      <c r="G29" s="140">
        <f t="shared" si="4"/>
        <v>1.89</v>
      </c>
      <c r="H29" s="137">
        <v>150</v>
      </c>
      <c r="I29" s="137">
        <v>2</v>
      </c>
      <c r="J29" s="137">
        <f t="shared" si="5"/>
        <v>36.4</v>
      </c>
      <c r="K29" s="137">
        <v>50</v>
      </c>
      <c r="L29" s="137">
        <v>700</v>
      </c>
      <c r="M29" s="137" t="s">
        <v>395</v>
      </c>
      <c r="N29" s="137" t="s">
        <v>396</v>
      </c>
      <c r="O29" s="141">
        <f t="shared" si="6"/>
        <v>708.75</v>
      </c>
      <c r="P29" s="137" t="s">
        <v>394</v>
      </c>
      <c r="Q29" s="137" t="s">
        <v>387</v>
      </c>
      <c r="R29" s="144" t="s">
        <v>359</v>
      </c>
      <c r="S29" s="142" t="s">
        <v>391</v>
      </c>
      <c r="T29" s="142" t="s">
        <v>394</v>
      </c>
      <c r="U29" s="299" t="s">
        <v>374</v>
      </c>
      <c r="V29" s="300"/>
    </row>
    <row r="30" spans="1:22" ht="17.399999999999999" x14ac:dyDescent="0.4">
      <c r="A30" s="136">
        <v>400</v>
      </c>
      <c r="B30" s="137">
        <v>440</v>
      </c>
      <c r="C30" s="138">
        <f t="shared" si="0"/>
        <v>648</v>
      </c>
      <c r="D30" s="138">
        <f t="shared" si="1"/>
        <v>579</v>
      </c>
      <c r="E30" s="138">
        <f t="shared" si="2"/>
        <v>691</v>
      </c>
      <c r="F30" s="139">
        <f t="shared" si="3"/>
        <v>199.584</v>
      </c>
      <c r="G30" s="140">
        <f t="shared" si="4"/>
        <v>2.16</v>
      </c>
      <c r="H30" s="137">
        <v>150</v>
      </c>
      <c r="I30" s="137">
        <v>2</v>
      </c>
      <c r="J30" s="137">
        <f t="shared" si="5"/>
        <v>41.6</v>
      </c>
      <c r="K30" s="137">
        <v>50</v>
      </c>
      <c r="L30" s="137">
        <v>800</v>
      </c>
      <c r="M30" s="137" t="s">
        <v>395</v>
      </c>
      <c r="N30" s="137" t="s">
        <v>396</v>
      </c>
      <c r="O30" s="141">
        <f t="shared" si="6"/>
        <v>810</v>
      </c>
      <c r="P30" s="137" t="s">
        <v>394</v>
      </c>
      <c r="Q30" s="137" t="s">
        <v>397</v>
      </c>
      <c r="R30" s="144" t="s">
        <v>359</v>
      </c>
      <c r="S30" s="142" t="s">
        <v>391</v>
      </c>
      <c r="T30" s="142" t="s">
        <v>398</v>
      </c>
      <c r="U30" s="299" t="s">
        <v>374</v>
      </c>
      <c r="V30" s="300"/>
    </row>
    <row r="31" spans="1:22" ht="17.399999999999999" x14ac:dyDescent="0.4">
      <c r="A31" s="136">
        <v>450</v>
      </c>
      <c r="B31" s="137">
        <v>440</v>
      </c>
      <c r="C31" s="138">
        <f t="shared" si="0"/>
        <v>729</v>
      </c>
      <c r="D31" s="138">
        <f t="shared" si="1"/>
        <v>579</v>
      </c>
      <c r="E31" s="138">
        <f t="shared" si="2"/>
        <v>778</v>
      </c>
      <c r="F31" s="139"/>
      <c r="G31" s="140">
        <f t="shared" si="4"/>
        <v>1.9702702702702704</v>
      </c>
      <c r="H31" s="137">
        <v>185</v>
      </c>
      <c r="I31" s="137">
        <v>2</v>
      </c>
      <c r="J31" s="137">
        <f t="shared" si="5"/>
        <v>41.6</v>
      </c>
      <c r="K31" s="137">
        <v>50</v>
      </c>
      <c r="L31" s="137">
        <v>800</v>
      </c>
      <c r="M31" s="137" t="s">
        <v>395</v>
      </c>
      <c r="N31" s="137" t="s">
        <v>399</v>
      </c>
      <c r="O31" s="141">
        <f t="shared" si="6"/>
        <v>911.25</v>
      </c>
      <c r="P31" s="137" t="s">
        <v>400</v>
      </c>
      <c r="Q31" s="137" t="s">
        <v>397</v>
      </c>
      <c r="R31" s="144" t="s">
        <v>359</v>
      </c>
      <c r="S31" s="142" t="s">
        <v>391</v>
      </c>
      <c r="T31" s="142" t="s">
        <v>398</v>
      </c>
      <c r="U31" s="299" t="s">
        <v>374</v>
      </c>
      <c r="V31" s="300"/>
    </row>
    <row r="32" spans="1:22" ht="17.399999999999999" x14ac:dyDescent="0.4">
      <c r="A32" s="136">
        <v>500</v>
      </c>
      <c r="B32" s="137">
        <v>440</v>
      </c>
      <c r="C32" s="138">
        <f t="shared" si="0"/>
        <v>810</v>
      </c>
      <c r="D32" s="138">
        <f t="shared" si="1"/>
        <v>579</v>
      </c>
      <c r="E32" s="138">
        <f t="shared" si="2"/>
        <v>864</v>
      </c>
      <c r="F32" s="139">
        <f t="shared" si="3"/>
        <v>249.48</v>
      </c>
      <c r="G32" s="140">
        <f t="shared" si="4"/>
        <v>2.189189189189189</v>
      </c>
      <c r="H32" s="137">
        <v>185</v>
      </c>
      <c r="I32" s="137">
        <v>2</v>
      </c>
      <c r="J32" s="137">
        <f t="shared" si="5"/>
        <v>52</v>
      </c>
      <c r="K32" s="137">
        <v>70</v>
      </c>
      <c r="L32" s="137">
        <v>1000</v>
      </c>
      <c r="M32" s="137" t="s">
        <v>401</v>
      </c>
      <c r="N32" s="137" t="s">
        <v>402</v>
      </c>
      <c r="O32" s="141">
        <f t="shared" si="6"/>
        <v>1012.5</v>
      </c>
      <c r="P32" s="137" t="s">
        <v>398</v>
      </c>
      <c r="Q32" s="137" t="s">
        <v>397</v>
      </c>
      <c r="R32" s="144" t="s">
        <v>359</v>
      </c>
      <c r="S32" s="142" t="s">
        <v>403</v>
      </c>
      <c r="T32" s="142" t="s">
        <v>404</v>
      </c>
      <c r="U32" s="299" t="s">
        <v>374</v>
      </c>
      <c r="V32" s="300"/>
    </row>
    <row r="33" spans="1:22" ht="17.399999999999999" x14ac:dyDescent="0.4">
      <c r="A33" s="136">
        <v>600</v>
      </c>
      <c r="B33" s="137">
        <v>460</v>
      </c>
      <c r="C33" s="138">
        <f t="shared" si="0"/>
        <v>930</v>
      </c>
      <c r="D33" s="138">
        <f t="shared" si="1"/>
        <v>606</v>
      </c>
      <c r="E33" s="138">
        <f t="shared" si="2"/>
        <v>991</v>
      </c>
      <c r="F33" s="139">
        <f t="shared" si="3"/>
        <v>286.44</v>
      </c>
      <c r="G33" s="140">
        <f t="shared" si="4"/>
        <v>1.6756756756756757</v>
      </c>
      <c r="H33" s="137">
        <v>185</v>
      </c>
      <c r="I33" s="137">
        <v>3</v>
      </c>
      <c r="J33" s="137">
        <f t="shared" si="5"/>
        <v>62.4</v>
      </c>
      <c r="K33" s="137">
        <v>70</v>
      </c>
      <c r="L33" s="137">
        <v>1200</v>
      </c>
      <c r="M33" s="137" t="s">
        <v>405</v>
      </c>
      <c r="N33" s="137" t="s">
        <v>402</v>
      </c>
      <c r="O33" s="141">
        <f t="shared" si="6"/>
        <v>1162.5</v>
      </c>
      <c r="P33" s="137" t="s">
        <v>406</v>
      </c>
      <c r="Q33" s="137" t="s">
        <v>397</v>
      </c>
      <c r="R33" s="144" t="s">
        <v>359</v>
      </c>
      <c r="S33" s="142" t="s">
        <v>407</v>
      </c>
      <c r="T33" s="142" t="s">
        <v>404</v>
      </c>
      <c r="U33" s="137" t="s">
        <v>408</v>
      </c>
      <c r="V33" s="145" t="s">
        <v>409</v>
      </c>
    </row>
    <row r="34" spans="1:22" ht="17.399999999999999" x14ac:dyDescent="0.4">
      <c r="A34" s="136">
        <v>700</v>
      </c>
      <c r="B34" s="137">
        <v>460</v>
      </c>
      <c r="C34" s="138">
        <f t="shared" si="0"/>
        <v>1085</v>
      </c>
      <c r="D34" s="138">
        <f t="shared" si="1"/>
        <v>606</v>
      </c>
      <c r="E34" s="138">
        <f t="shared" si="2"/>
        <v>1156</v>
      </c>
      <c r="F34" s="139">
        <f t="shared" si="3"/>
        <v>334.18</v>
      </c>
      <c r="G34" s="140">
        <f t="shared" si="4"/>
        <v>1.4662162162162162</v>
      </c>
      <c r="H34" s="137">
        <v>185</v>
      </c>
      <c r="I34" s="137">
        <v>4</v>
      </c>
      <c r="J34" s="137">
        <f t="shared" si="5"/>
        <v>65</v>
      </c>
      <c r="K34" s="137">
        <v>70</v>
      </c>
      <c r="L34" s="137">
        <v>1250</v>
      </c>
      <c r="M34" s="137" t="s">
        <v>410</v>
      </c>
      <c r="N34" s="137" t="s">
        <v>411</v>
      </c>
      <c r="O34" s="141">
        <f t="shared" si="6"/>
        <v>1356.25</v>
      </c>
      <c r="P34" s="144" t="s">
        <v>412</v>
      </c>
      <c r="Q34" s="137" t="s">
        <v>413</v>
      </c>
      <c r="R34" s="144" t="s">
        <v>412</v>
      </c>
      <c r="S34" s="142" t="s">
        <v>414</v>
      </c>
      <c r="T34" s="142" t="s">
        <v>415</v>
      </c>
      <c r="U34" s="137" t="s">
        <v>416</v>
      </c>
      <c r="V34" s="145" t="s">
        <v>417</v>
      </c>
    </row>
    <row r="35" spans="1:22" ht="17.399999999999999" x14ac:dyDescent="0.4">
      <c r="A35" s="136">
        <v>750</v>
      </c>
      <c r="B35" s="137">
        <v>460</v>
      </c>
      <c r="C35" s="138">
        <f t="shared" si="0"/>
        <v>1163</v>
      </c>
      <c r="D35" s="138">
        <f t="shared" si="1"/>
        <v>606</v>
      </c>
      <c r="E35" s="138">
        <f t="shared" si="2"/>
        <v>1238</v>
      </c>
      <c r="F35" s="139">
        <f t="shared" si="3"/>
        <v>358.20400000000001</v>
      </c>
      <c r="G35" s="140">
        <f t="shared" si="4"/>
        <v>1.5716216216216217</v>
      </c>
      <c r="H35" s="137">
        <v>185</v>
      </c>
      <c r="I35" s="137">
        <v>4</v>
      </c>
      <c r="J35" s="137">
        <f t="shared" si="5"/>
        <v>65</v>
      </c>
      <c r="K35" s="137">
        <v>70</v>
      </c>
      <c r="L35" s="137">
        <v>1250</v>
      </c>
      <c r="M35" s="137" t="s">
        <v>410</v>
      </c>
      <c r="N35" s="137" t="s">
        <v>411</v>
      </c>
      <c r="O35" s="141">
        <f t="shared" si="6"/>
        <v>1453.75</v>
      </c>
      <c r="P35" s="144" t="s">
        <v>412</v>
      </c>
      <c r="Q35" s="137" t="s">
        <v>413</v>
      </c>
      <c r="R35" s="144" t="s">
        <v>412</v>
      </c>
      <c r="S35" s="142" t="s">
        <v>414</v>
      </c>
      <c r="T35" s="142" t="s">
        <v>418</v>
      </c>
      <c r="U35" s="137" t="s">
        <v>416</v>
      </c>
      <c r="V35" s="145" t="s">
        <v>417</v>
      </c>
    </row>
    <row r="36" spans="1:22" ht="17.399999999999999" x14ac:dyDescent="0.4">
      <c r="A36" s="136">
        <v>800</v>
      </c>
      <c r="B36" s="137">
        <v>460</v>
      </c>
      <c r="C36" s="138">
        <f t="shared" si="0"/>
        <v>1240</v>
      </c>
      <c r="D36" s="138">
        <f t="shared" si="1"/>
        <v>606</v>
      </c>
      <c r="E36" s="138">
        <f t="shared" si="2"/>
        <v>1321</v>
      </c>
      <c r="F36" s="139">
        <f t="shared" si="3"/>
        <v>381.92</v>
      </c>
      <c r="G36" s="140">
        <f t="shared" si="4"/>
        <v>1.6756756756756757</v>
      </c>
      <c r="H36" s="137">
        <v>185</v>
      </c>
      <c r="I36" s="137">
        <v>4</v>
      </c>
      <c r="J36" s="137">
        <f t="shared" si="5"/>
        <v>83.2</v>
      </c>
      <c r="K36" s="137">
        <v>95</v>
      </c>
      <c r="L36" s="137">
        <v>1600</v>
      </c>
      <c r="M36" s="137" t="s">
        <v>419</v>
      </c>
      <c r="N36" s="137" t="s">
        <v>420</v>
      </c>
      <c r="O36" s="141">
        <f t="shared" si="6"/>
        <v>1550</v>
      </c>
      <c r="P36" s="144" t="s">
        <v>412</v>
      </c>
      <c r="Q36" s="137" t="s">
        <v>413</v>
      </c>
      <c r="R36" s="144" t="s">
        <v>412</v>
      </c>
      <c r="S36" s="142" t="s">
        <v>414</v>
      </c>
      <c r="T36" s="142" t="s">
        <v>418</v>
      </c>
      <c r="U36" s="137" t="s">
        <v>416</v>
      </c>
      <c r="V36" s="145" t="s">
        <v>417</v>
      </c>
    </row>
    <row r="37" spans="1:22" ht="17.399999999999999" x14ac:dyDescent="0.4">
      <c r="A37" s="136">
        <v>1000</v>
      </c>
      <c r="B37" s="137">
        <v>460</v>
      </c>
      <c r="C37" s="138">
        <f t="shared" si="0"/>
        <v>1550</v>
      </c>
      <c r="D37" s="138">
        <f t="shared" si="1"/>
        <v>606</v>
      </c>
      <c r="E37" s="138">
        <f t="shared" si="2"/>
        <v>1651</v>
      </c>
      <c r="F37" s="139">
        <f t="shared" si="3"/>
        <v>477.4</v>
      </c>
      <c r="G37" s="140">
        <f t="shared" si="4"/>
        <v>1.6145833333333333</v>
      </c>
      <c r="H37" s="137">
        <v>240</v>
      </c>
      <c r="I37" s="137">
        <v>4</v>
      </c>
      <c r="J37" s="137">
        <f t="shared" si="5"/>
        <v>104</v>
      </c>
      <c r="K37" s="137">
        <v>120</v>
      </c>
      <c r="L37" s="137">
        <v>2000</v>
      </c>
      <c r="M37" s="137" t="s">
        <v>421</v>
      </c>
      <c r="N37" s="137" t="s">
        <v>422</v>
      </c>
      <c r="O37" s="141">
        <f t="shared" si="6"/>
        <v>1937.5</v>
      </c>
      <c r="P37" s="144" t="s">
        <v>412</v>
      </c>
      <c r="Q37" s="137" t="s">
        <v>423</v>
      </c>
      <c r="R37" s="137" t="s">
        <v>424</v>
      </c>
      <c r="S37" s="142" t="s">
        <v>414</v>
      </c>
      <c r="T37" s="142" t="s">
        <v>425</v>
      </c>
      <c r="U37" s="137" t="s">
        <v>416</v>
      </c>
      <c r="V37" s="145" t="s">
        <v>417</v>
      </c>
    </row>
    <row r="38" spans="1:22" ht="17.399999999999999" x14ac:dyDescent="0.4">
      <c r="A38" s="136">
        <v>1200</v>
      </c>
      <c r="B38" s="137">
        <v>460</v>
      </c>
      <c r="C38" s="138">
        <f t="shared" si="0"/>
        <v>1860</v>
      </c>
      <c r="D38" s="138">
        <f t="shared" si="1"/>
        <v>606</v>
      </c>
      <c r="E38" s="138">
        <f t="shared" si="2"/>
        <v>1981</v>
      </c>
      <c r="F38" s="139">
        <f t="shared" si="3"/>
        <v>572.88</v>
      </c>
      <c r="G38" s="140">
        <f t="shared" si="4"/>
        <v>1.55</v>
      </c>
      <c r="H38" s="137">
        <v>300</v>
      </c>
      <c r="I38" s="137">
        <v>4</v>
      </c>
      <c r="J38" s="137">
        <f t="shared" si="5"/>
        <v>130</v>
      </c>
      <c r="K38" s="137">
        <v>150</v>
      </c>
      <c r="L38" s="137">
        <v>2500</v>
      </c>
      <c r="M38" s="137" t="s">
        <v>426</v>
      </c>
      <c r="N38" s="137" t="s">
        <v>427</v>
      </c>
      <c r="O38" s="141">
        <f t="shared" si="6"/>
        <v>2325</v>
      </c>
      <c r="P38" s="144" t="s">
        <v>412</v>
      </c>
      <c r="Q38" s="137"/>
      <c r="R38" s="137" t="s">
        <v>424</v>
      </c>
      <c r="S38" s="142" t="s">
        <v>414</v>
      </c>
      <c r="T38" s="142" t="s">
        <v>425</v>
      </c>
      <c r="U38" s="137" t="s">
        <v>416</v>
      </c>
      <c r="V38" s="145" t="s">
        <v>428</v>
      </c>
    </row>
    <row r="39" spans="1:22" ht="17.399999999999999" x14ac:dyDescent="0.4">
      <c r="A39" s="136">
        <v>1250</v>
      </c>
      <c r="B39" s="137">
        <v>460</v>
      </c>
      <c r="C39" s="138">
        <f t="shared" si="0"/>
        <v>1937</v>
      </c>
      <c r="D39" s="138">
        <f t="shared" si="1"/>
        <v>606</v>
      </c>
      <c r="E39" s="138">
        <f t="shared" si="2"/>
        <v>2063</v>
      </c>
      <c r="F39" s="139">
        <f t="shared" si="3"/>
        <v>596.596</v>
      </c>
      <c r="G39" s="140">
        <f t="shared" si="4"/>
        <v>1.6141666666666667</v>
      </c>
      <c r="H39" s="137">
        <v>300</v>
      </c>
      <c r="I39" s="137">
        <v>4</v>
      </c>
      <c r="J39" s="137">
        <f t="shared" si="5"/>
        <v>130</v>
      </c>
      <c r="K39" s="137">
        <v>150</v>
      </c>
      <c r="L39" s="137">
        <v>2500</v>
      </c>
      <c r="M39" s="137" t="s">
        <v>429</v>
      </c>
      <c r="N39" s="137" t="s">
        <v>430</v>
      </c>
      <c r="O39" s="141">
        <f t="shared" si="6"/>
        <v>2421.25</v>
      </c>
      <c r="P39" s="144" t="s">
        <v>431</v>
      </c>
      <c r="Q39" s="137"/>
      <c r="R39" s="137" t="s">
        <v>432</v>
      </c>
      <c r="S39" s="142" t="s">
        <v>433</v>
      </c>
      <c r="T39" s="142" t="s">
        <v>434</v>
      </c>
      <c r="U39" s="137" t="s">
        <v>435</v>
      </c>
      <c r="V39" s="145" t="s">
        <v>428</v>
      </c>
    </row>
    <row r="40" spans="1:22" ht="17.399999999999999" x14ac:dyDescent="0.4">
      <c r="A40" s="136">
        <v>1500</v>
      </c>
      <c r="B40" s="137">
        <v>460</v>
      </c>
      <c r="C40" s="138">
        <f t="shared" si="0"/>
        <v>2325</v>
      </c>
      <c r="D40" s="138">
        <f t="shared" si="1"/>
        <v>606</v>
      </c>
      <c r="E40" s="138">
        <f t="shared" si="2"/>
        <v>2476</v>
      </c>
      <c r="F40" s="139">
        <f t="shared" si="3"/>
        <v>716.1</v>
      </c>
      <c r="G40" s="140">
        <f t="shared" si="4"/>
        <v>1.55</v>
      </c>
      <c r="H40" s="137">
        <v>300</v>
      </c>
      <c r="I40" s="137">
        <v>5</v>
      </c>
      <c r="J40" s="137">
        <f t="shared" si="5"/>
        <v>130</v>
      </c>
      <c r="K40" s="137">
        <v>150</v>
      </c>
      <c r="L40" s="137">
        <v>2500</v>
      </c>
      <c r="M40" s="137" t="s">
        <v>429</v>
      </c>
      <c r="N40" s="137" t="s">
        <v>430</v>
      </c>
      <c r="O40" s="141">
        <f t="shared" si="6"/>
        <v>2906.25</v>
      </c>
      <c r="P40" s="144" t="s">
        <v>431</v>
      </c>
      <c r="Q40" s="137" t="s">
        <v>436</v>
      </c>
      <c r="R40" s="137" t="s">
        <v>432</v>
      </c>
      <c r="S40" s="142" t="s">
        <v>433</v>
      </c>
      <c r="T40" s="142" t="s">
        <v>437</v>
      </c>
      <c r="U40" s="137" t="s">
        <v>416</v>
      </c>
      <c r="V40" s="145" t="s">
        <v>438</v>
      </c>
    </row>
    <row r="41" spans="1:22" ht="17.399999999999999" x14ac:dyDescent="0.4">
      <c r="A41" s="136">
        <v>1500</v>
      </c>
      <c r="B41" s="137">
        <v>650</v>
      </c>
      <c r="C41" s="138">
        <f t="shared" si="0"/>
        <v>1645</v>
      </c>
      <c r="D41" s="138">
        <f t="shared" si="1"/>
        <v>855</v>
      </c>
      <c r="E41" s="138">
        <f t="shared" si="2"/>
        <v>1755</v>
      </c>
      <c r="F41" s="139">
        <f t="shared" si="3"/>
        <v>506.66</v>
      </c>
      <c r="G41" s="140">
        <f t="shared" si="4"/>
        <v>1.7135416666666667</v>
      </c>
      <c r="H41" s="137">
        <v>240</v>
      </c>
      <c r="I41" s="137">
        <v>4</v>
      </c>
      <c r="J41" s="137">
        <f t="shared" si="5"/>
        <v>104</v>
      </c>
      <c r="K41" s="137">
        <v>120</v>
      </c>
      <c r="L41" s="137">
        <v>2000</v>
      </c>
      <c r="M41" s="137" t="s">
        <v>421</v>
      </c>
      <c r="N41" s="137" t="s">
        <v>422</v>
      </c>
      <c r="O41" s="141">
        <f t="shared" si="6"/>
        <v>2056.25</v>
      </c>
      <c r="P41" s="144" t="s">
        <v>412</v>
      </c>
      <c r="Q41" s="137"/>
      <c r="R41" s="137" t="s">
        <v>424</v>
      </c>
      <c r="S41" s="142" t="s">
        <v>414</v>
      </c>
      <c r="T41" s="142" t="s">
        <v>425</v>
      </c>
      <c r="U41" s="137" t="s">
        <v>416</v>
      </c>
      <c r="V41" s="145" t="s">
        <v>438</v>
      </c>
    </row>
    <row r="42" spans="1:22" ht="17.399999999999999" x14ac:dyDescent="0.4">
      <c r="A42" s="136">
        <v>1600</v>
      </c>
      <c r="B42" s="137">
        <v>690</v>
      </c>
      <c r="C42" s="138">
        <f>ROUNDUP(A42/(B42*0.9)/3^0.5*1000/0.9,0)</f>
        <v>1653</v>
      </c>
      <c r="D42" s="138">
        <f>ROUNDUP(B42*2^0.5*0.93,0)</f>
        <v>908</v>
      </c>
      <c r="E42" s="138">
        <f>ROUNDUP(A42*1000/D42,0)</f>
        <v>1763</v>
      </c>
      <c r="F42" s="139">
        <f>30.8*100*C42/(1000*10)</f>
        <v>509.12400000000002</v>
      </c>
      <c r="G42" s="140">
        <f>C42/(H42*I42)</f>
        <v>1.721875</v>
      </c>
      <c r="H42" s="137">
        <v>240</v>
      </c>
      <c r="I42" s="137">
        <v>4</v>
      </c>
      <c r="J42" s="137">
        <f>L42*0.052</f>
        <v>104</v>
      </c>
      <c r="K42" s="137">
        <v>120</v>
      </c>
      <c r="L42" s="137">
        <v>2000</v>
      </c>
      <c r="M42" s="137" t="s">
        <v>421</v>
      </c>
      <c r="N42" s="137" t="s">
        <v>422</v>
      </c>
      <c r="O42" s="141">
        <f>SUM(C42*1.25)</f>
        <v>2066.25</v>
      </c>
      <c r="P42" s="144" t="s">
        <v>359</v>
      </c>
      <c r="Q42" s="137"/>
      <c r="R42" s="137" t="s">
        <v>424</v>
      </c>
      <c r="S42" s="142" t="s">
        <v>414</v>
      </c>
      <c r="T42" s="142" t="s">
        <v>425</v>
      </c>
      <c r="U42" s="137" t="s">
        <v>408</v>
      </c>
      <c r="V42" s="145" t="s">
        <v>491</v>
      </c>
    </row>
    <row r="43" spans="1:22" ht="17.399999999999999" x14ac:dyDescent="0.4">
      <c r="A43" s="136">
        <v>2000</v>
      </c>
      <c r="B43" s="137">
        <v>460</v>
      </c>
      <c r="C43" s="138">
        <f t="shared" si="0"/>
        <v>3100</v>
      </c>
      <c r="D43" s="138">
        <f t="shared" si="1"/>
        <v>606</v>
      </c>
      <c r="E43" s="138">
        <f t="shared" si="2"/>
        <v>3301</v>
      </c>
      <c r="F43" s="139">
        <f t="shared" si="3"/>
        <v>954.8</v>
      </c>
      <c r="G43" s="140">
        <f t="shared" si="4"/>
        <v>1.2916666666666667</v>
      </c>
      <c r="H43" s="137">
        <v>400</v>
      </c>
      <c r="I43" s="137">
        <v>6</v>
      </c>
      <c r="J43" s="137">
        <f t="shared" si="5"/>
        <v>166.4</v>
      </c>
      <c r="K43" s="137">
        <v>185</v>
      </c>
      <c r="L43" s="137">
        <v>3200</v>
      </c>
      <c r="M43" s="137" t="s">
        <v>439</v>
      </c>
      <c r="N43" s="137" t="s">
        <v>440</v>
      </c>
      <c r="O43" s="141">
        <f t="shared" si="6"/>
        <v>3875</v>
      </c>
      <c r="P43" s="144" t="s">
        <v>412</v>
      </c>
      <c r="Q43" s="137" t="s">
        <v>441</v>
      </c>
      <c r="R43" s="137" t="s">
        <v>442</v>
      </c>
      <c r="S43" s="142" t="s">
        <v>414</v>
      </c>
      <c r="T43" s="142" t="s">
        <v>443</v>
      </c>
      <c r="U43" s="137" t="s">
        <v>416</v>
      </c>
      <c r="V43" s="145" t="s">
        <v>444</v>
      </c>
    </row>
    <row r="44" spans="1:22" ht="17.399999999999999" x14ac:dyDescent="0.4">
      <c r="A44" s="136">
        <v>2000</v>
      </c>
      <c r="B44" s="137">
        <v>650</v>
      </c>
      <c r="C44" s="138">
        <f t="shared" si="0"/>
        <v>2194</v>
      </c>
      <c r="D44" s="138">
        <f t="shared" si="1"/>
        <v>855</v>
      </c>
      <c r="E44" s="138">
        <f t="shared" si="2"/>
        <v>2340</v>
      </c>
      <c r="F44" s="139">
        <f t="shared" si="3"/>
        <v>675.75199999999995</v>
      </c>
      <c r="G44" s="140">
        <f t="shared" si="4"/>
        <v>1.4626666666666666</v>
      </c>
      <c r="H44" s="137">
        <v>300</v>
      </c>
      <c r="I44" s="137">
        <v>5</v>
      </c>
      <c r="J44" s="137">
        <f t="shared" si="5"/>
        <v>130</v>
      </c>
      <c r="K44" s="137">
        <v>150</v>
      </c>
      <c r="L44" s="137">
        <v>2500</v>
      </c>
      <c r="M44" s="137" t="s">
        <v>426</v>
      </c>
      <c r="N44" s="137" t="s">
        <v>427</v>
      </c>
      <c r="O44" s="141">
        <f t="shared" si="6"/>
        <v>2742.5</v>
      </c>
      <c r="P44" s="144" t="s">
        <v>412</v>
      </c>
      <c r="Q44" s="137" t="s">
        <v>445</v>
      </c>
      <c r="R44" s="137" t="s">
        <v>424</v>
      </c>
      <c r="S44" s="142" t="s">
        <v>414</v>
      </c>
      <c r="T44" s="142" t="s">
        <v>437</v>
      </c>
      <c r="U44" s="137" t="s">
        <v>416</v>
      </c>
      <c r="V44" s="145" t="s">
        <v>438</v>
      </c>
    </row>
    <row r="45" spans="1:22" ht="17.399999999999999" x14ac:dyDescent="0.4">
      <c r="A45" s="136">
        <v>2500</v>
      </c>
      <c r="B45" s="137">
        <v>460</v>
      </c>
      <c r="C45" s="138">
        <f t="shared" si="0"/>
        <v>3874</v>
      </c>
      <c r="D45" s="138">
        <f t="shared" si="1"/>
        <v>606</v>
      </c>
      <c r="E45" s="138">
        <f t="shared" si="2"/>
        <v>4126</v>
      </c>
      <c r="F45" s="139">
        <f t="shared" si="3"/>
        <v>1193.192</v>
      </c>
      <c r="G45" s="140">
        <f t="shared" si="4"/>
        <v>1.6141666666666667</v>
      </c>
      <c r="H45" s="137">
        <v>400</v>
      </c>
      <c r="I45" s="137">
        <v>6</v>
      </c>
      <c r="J45" s="137">
        <f t="shared" si="5"/>
        <v>208</v>
      </c>
      <c r="K45" s="137">
        <v>240</v>
      </c>
      <c r="L45" s="137">
        <v>4000</v>
      </c>
      <c r="M45" s="137" t="s">
        <v>446</v>
      </c>
      <c r="N45" s="137" t="s">
        <v>440</v>
      </c>
      <c r="O45" s="141">
        <f t="shared" si="6"/>
        <v>4842.5</v>
      </c>
      <c r="P45" s="144" t="s">
        <v>412</v>
      </c>
      <c r="Q45" s="137" t="s">
        <v>441</v>
      </c>
      <c r="R45" s="137" t="s">
        <v>442</v>
      </c>
      <c r="S45" s="142" t="s">
        <v>414</v>
      </c>
      <c r="T45" s="142" t="s">
        <v>447</v>
      </c>
      <c r="U45" s="137" t="s">
        <v>416</v>
      </c>
      <c r="V45" s="145" t="s">
        <v>444</v>
      </c>
    </row>
    <row r="46" spans="1:22" ht="17.399999999999999" x14ac:dyDescent="0.4">
      <c r="A46" s="146">
        <v>2500</v>
      </c>
      <c r="B46" s="137">
        <v>650</v>
      </c>
      <c r="C46" s="138">
        <f t="shared" si="0"/>
        <v>2742</v>
      </c>
      <c r="D46" s="138">
        <f t="shared" si="1"/>
        <v>855</v>
      </c>
      <c r="E46" s="138">
        <f t="shared" si="2"/>
        <v>2924</v>
      </c>
      <c r="F46" s="147"/>
      <c r="G46" s="140">
        <f t="shared" si="4"/>
        <v>1.1425000000000001</v>
      </c>
      <c r="H46" s="137">
        <v>400</v>
      </c>
      <c r="I46" s="137">
        <v>6</v>
      </c>
      <c r="J46" s="137">
        <f t="shared" si="5"/>
        <v>166.4</v>
      </c>
      <c r="K46" s="137">
        <v>185</v>
      </c>
      <c r="L46" s="137">
        <v>3200</v>
      </c>
      <c r="M46" s="137" t="s">
        <v>439</v>
      </c>
      <c r="N46" s="137" t="s">
        <v>440</v>
      </c>
      <c r="O46" s="141">
        <f t="shared" si="6"/>
        <v>3427.5</v>
      </c>
      <c r="P46" s="144" t="s">
        <v>412</v>
      </c>
      <c r="Q46" s="137" t="s">
        <v>441</v>
      </c>
      <c r="R46" s="137" t="s">
        <v>442</v>
      </c>
      <c r="S46" s="142" t="s">
        <v>414</v>
      </c>
      <c r="T46" s="142" t="s">
        <v>443</v>
      </c>
      <c r="U46" s="137" t="s">
        <v>416</v>
      </c>
      <c r="V46" s="145" t="s">
        <v>444</v>
      </c>
    </row>
    <row r="47" spans="1:22" ht="17.399999999999999" x14ac:dyDescent="0.4">
      <c r="A47" s="146">
        <v>3000</v>
      </c>
      <c r="B47" s="148">
        <v>460</v>
      </c>
      <c r="C47" s="149">
        <f>ROUNDUP(A47/(B47*0.9)/3^0.5*1000/0.9,0)</f>
        <v>4649</v>
      </c>
      <c r="D47" s="149">
        <f t="shared" si="1"/>
        <v>606</v>
      </c>
      <c r="E47" s="149">
        <f t="shared" si="2"/>
        <v>4951</v>
      </c>
      <c r="F47" s="147">
        <f>30.8*100*C47/(1000*10)</f>
        <v>1431.8920000000001</v>
      </c>
      <c r="G47" s="150">
        <f t="shared" si="4"/>
        <v>1.5496666666666667</v>
      </c>
      <c r="H47" s="148">
        <v>500</v>
      </c>
      <c r="I47" s="148">
        <v>6</v>
      </c>
      <c r="J47" s="148">
        <f t="shared" si="5"/>
        <v>208</v>
      </c>
      <c r="K47" s="148">
        <v>240</v>
      </c>
      <c r="L47" s="148">
        <v>4000</v>
      </c>
      <c r="M47" s="148" t="s">
        <v>446</v>
      </c>
      <c r="N47" s="148" t="s">
        <v>440</v>
      </c>
      <c r="O47" s="151">
        <f t="shared" si="6"/>
        <v>5811.25</v>
      </c>
      <c r="P47" s="152" t="s">
        <v>412</v>
      </c>
      <c r="Q47" s="148" t="s">
        <v>441</v>
      </c>
      <c r="R47" s="148" t="s">
        <v>442</v>
      </c>
      <c r="S47" s="142" t="s">
        <v>414</v>
      </c>
      <c r="T47" s="153" t="s">
        <v>448</v>
      </c>
      <c r="U47" s="148" t="s">
        <v>435</v>
      </c>
      <c r="V47" s="154" t="s">
        <v>449</v>
      </c>
    </row>
    <row r="48" spans="1:22" ht="18" thickBot="1" x14ac:dyDescent="0.45">
      <c r="A48" s="155">
        <v>3000</v>
      </c>
      <c r="B48" s="156">
        <v>650</v>
      </c>
      <c r="C48" s="157">
        <f t="shared" si="0"/>
        <v>3290</v>
      </c>
      <c r="D48" s="157">
        <f t="shared" si="1"/>
        <v>855</v>
      </c>
      <c r="E48" s="157">
        <f t="shared" si="2"/>
        <v>3509</v>
      </c>
      <c r="F48" s="158">
        <f t="shared" si="3"/>
        <v>1013.32</v>
      </c>
      <c r="G48" s="159">
        <f t="shared" si="4"/>
        <v>1.3708333333333333</v>
      </c>
      <c r="H48" s="156">
        <v>400</v>
      </c>
      <c r="I48" s="156">
        <v>6</v>
      </c>
      <c r="J48" s="156">
        <f t="shared" si="5"/>
        <v>166.4</v>
      </c>
      <c r="K48" s="156">
        <v>185</v>
      </c>
      <c r="L48" s="156">
        <v>3200</v>
      </c>
      <c r="M48" s="156" t="s">
        <v>450</v>
      </c>
      <c r="N48" s="156" t="s">
        <v>451</v>
      </c>
      <c r="O48" s="160">
        <f t="shared" si="6"/>
        <v>4112.5</v>
      </c>
      <c r="P48" s="161" t="s">
        <v>452</v>
      </c>
      <c r="Q48" s="156" t="s">
        <v>441</v>
      </c>
      <c r="R48" s="156" t="s">
        <v>453</v>
      </c>
      <c r="S48" s="162" t="s">
        <v>454</v>
      </c>
      <c r="T48" s="156" t="s">
        <v>455</v>
      </c>
      <c r="U48" s="156" t="s">
        <v>408</v>
      </c>
      <c r="V48" s="163" t="s">
        <v>449</v>
      </c>
    </row>
  </sheetData>
  <mergeCells count="41"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U15:V15"/>
    <mergeCell ref="M2:M3"/>
    <mergeCell ref="N2:N3"/>
    <mergeCell ref="O2:O3"/>
    <mergeCell ref="P2:P3"/>
    <mergeCell ref="Q2:R2"/>
    <mergeCell ref="S2:S3"/>
    <mergeCell ref="T2:T3"/>
    <mergeCell ref="U2:U3"/>
    <mergeCell ref="V2:V3"/>
    <mergeCell ref="U11:V11"/>
    <mergeCell ref="U14:V14"/>
    <mergeCell ref="U27:V27"/>
    <mergeCell ref="U16:V16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26:V26"/>
    <mergeCell ref="U28:V28"/>
    <mergeCell ref="U29:V29"/>
    <mergeCell ref="U30:V30"/>
    <mergeCell ref="U31:V31"/>
    <mergeCell ref="U32:V32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T18"/>
  <sheetViews>
    <sheetView workbookViewId="0">
      <selection activeCell="D11" sqref="D11"/>
    </sheetView>
  </sheetViews>
  <sheetFormatPr defaultRowHeight="14.4" x14ac:dyDescent="0.25"/>
  <cols>
    <col min="2" max="2" width="13" customWidth="1"/>
    <col min="6" max="6" width="7.19921875" bestFit="1" customWidth="1"/>
    <col min="13" max="13" width="8.59765625" bestFit="1" customWidth="1"/>
    <col min="14" max="14" width="9.19921875" bestFit="1" customWidth="1"/>
    <col min="15" max="15" width="8.796875" bestFit="1" customWidth="1"/>
    <col min="16" max="16" width="9" bestFit="1" customWidth="1"/>
    <col min="17" max="17" width="9.19921875" bestFit="1" customWidth="1"/>
    <col min="18" max="18" width="11.19921875" bestFit="1" customWidth="1"/>
    <col min="19" max="19" width="8.59765625" bestFit="1" customWidth="1"/>
  </cols>
  <sheetData>
    <row r="1" spans="2:20" ht="15" thickBot="1" x14ac:dyDescent="0.3"/>
    <row r="2" spans="2:20" ht="18" thickBot="1" x14ac:dyDescent="0.3">
      <c r="B2" s="315" t="s">
        <v>189</v>
      </c>
      <c r="C2" s="317" t="s">
        <v>190</v>
      </c>
      <c r="D2" s="317"/>
      <c r="E2" s="317"/>
      <c r="F2" s="317"/>
      <c r="G2" s="317"/>
      <c r="H2" s="317"/>
      <c r="I2" s="317"/>
      <c r="J2" s="317"/>
      <c r="K2" s="317"/>
      <c r="L2" s="318" t="s">
        <v>191</v>
      </c>
      <c r="M2" s="318"/>
      <c r="N2" s="318"/>
      <c r="O2" s="319" t="s">
        <v>192</v>
      </c>
      <c r="P2" s="319"/>
      <c r="Q2" s="319"/>
      <c r="R2" s="320" t="s">
        <v>193</v>
      </c>
      <c r="S2" s="320"/>
      <c r="T2" s="321"/>
    </row>
    <row r="3" spans="2:20" ht="17.399999999999999" x14ac:dyDescent="0.25">
      <c r="B3" s="316"/>
      <c r="C3" s="3" t="s">
        <v>194</v>
      </c>
      <c r="D3" s="4" t="s">
        <v>195</v>
      </c>
      <c r="E3" s="4" t="s">
        <v>196</v>
      </c>
      <c r="F3" s="4" t="s">
        <v>197</v>
      </c>
      <c r="G3" s="4" t="s">
        <v>198</v>
      </c>
      <c r="H3" s="4" t="s">
        <v>199</v>
      </c>
      <c r="I3" s="5" t="s">
        <v>200</v>
      </c>
      <c r="J3" s="5" t="s">
        <v>201</v>
      </c>
      <c r="K3" s="5" t="s">
        <v>202</v>
      </c>
      <c r="L3" s="6" t="s">
        <v>203</v>
      </c>
      <c r="M3" s="7" t="s">
        <v>204</v>
      </c>
      <c r="N3" s="8" t="s">
        <v>205</v>
      </c>
      <c r="O3" s="9" t="s">
        <v>206</v>
      </c>
      <c r="P3" s="10" t="s">
        <v>207</v>
      </c>
      <c r="Q3" s="11" t="s">
        <v>208</v>
      </c>
      <c r="R3" s="12" t="s">
        <v>209</v>
      </c>
      <c r="S3" s="13" t="s">
        <v>210</v>
      </c>
      <c r="T3" s="14" t="s">
        <v>211</v>
      </c>
    </row>
    <row r="4" spans="2:20" x14ac:dyDescent="0.25">
      <c r="B4" s="15">
        <v>42689</v>
      </c>
      <c r="C4" s="16">
        <v>157</v>
      </c>
      <c r="D4" s="17">
        <v>577</v>
      </c>
      <c r="E4" s="18">
        <v>272</v>
      </c>
      <c r="F4" s="18">
        <v>14.44</v>
      </c>
      <c r="G4" s="19">
        <v>3</v>
      </c>
      <c r="H4" s="17">
        <v>384</v>
      </c>
      <c r="I4" s="20">
        <v>30</v>
      </c>
      <c r="J4" s="21">
        <f>COS(PI()*I4/180)</f>
        <v>0.86602540378443871</v>
      </c>
      <c r="K4" s="22">
        <f>(C4*1000)/(H4*J4*D4*0.9)*100</f>
        <v>90.911636119507065</v>
      </c>
      <c r="L4" s="23">
        <v>200</v>
      </c>
      <c r="M4" s="24">
        <f t="shared" ref="M4:M18" si="0">(L4/C4)^0.5*H4</f>
        <v>433.40747365102106</v>
      </c>
      <c r="N4" s="25">
        <f>(L4*1000)/(M4*J4*D4*0.9)*100</f>
        <v>102.60880868759499</v>
      </c>
      <c r="O4" s="26">
        <v>11</v>
      </c>
      <c r="P4" s="27">
        <f t="shared" ref="P4:P18" si="1">G4/O4*H4</f>
        <v>104.72727272727272</v>
      </c>
      <c r="Q4" s="28">
        <f>(C4*1000)/(P4*J4*D4*0.9)*100</f>
        <v>333.3426657715259</v>
      </c>
      <c r="R4" s="29">
        <v>100</v>
      </c>
      <c r="S4" s="30">
        <f t="shared" ref="S4:S18" si="2">(R4/C4)^0.5*P4</f>
        <v>83.581462809700056</v>
      </c>
      <c r="T4" s="31">
        <f>(R4*1000)/(S4*J4*D4*0.9)*100</f>
        <v>266.03640958572907</v>
      </c>
    </row>
    <row r="5" spans="2:20" x14ac:dyDescent="0.25">
      <c r="B5" s="15"/>
      <c r="C5" s="32">
        <v>40</v>
      </c>
      <c r="D5" s="33">
        <v>566.29999999999995</v>
      </c>
      <c r="E5" s="34">
        <v>70.599999999999994</v>
      </c>
      <c r="F5" s="34">
        <v>17.34</v>
      </c>
      <c r="G5" s="35">
        <v>12</v>
      </c>
      <c r="H5" s="33">
        <v>127</v>
      </c>
      <c r="I5" s="36">
        <v>30</v>
      </c>
      <c r="J5" s="37">
        <f t="shared" ref="J5:J18" si="3">COS(PI()*I5/180)</f>
        <v>0.86602540378443871</v>
      </c>
      <c r="K5" s="38">
        <f t="shared" ref="K5:K18" si="4">(C5*1000)/(H5*J5*D5*0.9)*100</f>
        <v>71.356997456853833</v>
      </c>
      <c r="L5" s="39">
        <v>78</v>
      </c>
      <c r="M5" s="40">
        <f t="shared" si="0"/>
        <v>177.34584855586556</v>
      </c>
      <c r="N5" s="41">
        <f t="shared" ref="N5:N18" si="5">(L5*1000)/(M5*J5*D5*0.9)*100</f>
        <v>99.644624129011689</v>
      </c>
      <c r="O5" s="42">
        <v>10</v>
      </c>
      <c r="P5" s="43">
        <f t="shared" si="1"/>
        <v>152.4</v>
      </c>
      <c r="Q5" s="44">
        <f t="shared" ref="Q5:Q18" si="6">(C5*1000)/(P5*J5*D5*0.9)*100</f>
        <v>59.464164547378182</v>
      </c>
      <c r="R5" s="45">
        <v>100</v>
      </c>
      <c r="S5" s="46">
        <f t="shared" si="2"/>
        <v>240.96555770483053</v>
      </c>
      <c r="T5" s="47">
        <f t="shared" ref="T5:T18" si="7">(R5*1000)/(S5*J5*D5*0.9)*100</f>
        <v>94.021099564375305</v>
      </c>
    </row>
    <row r="6" spans="2:20" x14ac:dyDescent="0.25">
      <c r="B6" s="15"/>
      <c r="C6" s="32">
        <v>20</v>
      </c>
      <c r="D6" s="33">
        <v>565.1</v>
      </c>
      <c r="E6" s="34">
        <v>35.5</v>
      </c>
      <c r="F6" s="34">
        <v>17.55</v>
      </c>
      <c r="G6" s="35">
        <v>12</v>
      </c>
      <c r="H6" s="33">
        <v>91</v>
      </c>
      <c r="I6" s="36">
        <v>30</v>
      </c>
      <c r="J6" s="37">
        <f t="shared" si="3"/>
        <v>0.86602540378443871</v>
      </c>
      <c r="K6" s="38">
        <f t="shared" si="4"/>
        <v>49.898806131722992</v>
      </c>
      <c r="L6" s="39">
        <v>100</v>
      </c>
      <c r="M6" s="40">
        <f t="shared" si="0"/>
        <v>203.48218595248088</v>
      </c>
      <c r="N6" s="41">
        <f t="shared" si="5"/>
        <v>111.57712250661591</v>
      </c>
      <c r="O6" s="42">
        <v>11</v>
      </c>
      <c r="P6" s="43">
        <f t="shared" si="1"/>
        <v>99.272727272727266</v>
      </c>
      <c r="Q6" s="44">
        <f t="shared" si="6"/>
        <v>45.740572287412753</v>
      </c>
      <c r="R6" s="45">
        <v>100</v>
      </c>
      <c r="S6" s="46">
        <f t="shared" si="2"/>
        <v>221.98056649361547</v>
      </c>
      <c r="T6" s="47">
        <f t="shared" si="7"/>
        <v>102.27902896439795</v>
      </c>
    </row>
    <row r="7" spans="2:20" x14ac:dyDescent="0.25">
      <c r="B7" s="15"/>
      <c r="C7" s="32">
        <v>20</v>
      </c>
      <c r="D7" s="33">
        <v>565.1</v>
      </c>
      <c r="E7" s="34">
        <v>35.5</v>
      </c>
      <c r="F7" s="34">
        <v>17.55</v>
      </c>
      <c r="G7" s="35">
        <v>12</v>
      </c>
      <c r="H7" s="33">
        <v>91</v>
      </c>
      <c r="I7" s="36">
        <v>30</v>
      </c>
      <c r="J7" s="37">
        <f t="shared" si="3"/>
        <v>0.86602540378443871</v>
      </c>
      <c r="K7" s="38">
        <f t="shared" si="4"/>
        <v>49.898806131722992</v>
      </c>
      <c r="L7" s="39">
        <v>80</v>
      </c>
      <c r="M7" s="40">
        <f t="shared" si="0"/>
        <v>182</v>
      </c>
      <c r="N7" s="41">
        <f t="shared" si="5"/>
        <v>99.797612263445984</v>
      </c>
      <c r="O7" s="42">
        <v>10</v>
      </c>
      <c r="P7" s="43">
        <f t="shared" si="1"/>
        <v>109.2</v>
      </c>
      <c r="Q7" s="44">
        <f t="shared" si="6"/>
        <v>41.582338443102493</v>
      </c>
      <c r="R7" s="45">
        <v>100</v>
      </c>
      <c r="S7" s="46">
        <f t="shared" si="2"/>
        <v>244.17862314297705</v>
      </c>
      <c r="T7" s="47">
        <f t="shared" si="7"/>
        <v>92.980935422179954</v>
      </c>
    </row>
    <row r="8" spans="2:20" x14ac:dyDescent="0.25">
      <c r="B8" s="48"/>
      <c r="C8" s="32"/>
      <c r="D8" s="33"/>
      <c r="E8" s="34"/>
      <c r="F8" s="34"/>
      <c r="G8" s="35"/>
      <c r="H8" s="33"/>
      <c r="I8" s="36">
        <v>30</v>
      </c>
      <c r="J8" s="37">
        <f t="shared" si="3"/>
        <v>0.86602540378443871</v>
      </c>
      <c r="K8" s="38" t="e">
        <f t="shared" si="4"/>
        <v>#DIV/0!</v>
      </c>
      <c r="L8" s="39"/>
      <c r="M8" s="40" t="e">
        <f t="shared" si="0"/>
        <v>#DIV/0!</v>
      </c>
      <c r="N8" s="41" t="e">
        <f t="shared" si="5"/>
        <v>#DIV/0!</v>
      </c>
      <c r="O8" s="42"/>
      <c r="P8" s="43" t="e">
        <f t="shared" si="1"/>
        <v>#DIV/0!</v>
      </c>
      <c r="Q8" s="44" t="e">
        <f t="shared" si="6"/>
        <v>#DIV/0!</v>
      </c>
      <c r="R8" s="45"/>
      <c r="S8" s="46" t="e">
        <f t="shared" si="2"/>
        <v>#DIV/0!</v>
      </c>
      <c r="T8" s="47" t="e">
        <f t="shared" si="7"/>
        <v>#DIV/0!</v>
      </c>
    </row>
    <row r="9" spans="2:20" x14ac:dyDescent="0.25">
      <c r="B9" s="48"/>
      <c r="C9" s="32"/>
      <c r="D9" s="33"/>
      <c r="E9" s="34"/>
      <c r="F9" s="34"/>
      <c r="G9" s="35"/>
      <c r="H9" s="33"/>
      <c r="I9" s="36">
        <v>30</v>
      </c>
      <c r="J9" s="37">
        <f t="shared" si="3"/>
        <v>0.86602540378443871</v>
      </c>
      <c r="K9" s="38" t="e">
        <f t="shared" si="4"/>
        <v>#DIV/0!</v>
      </c>
      <c r="L9" s="39"/>
      <c r="M9" s="40" t="e">
        <f t="shared" si="0"/>
        <v>#DIV/0!</v>
      </c>
      <c r="N9" s="41" t="e">
        <f t="shared" si="5"/>
        <v>#DIV/0!</v>
      </c>
      <c r="O9" s="42"/>
      <c r="P9" s="43" t="e">
        <f t="shared" si="1"/>
        <v>#DIV/0!</v>
      </c>
      <c r="Q9" s="44" t="e">
        <f t="shared" si="6"/>
        <v>#DIV/0!</v>
      </c>
      <c r="R9" s="45"/>
      <c r="S9" s="46" t="e">
        <f t="shared" si="2"/>
        <v>#DIV/0!</v>
      </c>
      <c r="T9" s="47" t="e">
        <f t="shared" si="7"/>
        <v>#DIV/0!</v>
      </c>
    </row>
    <row r="10" spans="2:20" x14ac:dyDescent="0.25">
      <c r="B10" s="48"/>
      <c r="C10" s="32">
        <v>14.5</v>
      </c>
      <c r="D10" s="33">
        <v>600</v>
      </c>
      <c r="E10" s="34"/>
      <c r="F10" s="34">
        <v>125.5</v>
      </c>
      <c r="G10" s="35">
        <v>3</v>
      </c>
      <c r="H10" s="33">
        <v>79</v>
      </c>
      <c r="I10" s="36">
        <v>30</v>
      </c>
      <c r="J10" s="37">
        <f t="shared" si="3"/>
        <v>0.86602540378443871</v>
      </c>
      <c r="K10" s="38">
        <f t="shared" si="4"/>
        <v>39.247908594700284</v>
      </c>
      <c r="L10" s="39"/>
      <c r="M10" s="40">
        <f t="shared" si="0"/>
        <v>0</v>
      </c>
      <c r="N10" s="41" t="e">
        <f t="shared" si="5"/>
        <v>#DIV/0!</v>
      </c>
      <c r="O10" s="42"/>
      <c r="P10" s="43" t="e">
        <f t="shared" si="1"/>
        <v>#DIV/0!</v>
      </c>
      <c r="Q10" s="44" t="e">
        <f t="shared" si="6"/>
        <v>#DIV/0!</v>
      </c>
      <c r="R10" s="45"/>
      <c r="S10" s="46" t="e">
        <f t="shared" si="2"/>
        <v>#DIV/0!</v>
      </c>
      <c r="T10" s="47" t="e">
        <f t="shared" si="7"/>
        <v>#DIV/0!</v>
      </c>
    </row>
    <row r="11" spans="2:20" x14ac:dyDescent="0.25">
      <c r="B11" s="48"/>
      <c r="C11" s="32"/>
      <c r="D11" s="33"/>
      <c r="E11" s="34"/>
      <c r="F11" s="34"/>
      <c r="G11" s="35"/>
      <c r="H11" s="33"/>
      <c r="I11" s="36">
        <v>30</v>
      </c>
      <c r="J11" s="37">
        <f t="shared" si="3"/>
        <v>0.86602540378443871</v>
      </c>
      <c r="K11" s="38" t="e">
        <f t="shared" si="4"/>
        <v>#DIV/0!</v>
      </c>
      <c r="L11" s="39"/>
      <c r="M11" s="40" t="e">
        <f t="shared" si="0"/>
        <v>#DIV/0!</v>
      </c>
      <c r="N11" s="41" t="e">
        <f t="shared" si="5"/>
        <v>#DIV/0!</v>
      </c>
      <c r="O11" s="42"/>
      <c r="P11" s="43" t="e">
        <f t="shared" si="1"/>
        <v>#DIV/0!</v>
      </c>
      <c r="Q11" s="44" t="e">
        <f t="shared" si="6"/>
        <v>#DIV/0!</v>
      </c>
      <c r="R11" s="45"/>
      <c r="S11" s="46" t="e">
        <f t="shared" si="2"/>
        <v>#DIV/0!</v>
      </c>
      <c r="T11" s="47" t="e">
        <f t="shared" si="7"/>
        <v>#DIV/0!</v>
      </c>
    </row>
    <row r="12" spans="2:20" x14ac:dyDescent="0.25">
      <c r="B12" s="48"/>
      <c r="C12" s="32"/>
      <c r="D12" s="33"/>
      <c r="E12" s="34"/>
      <c r="F12" s="34"/>
      <c r="G12" s="35"/>
      <c r="H12" s="33"/>
      <c r="I12" s="36">
        <v>30</v>
      </c>
      <c r="J12" s="37">
        <f t="shared" si="3"/>
        <v>0.86602540378443871</v>
      </c>
      <c r="K12" s="38" t="e">
        <f t="shared" si="4"/>
        <v>#DIV/0!</v>
      </c>
      <c r="L12" s="39"/>
      <c r="M12" s="40" t="e">
        <f t="shared" si="0"/>
        <v>#DIV/0!</v>
      </c>
      <c r="N12" s="41" t="e">
        <f t="shared" si="5"/>
        <v>#DIV/0!</v>
      </c>
      <c r="O12" s="42"/>
      <c r="P12" s="43" t="e">
        <f t="shared" si="1"/>
        <v>#DIV/0!</v>
      </c>
      <c r="Q12" s="44" t="e">
        <f t="shared" si="6"/>
        <v>#DIV/0!</v>
      </c>
      <c r="R12" s="45"/>
      <c r="S12" s="46" t="e">
        <f t="shared" si="2"/>
        <v>#DIV/0!</v>
      </c>
      <c r="T12" s="47" t="e">
        <f t="shared" si="7"/>
        <v>#DIV/0!</v>
      </c>
    </row>
    <row r="13" spans="2:20" x14ac:dyDescent="0.25">
      <c r="B13" s="48"/>
      <c r="C13" s="32"/>
      <c r="D13" s="33"/>
      <c r="E13" s="34"/>
      <c r="F13" s="34"/>
      <c r="G13" s="35"/>
      <c r="H13" s="33"/>
      <c r="I13" s="36">
        <v>30</v>
      </c>
      <c r="J13" s="37">
        <f t="shared" si="3"/>
        <v>0.86602540378443871</v>
      </c>
      <c r="K13" s="38" t="e">
        <f t="shared" si="4"/>
        <v>#DIV/0!</v>
      </c>
      <c r="L13" s="39"/>
      <c r="M13" s="40" t="e">
        <f t="shared" si="0"/>
        <v>#DIV/0!</v>
      </c>
      <c r="N13" s="41" t="e">
        <f t="shared" si="5"/>
        <v>#DIV/0!</v>
      </c>
      <c r="O13" s="42"/>
      <c r="P13" s="43" t="e">
        <f t="shared" si="1"/>
        <v>#DIV/0!</v>
      </c>
      <c r="Q13" s="44" t="e">
        <f t="shared" si="6"/>
        <v>#DIV/0!</v>
      </c>
      <c r="R13" s="45"/>
      <c r="S13" s="46" t="e">
        <f t="shared" si="2"/>
        <v>#DIV/0!</v>
      </c>
      <c r="T13" s="47" t="e">
        <f t="shared" si="7"/>
        <v>#DIV/0!</v>
      </c>
    </row>
    <row r="14" spans="2:20" x14ac:dyDescent="0.25">
      <c r="B14" s="48"/>
      <c r="C14" s="32"/>
      <c r="D14" s="33"/>
      <c r="E14" s="34"/>
      <c r="F14" s="34"/>
      <c r="G14" s="35"/>
      <c r="H14" s="33"/>
      <c r="I14" s="36">
        <v>30</v>
      </c>
      <c r="J14" s="37">
        <f t="shared" si="3"/>
        <v>0.86602540378443871</v>
      </c>
      <c r="K14" s="38" t="e">
        <f t="shared" si="4"/>
        <v>#DIV/0!</v>
      </c>
      <c r="L14" s="39"/>
      <c r="M14" s="40" t="e">
        <f t="shared" si="0"/>
        <v>#DIV/0!</v>
      </c>
      <c r="N14" s="41" t="e">
        <f t="shared" si="5"/>
        <v>#DIV/0!</v>
      </c>
      <c r="O14" s="42"/>
      <c r="P14" s="43" t="e">
        <f t="shared" si="1"/>
        <v>#DIV/0!</v>
      </c>
      <c r="Q14" s="44" t="e">
        <f t="shared" si="6"/>
        <v>#DIV/0!</v>
      </c>
      <c r="R14" s="45"/>
      <c r="S14" s="46" t="e">
        <f t="shared" si="2"/>
        <v>#DIV/0!</v>
      </c>
      <c r="T14" s="47" t="e">
        <f t="shared" si="7"/>
        <v>#DIV/0!</v>
      </c>
    </row>
    <row r="15" spans="2:20" x14ac:dyDescent="0.25">
      <c r="B15" s="48"/>
      <c r="C15" s="32"/>
      <c r="D15" s="33"/>
      <c r="E15" s="34"/>
      <c r="F15" s="34"/>
      <c r="G15" s="35"/>
      <c r="H15" s="33"/>
      <c r="I15" s="36">
        <v>30</v>
      </c>
      <c r="J15" s="37">
        <f t="shared" si="3"/>
        <v>0.86602540378443871</v>
      </c>
      <c r="K15" s="38" t="e">
        <f t="shared" si="4"/>
        <v>#DIV/0!</v>
      </c>
      <c r="L15" s="39"/>
      <c r="M15" s="40" t="e">
        <f t="shared" si="0"/>
        <v>#DIV/0!</v>
      </c>
      <c r="N15" s="41" t="e">
        <f t="shared" si="5"/>
        <v>#DIV/0!</v>
      </c>
      <c r="O15" s="42"/>
      <c r="P15" s="43" t="e">
        <f t="shared" si="1"/>
        <v>#DIV/0!</v>
      </c>
      <c r="Q15" s="44" t="e">
        <f t="shared" si="6"/>
        <v>#DIV/0!</v>
      </c>
      <c r="R15" s="45"/>
      <c r="S15" s="46" t="e">
        <f t="shared" si="2"/>
        <v>#DIV/0!</v>
      </c>
      <c r="T15" s="47" t="e">
        <f t="shared" si="7"/>
        <v>#DIV/0!</v>
      </c>
    </row>
    <row r="16" spans="2:20" x14ac:dyDescent="0.25">
      <c r="B16" s="48"/>
      <c r="C16" s="32"/>
      <c r="D16" s="33"/>
      <c r="E16" s="34"/>
      <c r="F16" s="34"/>
      <c r="G16" s="35"/>
      <c r="H16" s="33"/>
      <c r="I16" s="36">
        <v>30</v>
      </c>
      <c r="J16" s="37">
        <f t="shared" si="3"/>
        <v>0.86602540378443871</v>
      </c>
      <c r="K16" s="38" t="e">
        <f t="shared" si="4"/>
        <v>#DIV/0!</v>
      </c>
      <c r="L16" s="39"/>
      <c r="M16" s="40" t="e">
        <f t="shared" si="0"/>
        <v>#DIV/0!</v>
      </c>
      <c r="N16" s="41" t="e">
        <f t="shared" si="5"/>
        <v>#DIV/0!</v>
      </c>
      <c r="O16" s="42"/>
      <c r="P16" s="43" t="e">
        <f t="shared" si="1"/>
        <v>#DIV/0!</v>
      </c>
      <c r="Q16" s="44" t="e">
        <f t="shared" si="6"/>
        <v>#DIV/0!</v>
      </c>
      <c r="R16" s="45"/>
      <c r="S16" s="46" t="e">
        <f t="shared" si="2"/>
        <v>#DIV/0!</v>
      </c>
      <c r="T16" s="47" t="e">
        <f t="shared" si="7"/>
        <v>#DIV/0!</v>
      </c>
    </row>
    <row r="17" spans="2:20" x14ac:dyDescent="0.25">
      <c r="B17" s="48"/>
      <c r="C17" s="32"/>
      <c r="D17" s="33"/>
      <c r="E17" s="34"/>
      <c r="F17" s="34"/>
      <c r="G17" s="35"/>
      <c r="H17" s="33"/>
      <c r="I17" s="36">
        <v>30</v>
      </c>
      <c r="J17" s="37">
        <f t="shared" si="3"/>
        <v>0.86602540378443871</v>
      </c>
      <c r="K17" s="38" t="e">
        <f t="shared" si="4"/>
        <v>#DIV/0!</v>
      </c>
      <c r="L17" s="39"/>
      <c r="M17" s="40" t="e">
        <f t="shared" si="0"/>
        <v>#DIV/0!</v>
      </c>
      <c r="N17" s="41" t="e">
        <f t="shared" si="5"/>
        <v>#DIV/0!</v>
      </c>
      <c r="O17" s="42"/>
      <c r="P17" s="43" t="e">
        <f t="shared" si="1"/>
        <v>#DIV/0!</v>
      </c>
      <c r="Q17" s="44" t="e">
        <f t="shared" si="6"/>
        <v>#DIV/0!</v>
      </c>
      <c r="R17" s="45"/>
      <c r="S17" s="46" t="e">
        <f t="shared" si="2"/>
        <v>#DIV/0!</v>
      </c>
      <c r="T17" s="47" t="e">
        <f t="shared" si="7"/>
        <v>#DIV/0!</v>
      </c>
    </row>
    <row r="18" spans="2:20" ht="15" thickBot="1" x14ac:dyDescent="0.3">
      <c r="B18" s="49"/>
      <c r="C18" s="50"/>
      <c r="D18" s="51"/>
      <c r="E18" s="52"/>
      <c r="F18" s="52"/>
      <c r="G18" s="53"/>
      <c r="H18" s="51"/>
      <c r="I18" s="54">
        <v>30</v>
      </c>
      <c r="J18" s="55">
        <f t="shared" si="3"/>
        <v>0.86602540378443871</v>
      </c>
      <c r="K18" s="56" t="e">
        <f t="shared" si="4"/>
        <v>#DIV/0!</v>
      </c>
      <c r="L18" s="57"/>
      <c r="M18" s="58" t="e">
        <f t="shared" si="0"/>
        <v>#DIV/0!</v>
      </c>
      <c r="N18" s="59" t="e">
        <f t="shared" si="5"/>
        <v>#DIV/0!</v>
      </c>
      <c r="O18" s="60"/>
      <c r="P18" s="61" t="e">
        <f t="shared" si="1"/>
        <v>#DIV/0!</v>
      </c>
      <c r="Q18" s="62" t="e">
        <f t="shared" si="6"/>
        <v>#DIV/0!</v>
      </c>
      <c r="R18" s="63"/>
      <c r="S18" s="64" t="e">
        <f t="shared" si="2"/>
        <v>#DIV/0!</v>
      </c>
      <c r="T18" s="65" t="e">
        <f t="shared" si="7"/>
        <v>#DIV/0!</v>
      </c>
    </row>
  </sheetData>
  <mergeCells count="5">
    <mergeCell ref="B2:B3"/>
    <mergeCell ref="C2:K2"/>
    <mergeCell ref="L2:N2"/>
    <mergeCell ref="O2:Q2"/>
    <mergeCell ref="R2:T2"/>
  </mergeCells>
  <phoneticPr fontId="3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7:L21"/>
  <sheetViews>
    <sheetView workbookViewId="0">
      <selection activeCell="J13" sqref="J13:N26"/>
    </sheetView>
  </sheetViews>
  <sheetFormatPr defaultRowHeight="14.4" x14ac:dyDescent="0.25"/>
  <sheetData>
    <row r="17" spans="10:12" x14ac:dyDescent="0.25">
      <c r="J17" s="183"/>
      <c r="L17" s="183"/>
    </row>
    <row r="18" spans="10:12" x14ac:dyDescent="0.25">
      <c r="J18" s="183"/>
      <c r="L18" s="183"/>
    </row>
    <row r="19" spans="10:12" x14ac:dyDescent="0.25">
      <c r="J19" s="183"/>
      <c r="L19" s="183"/>
    </row>
    <row r="20" spans="10:12" x14ac:dyDescent="0.25">
      <c r="J20" s="183"/>
      <c r="L20" s="183"/>
    </row>
    <row r="21" spans="10:12" x14ac:dyDescent="0.25">
      <c r="L21" s="183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직렬공진_PAM,PWM_200kHz</vt:lpstr>
      <vt:lpstr>설계 결과표</vt:lpstr>
      <vt:lpstr>SW 요청자료</vt:lpstr>
      <vt:lpstr>입력정류부</vt:lpstr>
      <vt:lpstr>LCD 데이터를 이용한 듀티계산</vt:lpstr>
      <vt:lpstr>Sheet1</vt:lpstr>
    </vt:vector>
  </TitlesOfParts>
  <Company>PSTEK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shh</dc:creator>
  <cp:lastModifiedBy>Windows User</cp:lastModifiedBy>
  <cp:lastPrinted>2006-06-20T05:42:32Z</cp:lastPrinted>
  <dcterms:created xsi:type="dcterms:W3CDTF">2002-10-01T05:20:05Z</dcterms:created>
  <dcterms:modified xsi:type="dcterms:W3CDTF">2021-04-01T01:36:14Z</dcterms:modified>
</cp:coreProperties>
</file>