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9432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F25" i="46" l="1"/>
  <c r="I69" i="37" l="1"/>
  <c r="I34" i="37"/>
  <c r="I20" i="37"/>
  <c r="I14" i="37"/>
  <c r="I18" i="37" s="1"/>
  <c r="I24" i="37" s="1"/>
  <c r="I27" i="37" s="1"/>
  <c r="I10" i="37"/>
  <c r="I39" i="37" s="1"/>
  <c r="I41" i="37" s="1"/>
  <c r="I6" i="37"/>
  <c r="I8" i="37" s="1"/>
  <c r="H69" i="37"/>
  <c r="H34" i="37"/>
  <c r="H20" i="37"/>
  <c r="H14" i="37"/>
  <c r="H18" i="37" s="1"/>
  <c r="H10" i="37"/>
  <c r="H11" i="37" s="1"/>
  <c r="H6" i="37"/>
  <c r="H8" i="37" s="1"/>
  <c r="G69" i="37"/>
  <c r="G34" i="37"/>
  <c r="G20" i="37"/>
  <c r="G14" i="37"/>
  <c r="G18" i="37" s="1"/>
  <c r="G24" i="37" s="1"/>
  <c r="G27" i="37" s="1"/>
  <c r="G10" i="37"/>
  <c r="G39" i="37" s="1"/>
  <c r="G41" i="37" s="1"/>
  <c r="G6" i="37"/>
  <c r="G8" i="37" s="1"/>
  <c r="E69" i="37"/>
  <c r="E34" i="37"/>
  <c r="E20" i="37"/>
  <c r="E14" i="37"/>
  <c r="E18" i="37" s="1"/>
  <c r="E24" i="37" s="1"/>
  <c r="E27" i="37" s="1"/>
  <c r="E10" i="37"/>
  <c r="E39" i="37" s="1"/>
  <c r="E41" i="37" s="1"/>
  <c r="E6" i="37"/>
  <c r="E8" i="37" s="1"/>
  <c r="F69" i="37"/>
  <c r="F34" i="37"/>
  <c r="F20" i="37"/>
  <c r="F14" i="37"/>
  <c r="F18" i="37" s="1"/>
  <c r="F24" i="37" s="1"/>
  <c r="F27" i="37" s="1"/>
  <c r="F10" i="37"/>
  <c r="F39" i="37" s="1"/>
  <c r="F41" i="37" s="1"/>
  <c r="F6" i="37"/>
  <c r="F8" i="37" s="1"/>
  <c r="H39" i="37" l="1"/>
  <c r="H41" i="37" s="1"/>
  <c r="I30" i="37"/>
  <c r="I11" i="37"/>
  <c r="I23" i="37"/>
  <c r="H23" i="37"/>
  <c r="H24" i="37"/>
  <c r="H27" i="37" s="1"/>
  <c r="G30" i="37"/>
  <c r="G11" i="37"/>
  <c r="G23" i="37"/>
  <c r="E30" i="37"/>
  <c r="E11" i="37"/>
  <c r="E23" i="37"/>
  <c r="F30" i="37"/>
  <c r="F11" i="37"/>
  <c r="F23" i="37"/>
  <c r="I45" i="37" l="1"/>
  <c r="I32" i="37"/>
  <c r="I31" i="37"/>
  <c r="I56" i="37"/>
  <c r="I25" i="37"/>
  <c r="I26" i="37"/>
  <c r="H30" i="37"/>
  <c r="H56" i="37"/>
  <c r="H25" i="37"/>
  <c r="H26" i="37"/>
  <c r="G56" i="37"/>
  <c r="G25" i="37"/>
  <c r="G26" i="37"/>
  <c r="G45" i="37"/>
  <c r="G32" i="37"/>
  <c r="G31" i="37"/>
  <c r="E45" i="37"/>
  <c r="E32" i="37"/>
  <c r="E31" i="37"/>
  <c r="E56" i="37"/>
  <c r="E25" i="37"/>
  <c r="E26" i="37"/>
  <c r="F45" i="37"/>
  <c r="F32" i="37"/>
  <c r="F31" i="37"/>
  <c r="F56" i="37"/>
  <c r="F25" i="37"/>
  <c r="F26" i="37"/>
  <c r="H28" i="37" l="1"/>
  <c r="H33" i="37" s="1"/>
  <c r="H43" i="37" s="1"/>
  <c r="H68" i="37" s="1"/>
  <c r="I28" i="37"/>
  <c r="I33" i="37" s="1"/>
  <c r="I43" i="37" s="1"/>
  <c r="I68" i="37" s="1"/>
  <c r="I46" i="37"/>
  <c r="I47" i="37" s="1"/>
  <c r="I48" i="37" s="1"/>
  <c r="I52" i="37"/>
  <c r="I36" i="37"/>
  <c r="I35" i="37"/>
  <c r="I62" i="37"/>
  <c r="I55" i="37"/>
  <c r="I61" i="37"/>
  <c r="I64" i="37" s="1"/>
  <c r="H45" i="37"/>
  <c r="H32" i="37"/>
  <c r="H31" i="37"/>
  <c r="H61" i="37"/>
  <c r="H64" i="37" s="1"/>
  <c r="H55" i="37"/>
  <c r="H62" i="37"/>
  <c r="G36" i="37"/>
  <c r="G35" i="37"/>
  <c r="G28" i="37"/>
  <c r="G33" i="37" s="1"/>
  <c r="G43" i="37" s="1"/>
  <c r="G68" i="37" s="1"/>
  <c r="G46" i="37"/>
  <c r="G47" i="37" s="1"/>
  <c r="G48" i="37" s="1"/>
  <c r="G52" i="37"/>
  <c r="G62" i="37"/>
  <c r="G55" i="37"/>
  <c r="G61" i="37"/>
  <c r="G64" i="37" s="1"/>
  <c r="E36" i="37"/>
  <c r="E35" i="37"/>
  <c r="E28" i="37"/>
  <c r="E33" i="37" s="1"/>
  <c r="E43" i="37" s="1"/>
  <c r="E68" i="37" s="1"/>
  <c r="E46" i="37"/>
  <c r="E47" i="37" s="1"/>
  <c r="E48" i="37" s="1"/>
  <c r="E52" i="37"/>
  <c r="E62" i="37"/>
  <c r="E55" i="37"/>
  <c r="E61" i="37"/>
  <c r="E64" i="37" s="1"/>
  <c r="F62" i="37"/>
  <c r="F55" i="37"/>
  <c r="F61" i="37"/>
  <c r="F64" i="37" s="1"/>
  <c r="F36" i="37"/>
  <c r="F35" i="37"/>
  <c r="F28" i="37"/>
  <c r="F33" i="37" s="1"/>
  <c r="F43" i="37" s="1"/>
  <c r="F68" i="37" s="1"/>
  <c r="F46" i="37"/>
  <c r="F47" i="37" s="1"/>
  <c r="F48" i="37" s="1"/>
  <c r="F52" i="37"/>
  <c r="I65" i="37" l="1"/>
  <c r="I57" i="37"/>
  <c r="H52" i="37"/>
  <c r="H46" i="37"/>
  <c r="H47" i="37" s="1"/>
  <c r="H48" i="37" s="1"/>
  <c r="H36" i="37"/>
  <c r="H35" i="37"/>
  <c r="G65" i="37"/>
  <c r="G57" i="37"/>
  <c r="E57" i="37"/>
  <c r="E65" i="37"/>
  <c r="F57" i="37"/>
  <c r="F65" i="37"/>
  <c r="C14" i="37"/>
  <c r="C69" i="37"/>
  <c r="C34" i="37"/>
  <c r="C20" i="37"/>
  <c r="C10" i="37"/>
  <c r="C39" i="37" s="1"/>
  <c r="C41" i="37" s="1"/>
  <c r="C6" i="37"/>
  <c r="C8" i="37" s="1"/>
  <c r="I70" i="37" l="1"/>
  <c r="I73" i="37" s="1"/>
  <c r="I72" i="37"/>
  <c r="I75" i="37" s="1"/>
  <c r="I77" i="37" s="1"/>
  <c r="I71" i="37"/>
  <c r="I74" i="37" s="1"/>
  <c r="H65" i="37"/>
  <c r="H57" i="37"/>
  <c r="G70" i="37"/>
  <c r="G73" i="37" s="1"/>
  <c r="G72" i="37"/>
  <c r="G75" i="37" s="1"/>
  <c r="G77" i="37" s="1"/>
  <c r="G71" i="37"/>
  <c r="G74" i="37" s="1"/>
  <c r="E70" i="37"/>
  <c r="E73" i="37" s="1"/>
  <c r="E72" i="37"/>
  <c r="E75" i="37" s="1"/>
  <c r="E77" i="37" s="1"/>
  <c r="E71" i="37"/>
  <c r="E74" i="37" s="1"/>
  <c r="F70" i="37"/>
  <c r="F73" i="37" s="1"/>
  <c r="F72" i="37"/>
  <c r="F75" i="37" s="1"/>
  <c r="F77" i="37" s="1"/>
  <c r="F71" i="37"/>
  <c r="F74" i="37" s="1"/>
  <c r="C18" i="37"/>
  <c r="C24" i="37" s="1"/>
  <c r="C27" i="37" s="1"/>
  <c r="C30" i="37" s="1"/>
  <c r="C21" i="37"/>
  <c r="C11" i="37"/>
  <c r="R9" i="37"/>
  <c r="R11" i="37"/>
  <c r="I91" i="37" l="1"/>
  <c r="I85" i="37"/>
  <c r="I83" i="37"/>
  <c r="I89" i="37" s="1"/>
  <c r="I94" i="37"/>
  <c r="I79" i="37"/>
  <c r="I82" i="37"/>
  <c r="I88" i="37" s="1"/>
  <c r="I90" i="37"/>
  <c r="I84" i="37"/>
  <c r="H72" i="37"/>
  <c r="H75" i="37" s="1"/>
  <c r="H77" i="37" s="1"/>
  <c r="H70" i="37"/>
  <c r="H73" i="37" s="1"/>
  <c r="H71" i="37"/>
  <c r="H74" i="37" s="1"/>
  <c r="G94" i="37"/>
  <c r="G79" i="37"/>
  <c r="G91" i="37"/>
  <c r="G85" i="37"/>
  <c r="G83" i="37"/>
  <c r="G89" i="37" s="1"/>
  <c r="G82" i="37"/>
  <c r="G88" i="37" s="1"/>
  <c r="G90" i="37"/>
  <c r="G84" i="37"/>
  <c r="E91" i="37"/>
  <c r="E85" i="37"/>
  <c r="E83" i="37"/>
  <c r="E89" i="37" s="1"/>
  <c r="E82" i="37"/>
  <c r="E88" i="37" s="1"/>
  <c r="E90" i="37"/>
  <c r="E84" i="37"/>
  <c r="E94" i="37"/>
  <c r="E79" i="37"/>
  <c r="F94" i="37"/>
  <c r="F79" i="37"/>
  <c r="F91" i="37"/>
  <c r="F85" i="37"/>
  <c r="F83" i="37"/>
  <c r="F89" i="37" s="1"/>
  <c r="F82" i="37"/>
  <c r="F88" i="37" s="1"/>
  <c r="F90" i="37"/>
  <c r="F84" i="37"/>
  <c r="C23" i="37"/>
  <c r="C56" i="37" s="1"/>
  <c r="C62" i="37" s="1"/>
  <c r="C31" i="37"/>
  <c r="C45" i="37"/>
  <c r="H79" i="37" l="1"/>
  <c r="H94" i="37"/>
  <c r="H90" i="37"/>
  <c r="H84" i="37"/>
  <c r="H82" i="37"/>
  <c r="H88" i="37" s="1"/>
  <c r="H91" i="37"/>
  <c r="H83" i="37"/>
  <c r="H89" i="37" s="1"/>
  <c r="H85" i="37"/>
  <c r="C61" i="37"/>
  <c r="C64" i="37" s="1"/>
  <c r="C55" i="37"/>
  <c r="C32" i="37"/>
  <c r="C35" i="37" s="1"/>
  <c r="C25" i="37"/>
  <c r="C26" i="37"/>
  <c r="C46" i="37"/>
  <c r="C47" i="37" s="1"/>
  <c r="C48" i="37" s="1"/>
  <c r="C52" i="37"/>
  <c r="C36" i="37" l="1"/>
  <c r="C28" i="37"/>
  <c r="C33" i="37" s="1"/>
  <c r="C43" i="37" s="1"/>
  <c r="C68" i="37" s="1"/>
  <c r="C65" i="37"/>
  <c r="C57" i="37"/>
  <c r="C70" i="37" l="1"/>
  <c r="C73" i="37" s="1"/>
  <c r="C71" i="37"/>
  <c r="C74" i="37" s="1"/>
  <c r="C72" i="37"/>
  <c r="C75" i="37" s="1"/>
  <c r="C77" i="37" s="1"/>
  <c r="F26" i="46"/>
  <c r="G11" i="46"/>
  <c r="G12" i="46"/>
  <c r="F11" i="46"/>
  <c r="F12" i="46"/>
  <c r="F9" i="46"/>
  <c r="AB43" i="37"/>
  <c r="AB38" i="37"/>
  <c r="AB37" i="37"/>
  <c r="J41" i="45"/>
  <c r="D41" i="45"/>
  <c r="E41" i="45"/>
  <c r="C41" i="45"/>
  <c r="F41" i="45"/>
  <c r="AB32" i="37"/>
  <c r="AB28" i="37"/>
  <c r="AB24" i="37"/>
  <c r="X74" i="37"/>
  <c r="X76" i="37" s="1"/>
  <c r="X68" i="37"/>
  <c r="X69" i="37" s="1"/>
  <c r="X48" i="37"/>
  <c r="X52" i="37" s="1"/>
  <c r="X55" i="37" s="1"/>
  <c r="X58" i="37" s="1"/>
  <c r="X29" i="37"/>
  <c r="X30" i="37" s="1"/>
  <c r="X8" i="37"/>
  <c r="X12" i="37" s="1"/>
  <c r="X17" i="37" s="1"/>
  <c r="X19" i="37" s="1"/>
  <c r="G41" i="45"/>
  <c r="O41" i="45"/>
  <c r="AB17" i="37"/>
  <c r="AB18" i="37" s="1"/>
  <c r="AB19" i="37" s="1"/>
  <c r="AB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T55" i="37"/>
  <c r="T58" i="37" s="1"/>
  <c r="T60" i="37" s="1"/>
  <c r="P61" i="37"/>
  <c r="P55" i="37"/>
  <c r="T50" i="37"/>
  <c r="P48" i="37"/>
  <c r="P49" i="37" s="1"/>
  <c r="P47" i="37"/>
  <c r="P38" i="37"/>
  <c r="P37" i="37"/>
  <c r="T36" i="37"/>
  <c r="T32" i="37"/>
  <c r="T28" i="37"/>
  <c r="T40" i="37" s="1"/>
  <c r="T41" i="37" s="1"/>
  <c r="T42" i="37" s="1"/>
  <c r="P28" i="37"/>
  <c r="P27" i="37"/>
  <c r="P26" i="37"/>
  <c r="T21" i="37"/>
  <c r="T13" i="37"/>
  <c r="T8" i="37"/>
  <c r="P7" i="37"/>
  <c r="P9" i="37" s="1"/>
  <c r="P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X49" i="37"/>
  <c r="X33" i="37"/>
  <c r="X36" i="37" s="1"/>
  <c r="X38" i="37" s="1"/>
  <c r="P29" i="37" l="1"/>
  <c r="C79" i="37"/>
  <c r="C94" i="37"/>
  <c r="C91" i="37"/>
  <c r="C85" i="37"/>
  <c r="C83" i="37"/>
  <c r="C89" i="37" s="1"/>
  <c r="C82" i="37"/>
  <c r="C88" i="37" s="1"/>
  <c r="C90" i="37"/>
  <c r="C84" i="37"/>
  <c r="T37" i="37"/>
  <c r="T43" i="37"/>
  <c r="T44" i="37" s="1"/>
  <c r="P39" i="37"/>
  <c r="P40" i="37" s="1"/>
  <c r="X9" i="37"/>
  <c r="X77" i="37"/>
  <c r="X40" i="37"/>
  <c r="X41" i="37"/>
  <c r="X22" i="37"/>
  <c r="X21" i="37"/>
  <c r="X61" i="37"/>
  <c r="X60" i="37"/>
</calcChain>
</file>

<file path=xl/sharedStrings.xml><?xml version="1.0" encoding="utf-8"?>
<sst xmlns="http://schemas.openxmlformats.org/spreadsheetml/2006/main" count="1225" uniqueCount="665">
  <si>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</si>
  <si>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</si>
  <si>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</si>
  <si>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</si>
  <si>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</si>
  <si>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</si>
  <si>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</si>
  <si>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</si>
  <si>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</si>
  <si>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</si>
  <si>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</si>
  <si>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</si>
  <si>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</si>
  <si>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mm</t>
    <phoneticPr fontId="3" type="noConversion"/>
  </si>
  <si>
    <t>높이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</si>
  <si>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</si>
  <si>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</si>
  <si>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</si>
  <si>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</si>
  <si>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</si>
  <si>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</si>
  <si>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</si>
  <si>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</si>
  <si>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</si>
  <si>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</si>
  <si>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</si>
  <si>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</si>
  <si>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</si>
  <si>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</si>
  <si>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</si>
  <si>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</si>
  <si>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</si>
  <si>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</si>
  <si>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</si>
  <si>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</si>
  <si>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</si>
  <si>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</si>
  <si>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</si>
  <si>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</si>
  <si>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</si>
  <si>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</si>
  <si>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</si>
  <si>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</si>
  <si>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</si>
  <si>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</si>
  <si>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</si>
  <si>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</si>
  <si>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</si>
  <si>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</si>
  <si>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</si>
  <si>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</si>
  <si>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</si>
  <si>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</si>
  <si>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</si>
  <si>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</si>
  <si>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</si>
  <si>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</si>
  <si>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</si>
  <si>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</si>
  <si>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</si>
  <si>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</si>
  <si>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</si>
  <si>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</si>
  <si>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</si>
  <si>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</si>
  <si>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</si>
  <si>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</si>
  <si>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</si>
  <si>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</si>
  <si>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</si>
  <si>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</si>
  <si>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</si>
  <si>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</si>
  <si>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</si>
  <si>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</si>
  <si>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</si>
  <si>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</si>
  <si>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</si>
  <si>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</si>
  <si>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</si>
  <si>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</si>
  <si>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</si>
  <si>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</si>
  <si>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</si>
  <si>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</si>
  <si>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</si>
  <si>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</si>
  <si>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</si>
  <si>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</si>
  <si>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</si>
  <si>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</si>
  <si>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</si>
  <si>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</si>
  <si>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</si>
  <si>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</si>
  <si>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</si>
  <si>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</si>
  <si>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무부하 인덕턴스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</si>
  <si>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</si>
  <si>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</si>
  <si>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</si>
  <si>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</si>
  <si>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</si>
  <si>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</si>
  <si>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</si>
  <si>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</si>
  <si>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</si>
  <si>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</si>
  <si>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</si>
  <si>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</si>
  <si>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</si>
  <si>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</si>
  <si>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</si>
  <si>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</si>
  <si>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</si>
  <si>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</si>
  <si>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</si>
  <si>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</si>
  <si>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</si>
  <si>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</si>
  <si>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</si>
  <si>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</si>
  <si>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</si>
  <si>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</si>
  <si>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</si>
  <si>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</si>
  <si>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</si>
  <si>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</si>
  <si>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</si>
  <si>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</si>
  <si>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</si>
  <si>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</si>
  <si>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</si>
  <si>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</si>
  <si>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</si>
  <si>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</si>
  <si>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</si>
  <si>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</si>
  <si>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</si>
  <si>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</si>
  <si>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</si>
  <si>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</si>
  <si>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</si>
  <si>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</si>
  <si>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</si>
  <si>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</si>
  <si>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</si>
  <si>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</si>
  <si>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</si>
  <si>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</si>
  <si>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</si>
  <si>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</si>
  <si>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</si>
  <si>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</si>
  <si>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</si>
  <si>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</si>
  <si>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</si>
  <si>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</si>
  <si>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</si>
  <si>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</si>
  <si>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</si>
  <si>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</si>
  <si>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</si>
  <si>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</si>
  <si>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</si>
  <si>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</si>
  <si>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</si>
  <si>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</si>
  <si>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</si>
  <si>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</si>
  <si>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</si>
  <si>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</si>
  <si>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</si>
  <si>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</si>
  <si>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</si>
  <si>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</si>
  <si>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</si>
  <si>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</si>
  <si>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</si>
  <si>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</si>
  <si>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</si>
  <si>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</si>
  <si>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</si>
  <si>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</si>
  <si>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</si>
  <si>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</si>
  <si>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</si>
  <si>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</si>
  <si>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</si>
  <si>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</si>
  <si>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</si>
  <si>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</si>
  <si>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</si>
  <si>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</si>
  <si>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</si>
  <si>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</si>
  <si>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</si>
  <si>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</si>
  <si>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</si>
  <si>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</si>
  <si>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</si>
  <si>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</si>
  <si>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</si>
  <si>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</si>
  <si>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</si>
  <si>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</si>
  <si>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</si>
  <si>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</si>
  <si>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</si>
  <si>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</si>
  <si>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</si>
  <si>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</si>
  <si>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</si>
  <si>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</si>
  <si>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</si>
  <si>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</si>
  <si>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</si>
  <si>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</si>
  <si>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</si>
  <si>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</si>
  <si>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</si>
  <si>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</si>
  <si>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</si>
  <si>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</si>
  <si>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</si>
  <si>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</si>
  <si>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</si>
  <si>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</si>
  <si>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</si>
  <si>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</si>
  <si>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</si>
  <si>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</si>
  <si>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</si>
  <si>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</si>
  <si>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</si>
  <si>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</si>
  <si>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</si>
  <si>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&lt;Q값 계산 공식 :공진 C 기준&gt;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</si>
  <si>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</si>
  <si>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</si>
  <si>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</si>
  <si>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</si>
  <si>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</si>
  <si>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</si>
  <si>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</si>
  <si>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</si>
  <si>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</si>
  <si>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</si>
  <si>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</si>
  <si>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</si>
  <si>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</si>
  <si>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</si>
  <si>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</si>
  <si>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</si>
  <si>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</si>
  <si>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</si>
  <si>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</si>
  <si>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</si>
  <si>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</si>
  <si>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</si>
  <si>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</si>
  <si>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</si>
  <si>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</si>
  <si>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</si>
  <si>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</si>
  <si>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</si>
  <si>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</si>
  <si>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</si>
  <si>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</si>
  <si>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</si>
  <si>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</si>
  <si>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</si>
  <si>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</si>
  <si>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</si>
  <si>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</si>
  <si>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</si>
  <si>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</si>
  <si>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</si>
  <si>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</si>
  <si>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</si>
  <si>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</si>
  <si>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&lt;코일 인덕턴스 계산 공식, C/T 및 출력케이블포함&gt;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</si>
  <si>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</si>
  <si>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</si>
  <si>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</si>
  <si>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</si>
  <si>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</si>
  <si>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</si>
  <si>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</si>
  <si>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</si>
  <si>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</si>
  <si>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</si>
  <si>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</si>
  <si>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</si>
  <si>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</si>
  <si>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</si>
  <si>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</si>
  <si>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</si>
  <si>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</si>
  <si>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</si>
  <si>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</si>
  <si>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</si>
  <si>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</si>
  <si>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</si>
  <si>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</si>
  <si>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</si>
  <si>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</si>
  <si>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</si>
  <si>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</si>
  <si>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</si>
  <si>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</si>
  <si>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</si>
  <si>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</si>
  <si>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</si>
  <si>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</si>
  <si>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</si>
  <si>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</si>
  <si>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</si>
  <si>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</si>
  <si>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</si>
  <si>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</si>
  <si>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</si>
  <si>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</si>
  <si>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</si>
  <si>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</si>
  <si>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</si>
  <si>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</si>
  <si>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</si>
  <si>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</si>
  <si>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</si>
  <si>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</si>
  <si>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</si>
  <si>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</si>
  <si>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</si>
  <si>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</si>
  <si>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</si>
  <si>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</si>
  <si>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</si>
  <si>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</si>
  <si>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</si>
  <si>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</si>
  <si>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</si>
  <si>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</si>
  <si>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</si>
  <si>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</si>
  <si>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</si>
  <si>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</si>
  <si>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</si>
  <si>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</si>
  <si>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</si>
  <si>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</si>
  <si>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</si>
  <si>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</si>
  <si>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</si>
  <si>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</si>
  <si>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</si>
  <si>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</si>
  <si>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</si>
  <si>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</si>
  <si>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</si>
  <si>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</si>
  <si>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</si>
  <si>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</si>
  <si>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</si>
  <si>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</si>
  <si>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</si>
  <si>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</si>
  <si>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</si>
  <si>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</si>
  <si>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</si>
  <si>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</si>
  <si>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</si>
  <si>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</si>
  <si>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</si>
  <si>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</si>
  <si>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</si>
  <si>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</si>
  <si>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</si>
  <si>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</si>
  <si>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</si>
  <si>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</si>
  <si>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</si>
  <si>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</si>
  <si>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</si>
  <si>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</si>
  <si>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</si>
  <si>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</si>
  <si>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</si>
  <si>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</si>
  <si>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</si>
  <si>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</si>
  <si>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</si>
  <si>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</si>
  <si>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</si>
  <si>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</si>
  <si>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</si>
  <si>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</si>
  <si>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</si>
  <si>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</si>
  <si>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</si>
  <si>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</si>
  <si>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</si>
  <si>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</si>
  <si>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</si>
  <si>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</si>
  <si>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</si>
  <si>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</si>
  <si>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</si>
  <si>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</si>
  <si>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</si>
  <si>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</si>
  <si>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</si>
  <si>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</si>
  <si>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</si>
  <si>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</si>
  <si>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</si>
  <si>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</si>
  <si>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</si>
  <si>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</si>
  <si>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</si>
  <si>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</si>
  <si>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</si>
  <si>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</si>
  <si>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</si>
  <si>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</si>
  <si>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</si>
  <si>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</si>
  <si>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</si>
  <si>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</si>
  <si>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</si>
  <si>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</si>
  <si>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</si>
  <si>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</si>
  <si>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</si>
  <si>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</si>
  <si>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</si>
  <si>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</si>
  <si>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</si>
  <si>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</si>
  <si>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</si>
  <si>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</si>
  <si>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</si>
  <si>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</si>
  <si>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</si>
  <si>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</si>
  <si>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</si>
  <si>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</si>
  <si>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</si>
  <si>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</si>
  <si>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</si>
  <si>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</si>
  <si>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</si>
  <si>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</si>
  <si>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</si>
  <si>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</si>
  <si>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</si>
  <si>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</si>
  <si>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>요청 일시</t>
  </si>
  <si>
    <t>납품 일시</t>
  </si>
  <si>
    <t>공정</t>
    <phoneticPr fontId="9" type="noConversion"/>
  </si>
  <si>
    <t>전력</t>
    <phoneticPr fontId="9" type="noConversion"/>
  </si>
  <si>
    <t>예상 동작 주파수</t>
    <phoneticPr fontId="9" type="noConversion"/>
  </si>
  <si>
    <t>FUSE</t>
    <phoneticPr fontId="9" type="noConversion"/>
  </si>
  <si>
    <t xml:space="preserve">DIODE </t>
    <phoneticPr fontId="9" type="noConversion"/>
  </si>
  <si>
    <t>인러쉬 충전 및 과전압보호</t>
    <phoneticPr fontId="9" type="noConversion"/>
  </si>
  <si>
    <t>DC 인덕터</t>
    <phoneticPr fontId="9" type="noConversion"/>
  </si>
  <si>
    <t>전류센싱 션트저항</t>
    <phoneticPr fontId="9" type="noConversion"/>
  </si>
  <si>
    <t>인버팅 소자(IGBT)</t>
    <phoneticPr fontId="9" type="noConversion"/>
  </si>
  <si>
    <t>제어방식</t>
    <phoneticPr fontId="9" type="noConversion"/>
  </si>
  <si>
    <t>DC LINK CAPACITOR</t>
    <phoneticPr fontId="9" type="noConversion"/>
  </si>
  <si>
    <t>M/T(Matching Transformer)</t>
    <phoneticPr fontId="9" type="noConversion"/>
  </si>
  <si>
    <t>전류센싱 C/T</t>
    <phoneticPr fontId="9" type="noConversion"/>
  </si>
  <si>
    <t>공진 CAP</t>
    <phoneticPr fontId="9" type="noConversion"/>
  </si>
  <si>
    <t>공진 CAP 구조</t>
    <phoneticPr fontId="9" type="noConversion"/>
  </si>
  <si>
    <t xml:space="preserve">코일 </t>
    <phoneticPr fontId="9" type="noConversion"/>
  </si>
  <si>
    <t>코일 연결 구조</t>
    <phoneticPr fontId="9" type="noConversion"/>
  </si>
  <si>
    <t>예상 Q값</t>
    <phoneticPr fontId="9" type="noConversion"/>
  </si>
  <si>
    <t>입력 선전류( 마진포함)</t>
    <phoneticPr fontId="9" type="noConversion"/>
  </si>
  <si>
    <t>입력 DC전류</t>
    <phoneticPr fontId="9" type="noConversion"/>
  </si>
  <si>
    <t>인버터 출력전류(M/T 1차)</t>
    <phoneticPr fontId="9" type="noConversion"/>
  </si>
  <si>
    <t>공진전류(공진CAP,출력케이블)</t>
    <phoneticPr fontId="9" type="noConversion"/>
  </si>
  <si>
    <t>코일전류</t>
    <phoneticPr fontId="9" type="noConversion"/>
  </si>
  <si>
    <t>비고</t>
    <phoneticPr fontId="9" type="noConversion"/>
  </si>
  <si>
    <t>고객사</t>
    <phoneticPr fontId="9" type="noConversion"/>
  </si>
  <si>
    <t>MAIN C/T</t>
    <phoneticPr fontId="3" type="noConversion"/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</si>
  <si>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</si>
  <si>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</si>
  <si>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</si>
  <si>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</si>
  <si>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</si>
  <si>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</si>
  <si>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</si>
  <si>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</si>
  <si>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</si>
  <si>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</si>
  <si>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</si>
  <si>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</si>
  <si>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</si>
  <si>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</si>
  <si>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</si>
  <si>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</si>
  <si>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</si>
  <si>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</si>
  <si>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</si>
  <si>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</si>
  <si>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</si>
  <si>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</si>
  <si>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</si>
  <si>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</si>
  <si>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</si>
  <si>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</si>
  <si>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</si>
  <si>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</si>
  <si>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</si>
  <si>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</si>
  <si>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</si>
  <si>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</si>
  <si>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</si>
  <si>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</si>
  <si>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</si>
  <si>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</si>
  <si>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</si>
  <si>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</si>
  <si>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</si>
  <si>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</si>
  <si>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</si>
  <si>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</si>
  <si>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</si>
  <si>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</si>
  <si>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ok</t>
    <phoneticPr fontId="3" type="noConversion"/>
  </si>
  <si>
    <t>PSIH-50XF-L1F-V1</t>
    <phoneticPr fontId="9" type="noConversion"/>
  </si>
  <si>
    <t>사용 안함</t>
    <phoneticPr fontId="3" type="noConversion"/>
  </si>
  <si>
    <t>컨트롤 보드</t>
    <phoneticPr fontId="3" type="noConversion"/>
  </si>
  <si>
    <t>게이트 드라이버</t>
    <phoneticPr fontId="3" type="noConversion"/>
  </si>
  <si>
    <t>FM+LBPWM</t>
    <phoneticPr fontId="9" type="noConversion"/>
  </si>
  <si>
    <t>디지털</t>
    <phoneticPr fontId="3" type="noConversion"/>
  </si>
  <si>
    <t>IH PROGRAM SETTING VALUE_Digital</t>
    <phoneticPr fontId="4" type="noConversion"/>
  </si>
  <si>
    <t xml:space="preserve">PROJECT </t>
    <phoneticPr fontId="4" type="noConversion"/>
  </si>
  <si>
    <t>작성일시</t>
    <phoneticPr fontId="4" type="noConversion"/>
  </si>
  <si>
    <t>시운전일시</t>
    <phoneticPr fontId="4" type="noConversion"/>
  </si>
  <si>
    <t>PROGRAM SPECIFICATION</t>
    <phoneticPr fontId="4" type="noConversion"/>
  </si>
  <si>
    <t>CLOCK</t>
    <phoneticPr fontId="4" type="noConversion"/>
  </si>
  <si>
    <t>M</t>
    <phoneticPr fontId="4" type="noConversion"/>
  </si>
  <si>
    <t>SCALE</t>
    <phoneticPr fontId="4" type="noConversion"/>
  </si>
  <si>
    <t>분주</t>
    <phoneticPr fontId="4" type="noConversion"/>
  </si>
  <si>
    <t>ECAP_CLOCK_10HZ</t>
    <phoneticPr fontId="4" type="noConversion"/>
  </si>
  <si>
    <t>FREQUENCY</t>
    <phoneticPr fontId="4" type="noConversion"/>
  </si>
  <si>
    <t>PERIOD</t>
    <phoneticPr fontId="4" type="noConversion"/>
  </si>
  <si>
    <t>HALF PERIOD</t>
    <phoneticPr fontId="4" type="noConversion"/>
  </si>
  <si>
    <t>POWER</t>
    <phoneticPr fontId="4" type="noConversion"/>
  </si>
  <si>
    <t>MAXIMUM</t>
    <phoneticPr fontId="4" type="noConversion"/>
  </si>
  <si>
    <t>kW</t>
    <phoneticPr fontId="4" type="noConversion"/>
  </si>
  <si>
    <t>MINIMUM</t>
    <phoneticPr fontId="4" type="noConversion"/>
  </si>
  <si>
    <t>INPUT VOLTAGE</t>
    <phoneticPr fontId="4" type="noConversion"/>
  </si>
  <si>
    <t>VAC</t>
    <phoneticPr fontId="4" type="noConversion"/>
  </si>
  <si>
    <t>Vo MAX</t>
    <phoneticPr fontId="4" type="noConversion"/>
  </si>
  <si>
    <t>INRUSH Voltage</t>
    <phoneticPr fontId="4" type="noConversion"/>
  </si>
  <si>
    <t>UVP</t>
    <phoneticPr fontId="4" type="noConversion"/>
  </si>
  <si>
    <t>전류 센싱</t>
    <phoneticPr fontId="4" type="noConversion"/>
  </si>
  <si>
    <t>SHUNT</t>
    <phoneticPr fontId="4" type="noConversion"/>
  </si>
  <si>
    <t>A/50mV</t>
    <phoneticPr fontId="4" type="noConversion"/>
  </si>
  <si>
    <t>Io OCP</t>
    <phoneticPr fontId="4" type="noConversion"/>
  </si>
  <si>
    <t>공진 전류 센싱</t>
    <phoneticPr fontId="4" type="noConversion"/>
  </si>
  <si>
    <t>RESISTOR</t>
    <phoneticPr fontId="4" type="noConversion"/>
  </si>
  <si>
    <t>Ω</t>
    <phoneticPr fontId="4" type="noConversion"/>
  </si>
  <si>
    <t>PARALLEL</t>
    <phoneticPr fontId="4" type="noConversion"/>
  </si>
  <si>
    <t>개수</t>
    <phoneticPr fontId="4" type="noConversion"/>
  </si>
  <si>
    <t>CT</t>
    <phoneticPr fontId="4" type="noConversion"/>
  </si>
  <si>
    <t>:1</t>
    <phoneticPr fontId="4" type="noConversion"/>
  </si>
  <si>
    <t>실제 CURRENT</t>
    <phoneticPr fontId="4" type="noConversion"/>
  </si>
  <si>
    <t>IR RMS</t>
    <phoneticPr fontId="4" type="noConversion"/>
  </si>
  <si>
    <t>IR AVG(LCD)</t>
    <phoneticPr fontId="4" type="noConversion"/>
  </si>
  <si>
    <t>IR OCP</t>
    <phoneticPr fontId="4" type="noConversion"/>
  </si>
  <si>
    <t>AD REF
(4 ~ 20mA)</t>
    <phoneticPr fontId="4" type="noConversion"/>
  </si>
  <si>
    <t xml:space="preserve">kW </t>
    <phoneticPr fontId="4" type="noConversion"/>
  </si>
  <si>
    <t>DA POWER</t>
    <phoneticPr fontId="4" type="noConversion"/>
  </si>
  <si>
    <t>DA FREQUENCY</t>
    <phoneticPr fontId="4" type="noConversion"/>
  </si>
  <si>
    <t>Hz</t>
    <phoneticPr fontId="4" type="noConversion"/>
  </si>
  <si>
    <t>공진 CAP</t>
    <phoneticPr fontId="4" type="noConversion"/>
  </si>
  <si>
    <t>RESONANT_CAP</t>
    <phoneticPr fontId="4" type="noConversion"/>
  </si>
  <si>
    <t xml:space="preserve">uF </t>
    <phoneticPr fontId="4" type="noConversion"/>
  </si>
  <si>
    <t>VOLTAGE</t>
    <phoneticPr fontId="4" type="noConversion"/>
  </si>
  <si>
    <t>SET_Vr</t>
    <phoneticPr fontId="4" type="noConversion"/>
  </si>
  <si>
    <t>M/T</t>
    <phoneticPr fontId="4" type="noConversion"/>
  </si>
  <si>
    <t>SET_TURN_RATIO</t>
  </si>
  <si>
    <t>동작 주파수</t>
    <phoneticPr fontId="4" type="noConversion"/>
  </si>
  <si>
    <t>제어범위까지</t>
    <phoneticPr fontId="3" type="noConversion"/>
  </si>
  <si>
    <t>START FREQUENCY</t>
    <phoneticPr fontId="4" type="noConversion"/>
  </si>
  <si>
    <t>PWM FREQUENCY</t>
    <phoneticPr fontId="4" type="noConversion"/>
  </si>
  <si>
    <t>DEAD TIME</t>
    <phoneticPr fontId="4" type="noConversion"/>
  </si>
  <si>
    <t xml:space="preserve">uS </t>
    <phoneticPr fontId="4" type="noConversion"/>
  </si>
  <si>
    <t>EXT FAULT</t>
    <phoneticPr fontId="4" type="noConversion"/>
  </si>
  <si>
    <t>FLT1</t>
    <phoneticPr fontId="4" type="noConversion"/>
  </si>
  <si>
    <t>DOOR OPEN</t>
    <phoneticPr fontId="4" type="noConversion"/>
  </si>
  <si>
    <t>○</t>
    <phoneticPr fontId="4" type="noConversion"/>
  </si>
  <si>
    <t>FLT2</t>
  </si>
  <si>
    <t>OPP CAP</t>
    <phoneticPr fontId="4" type="noConversion"/>
  </si>
  <si>
    <t>FLT3</t>
  </si>
  <si>
    <t>OTP WATER</t>
    <phoneticPr fontId="4" type="noConversion"/>
  </si>
  <si>
    <t>FLT4</t>
  </si>
  <si>
    <t>FLOW WATER</t>
    <phoneticPr fontId="4" type="noConversion"/>
  </si>
  <si>
    <t>FLT5</t>
  </si>
  <si>
    <t>MA/CB AUX</t>
    <phoneticPr fontId="4" type="noConversion"/>
  </si>
  <si>
    <t>FLT6</t>
  </si>
  <si>
    <t>SPARE</t>
    <phoneticPr fontId="4" type="noConversion"/>
  </si>
  <si>
    <t>X</t>
    <phoneticPr fontId="4" type="noConversion"/>
  </si>
  <si>
    <t>FLT7</t>
  </si>
  <si>
    <t>LEAK WATER</t>
    <phoneticPr fontId="4" type="noConversion"/>
  </si>
  <si>
    <t>FLT8</t>
    <phoneticPr fontId="3" type="noConversion"/>
  </si>
  <si>
    <t>COIL TOUCH(열처리)
GOUND LEAK(용해로)</t>
    <phoneticPr fontId="3" type="noConversion"/>
  </si>
  <si>
    <t>FLT9</t>
    <phoneticPr fontId="4" type="noConversion"/>
  </si>
  <si>
    <t>FUSE OPEN</t>
    <phoneticPr fontId="4" type="noConversion"/>
  </si>
  <si>
    <t>FLT10</t>
    <phoneticPr fontId="4" type="noConversion"/>
  </si>
  <si>
    <t>OVGR</t>
    <phoneticPr fontId="4" type="noConversion"/>
  </si>
  <si>
    <t>IIN OCP</t>
    <phoneticPr fontId="4" type="noConversion"/>
  </si>
  <si>
    <t>MD FAULT</t>
    <phoneticPr fontId="4" type="noConversion"/>
  </si>
  <si>
    <t>CONTROL MODE</t>
    <phoneticPr fontId="4" type="noConversion"/>
  </si>
  <si>
    <t>FM+LBPWM</t>
    <phoneticPr fontId="4" type="noConversion"/>
  </si>
  <si>
    <t>공진회로</t>
    <phoneticPr fontId="4" type="noConversion"/>
  </si>
  <si>
    <t>직렬공진회로(FULL BRIDGE)</t>
    <phoneticPr fontId="4" type="noConversion"/>
  </si>
  <si>
    <t>특이 사항</t>
    <phoneticPr fontId="4" type="noConversion"/>
  </si>
  <si>
    <t>IIH DIGITAL CONTROL BOARD V3.8</t>
    <phoneticPr fontId="3" type="noConversion"/>
  </si>
  <si>
    <t>DC BLOCKING CAP</t>
    <phoneticPr fontId="4" type="noConversion"/>
  </si>
  <si>
    <t>소선:9.5mm, 갭 5.56mm</t>
    <phoneticPr fontId="3" type="noConversion"/>
  </si>
  <si>
    <t>X</t>
    <phoneticPr fontId="4" type="noConversion"/>
  </si>
  <si>
    <t>X</t>
    <phoneticPr fontId="3" type="noConversion"/>
  </si>
  <si>
    <t>X</t>
    <phoneticPr fontId="4" type="noConversion"/>
  </si>
  <si>
    <t>코일 L값</t>
    <phoneticPr fontId="3" type="noConversion"/>
  </si>
  <si>
    <t>출력케이블 2.5m</t>
    <phoneticPr fontId="3" type="noConversion"/>
  </si>
  <si>
    <t>HAV 로컬 열처리 장치</t>
    <phoneticPr fontId="3" type="noConversion"/>
  </si>
  <si>
    <t>50kW</t>
    <phoneticPr fontId="9" type="noConversion"/>
  </si>
  <si>
    <t>7~8kHz</t>
    <phoneticPr fontId="9" type="noConversion"/>
  </si>
  <si>
    <t>ABS103c 125A</t>
  </si>
  <si>
    <t>SCC00087</t>
  </si>
  <si>
    <t>[JRS62-120] 600V 120A</t>
  </si>
  <si>
    <t>UFF00010</t>
  </si>
  <si>
    <t>DDB6U215N16L</t>
  </si>
  <si>
    <t>EBB00016</t>
  </si>
  <si>
    <t>INRUSH_MC_V6_1</t>
  </si>
  <si>
    <t>과전압보호회로 없음</t>
  </si>
  <si>
    <t>MCCB</t>
    <phoneticPr fontId="9" type="noConversion"/>
  </si>
  <si>
    <t>[SK-S-02] 150A</t>
  </si>
  <si>
    <t>[DD500943] DC LINK CAP Module, 장착위치: IGBT(62mm package) DIRECT 연결, CAP 용량: 50uF 900V, 가로(행)수: 4, 세로(열)수: 3</t>
    <phoneticPr fontId="9" type="noConversion"/>
  </si>
  <si>
    <t>94A</t>
    <phoneticPr fontId="9" type="noConversion"/>
  </si>
  <si>
    <t>100A</t>
    <phoneticPr fontId="9" type="noConversion"/>
  </si>
  <si>
    <t>팬케이크형</t>
    <phoneticPr fontId="3" type="noConversion"/>
  </si>
  <si>
    <t>2021.05.00</t>
    <phoneticPr fontId="3" type="noConversion"/>
  </si>
  <si>
    <t>2021.05.00</t>
    <phoneticPr fontId="3" type="noConversion"/>
  </si>
  <si>
    <t>2020.07.30</t>
    <phoneticPr fontId="4" type="noConversion"/>
  </si>
  <si>
    <t>한화에어로엔진</t>
    <phoneticPr fontId="4" type="noConversion"/>
  </si>
  <si>
    <t>한화에어로엔진</t>
    <phoneticPr fontId="9" type="noConversion"/>
  </si>
  <si>
    <t>FF450R12KT4 MODULE (2EA)</t>
    <phoneticPr fontId="9" type="noConversion"/>
  </si>
  <si>
    <t>IH_GATE_DRIVER_V21_DUAL_R7_800A (2EA)</t>
    <phoneticPr fontId="3" type="noConversion"/>
  </si>
  <si>
    <t>37uF, 500V, 1000A(대동콘덴서)</t>
    <phoneticPr fontId="4" type="noConversion"/>
  </si>
  <si>
    <t>100:1</t>
    <phoneticPr fontId="9" type="noConversion"/>
  </si>
  <si>
    <t>8병렬, 
 :총 296uF, 500V, 8000A,</t>
    <phoneticPr fontId="9" type="noConversion"/>
  </si>
  <si>
    <t>최대 150A</t>
    <phoneticPr fontId="9" type="noConversion"/>
  </si>
  <si>
    <t xml:space="preserve">최대 3000A </t>
    <phoneticPr fontId="9" type="noConversion"/>
  </si>
  <si>
    <t>코아UU120C+ I80 4조/ 1차 권선 : 6.5파이 동파이프(코팅) + 2차 권선 : 동판 수냉물라인
1차 권선: 6.5파이 동파이프 5턴 4층
2차 권선: 동판
턴비 : 20:1
1차전류 약 150A, 2차전류 약 3000A</t>
    <phoneticPr fontId="4" type="noConversion"/>
  </si>
  <si>
    <t>출력 케이블</t>
    <phoneticPr fontId="3" type="noConversion"/>
  </si>
  <si>
    <t>19mm 수냉식 케이블 2.5m  4가닥</t>
    <phoneticPr fontId="3" type="noConversion"/>
  </si>
  <si>
    <t>11~15</t>
    <phoneticPr fontId="9" type="noConversion"/>
  </si>
  <si>
    <r>
      <t>팬케이크 형 80</t>
    </r>
    <r>
      <rPr>
        <sz val="11"/>
        <rFont val="맑은 고딕"/>
        <family val="3"/>
        <charset val="129"/>
      </rPr>
      <t>Φ</t>
    </r>
    <phoneticPr fontId="3" type="noConversion"/>
  </si>
  <si>
    <t>팬케이크형 외경_80Φ</t>
    <phoneticPr fontId="3" type="noConversion"/>
  </si>
  <si>
    <t>IGBT단차 보완용 동블록 필요(스너버연결용)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</si>
</sst>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  <numFmt numFmtId="192" formatCode="_-* #,##0.0_-;\-* #,##0.0_-;_-* &quot;-&quot;?_-;_-@_-"/>
  </numFmts>
  <fonts count="2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19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177" fontId="10" fillId="0" borderId="28" xfId="0" applyNumberFormat="1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8" borderId="28" xfId="0" applyFont="1" applyFill="1" applyBorder="1" applyAlignment="1">
      <alignment vertical="center"/>
    </xf>
    <xf numFmtId="0" fontId="12" fillId="9" borderId="28" xfId="0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0" fontId="12" fillId="11" borderId="28" xfId="0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1" fillId="0" borderId="28" xfId="0" applyNumberFormat="1" applyFont="1" applyBorder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11" fillId="8" borderId="28" xfId="0" applyNumberFormat="1" applyFont="1" applyFill="1" applyBorder="1" applyAlignment="1">
      <alignment vertical="center"/>
    </xf>
    <xf numFmtId="1" fontId="11" fillId="0" borderId="28" xfId="0" applyNumberFormat="1" applyFont="1" applyBorder="1" applyAlignment="1">
      <alignment vertical="center"/>
    </xf>
    <xf numFmtId="0" fontId="10" fillId="9" borderId="28" xfId="0" applyNumberFormat="1" applyFont="1" applyFill="1" applyBorder="1" applyAlignment="1">
      <alignment vertical="center"/>
    </xf>
    <xf numFmtId="0" fontId="12" fillId="9" borderId="28" xfId="0" applyNumberFormat="1" applyFont="1" applyFill="1" applyBorder="1" applyAlignment="1">
      <alignment vertical="center"/>
    </xf>
    <xf numFmtId="0" fontId="12" fillId="0" borderId="28" xfId="2" applyFont="1" applyBorder="1" applyAlignment="1">
      <alignment vertical="center"/>
    </xf>
    <xf numFmtId="0" fontId="12" fillId="9" borderId="28" xfId="2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3" fillId="10" borderId="28" xfId="0" applyFont="1" applyFill="1" applyBorder="1" applyAlignment="1">
      <alignment vertical="center"/>
    </xf>
    <xf numFmtId="178" fontId="10" fillId="9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178" fontId="13" fillId="12" borderId="28" xfId="0" applyNumberFormat="1" applyFont="1" applyFill="1" applyBorder="1" applyAlignment="1">
      <alignment vertical="center"/>
    </xf>
    <xf numFmtId="0" fontId="13" fillId="10" borderId="28" xfId="2" quotePrefix="1" applyFont="1" applyFill="1" applyBorder="1" applyAlignment="1">
      <alignment vertical="center"/>
    </xf>
    <xf numFmtId="0" fontId="13" fillId="10" borderId="28" xfId="2" applyFont="1" applyFill="1" applyBorder="1" applyAlignment="1">
      <alignment vertical="center"/>
    </xf>
    <xf numFmtId="182" fontId="13" fillId="10" borderId="28" xfId="0" applyNumberFormat="1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2" fillId="0" borderId="28" xfId="0" applyFont="1" applyBorder="1"/>
    <xf numFmtId="0" fontId="12" fillId="9" borderId="28" xfId="0" applyFont="1" applyFill="1" applyBorder="1"/>
    <xf numFmtId="0" fontId="12" fillId="9" borderId="28" xfId="0" applyFont="1" applyFill="1" applyBorder="1" applyAlignment="1">
      <alignment horizontal="right"/>
    </xf>
    <xf numFmtId="0" fontId="13" fillId="0" borderId="28" xfId="0" applyFont="1" applyBorder="1"/>
    <xf numFmtId="178" fontId="13" fillId="10" borderId="28" xfId="0" applyNumberFormat="1" applyFont="1" applyFill="1" applyBorder="1"/>
    <xf numFmtId="0" fontId="12" fillId="0" borderId="28" xfId="0" applyFont="1" applyFill="1" applyBorder="1"/>
    <xf numFmtId="0" fontId="13" fillId="10" borderId="28" xfId="0" applyFont="1" applyFill="1" applyBorder="1"/>
    <xf numFmtId="0" fontId="11" fillId="0" borderId="28" xfId="0" applyFont="1" applyFill="1" applyBorder="1" applyAlignment="1">
      <alignment vertical="center"/>
    </xf>
    <xf numFmtId="178" fontId="12" fillId="9" borderId="28" xfId="0" applyNumberFormat="1" applyFont="1" applyFill="1" applyBorder="1" applyAlignment="1">
      <alignment horizontal="right"/>
    </xf>
    <xf numFmtId="178" fontId="12" fillId="13" borderId="28" xfId="0" applyNumberFormat="1" applyFont="1" applyFill="1" applyBorder="1" applyAlignment="1">
      <alignment horizontal="right"/>
    </xf>
    <xf numFmtId="178" fontId="12" fillId="13" borderId="28" xfId="0" applyNumberFormat="1" applyFont="1" applyFill="1" applyBorder="1"/>
    <xf numFmtId="178" fontId="14" fillId="10" borderId="28" xfId="0" applyNumberFormat="1" applyFont="1" applyFill="1" applyBorder="1" applyAlignment="1">
      <alignment horizontal="right"/>
    </xf>
    <xf numFmtId="178" fontId="12" fillId="8" borderId="28" xfId="0" applyNumberFormat="1" applyFont="1" applyFill="1" applyBorder="1" applyAlignment="1">
      <alignment horizontal="right"/>
    </xf>
    <xf numFmtId="178" fontId="11" fillId="10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4" fillId="9" borderId="28" xfId="0" applyNumberFormat="1" applyFont="1" applyFill="1" applyBorder="1" applyAlignment="1">
      <alignment horizontal="right"/>
    </xf>
    <xf numFmtId="0" fontId="12" fillId="14" borderId="28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28" xfId="2" applyFont="1" applyBorder="1">
      <alignment vertical="center"/>
    </xf>
    <xf numFmtId="0" fontId="14" fillId="0" borderId="28" xfId="2" applyFont="1" applyBorder="1" applyAlignment="1">
      <alignment horizontal="center" vertical="center"/>
    </xf>
    <xf numFmtId="0" fontId="13" fillId="0" borderId="28" xfId="2" applyFont="1" applyBorder="1">
      <alignment vertical="center"/>
    </xf>
    <xf numFmtId="0" fontId="14" fillId="0" borderId="28" xfId="2" applyFont="1" applyBorder="1">
      <alignment vertical="center"/>
    </xf>
    <xf numFmtId="0" fontId="14" fillId="0" borderId="28" xfId="2" applyFont="1" applyBorder="1" applyAlignment="1">
      <alignment vertical="center" wrapText="1"/>
    </xf>
    <xf numFmtId="0" fontId="14" fillId="0" borderId="28" xfId="0" applyFont="1" applyBorder="1"/>
    <xf numFmtId="0" fontId="12" fillId="8" borderId="28" xfId="0" applyFont="1" applyFill="1" applyBorder="1"/>
    <xf numFmtId="178" fontId="12" fillId="8" borderId="28" xfId="0" applyNumberFormat="1" applyFont="1" applyFill="1" applyBorder="1"/>
    <xf numFmtId="178" fontId="11" fillId="8" borderId="28" xfId="0" applyNumberFormat="1" applyFont="1" applyFill="1" applyBorder="1"/>
    <xf numFmtId="0" fontId="12" fillId="9" borderId="28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28" xfId="0" applyFont="1" applyBorder="1" applyAlignment="1">
      <alignment horizontal="left" vertical="center"/>
    </xf>
    <xf numFmtId="0" fontId="12" fillId="10" borderId="28" xfId="2" applyFont="1" applyFill="1" applyBorder="1">
      <alignment vertical="center"/>
    </xf>
    <xf numFmtId="0" fontId="13" fillId="12" borderId="28" xfId="2" applyFont="1" applyFill="1" applyBorder="1">
      <alignment vertical="center"/>
    </xf>
    <xf numFmtId="176" fontId="12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6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17" fillId="0" borderId="31" xfId="0" applyFont="1" applyBorder="1" applyAlignment="1">
      <alignment vertical="center"/>
    </xf>
    <xf numFmtId="0" fontId="17" fillId="8" borderId="32" xfId="0" applyFont="1" applyFill="1" applyBorder="1" applyAlignment="1">
      <alignment vertical="center"/>
    </xf>
    <xf numFmtId="0" fontId="17" fillId="8" borderId="31" xfId="0" applyFont="1" applyFill="1" applyBorder="1" applyAlignment="1">
      <alignment vertical="center"/>
    </xf>
    <xf numFmtId="0" fontId="17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7" fillId="0" borderId="33" xfId="0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0" fontId="12" fillId="0" borderId="28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9" fillId="11" borderId="28" xfId="0" applyFont="1" applyFill="1" applyBorder="1" applyAlignment="1">
      <alignment horizontal="left"/>
    </xf>
    <xf numFmtId="0" fontId="12" fillId="11" borderId="28" xfId="2" applyFont="1" applyFill="1" applyBorder="1">
      <alignment vertical="center"/>
    </xf>
    <xf numFmtId="0" fontId="13" fillId="10" borderId="28" xfId="2" applyFont="1" applyFill="1" applyBorder="1">
      <alignment vertical="center"/>
    </xf>
    <xf numFmtId="0" fontId="12" fillId="11" borderId="28" xfId="2" applyFont="1" applyFill="1" applyBorder="1" applyAlignment="1">
      <alignment vertical="center"/>
    </xf>
    <xf numFmtId="0" fontId="12" fillId="10" borderId="35" xfId="0" applyFont="1" applyFill="1" applyBorder="1" applyAlignment="1">
      <alignment horizontal="center" vertical="center"/>
    </xf>
    <xf numFmtId="0" fontId="12" fillId="14" borderId="36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left" vertical="center"/>
    </xf>
    <xf numFmtId="0" fontId="12" fillId="8" borderId="37" xfId="0" applyFont="1" applyFill="1" applyBorder="1" applyAlignment="1">
      <alignment horizontal="left"/>
    </xf>
    <xf numFmtId="180" fontId="12" fillId="8" borderId="37" xfId="0" applyNumberFormat="1" applyFont="1" applyFill="1" applyBorder="1" applyAlignment="1">
      <alignment horizontal="left" vertical="center"/>
    </xf>
    <xf numFmtId="181" fontId="12" fillId="8" borderId="37" xfId="0" applyNumberFormat="1" applyFont="1" applyFill="1" applyBorder="1" applyAlignment="1">
      <alignment horizontal="left" vertical="center"/>
    </xf>
    <xf numFmtId="179" fontId="12" fillId="8" borderId="37" xfId="0" applyNumberFormat="1" applyFont="1" applyFill="1" applyBorder="1" applyAlignment="1">
      <alignment horizontal="left" vertical="center"/>
    </xf>
    <xf numFmtId="0" fontId="12" fillId="8" borderId="38" xfId="0" applyFont="1" applyFill="1" applyBorder="1" applyAlignment="1">
      <alignment horizontal="left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14" borderId="40" xfId="0" applyFont="1" applyFill="1" applyBorder="1" applyAlignment="1">
      <alignment horizontal="center" vertical="center"/>
    </xf>
    <xf numFmtId="180" fontId="12" fillId="8" borderId="41" xfId="0" applyNumberFormat="1" applyFont="1" applyFill="1" applyBorder="1" applyAlignment="1">
      <alignment horizontal="left" vertical="center"/>
    </xf>
    <xf numFmtId="0" fontId="12" fillId="8" borderId="41" xfId="0" applyFont="1" applyFill="1" applyBorder="1" applyAlignment="1">
      <alignment horizontal="left" vertical="center"/>
    </xf>
    <xf numFmtId="0" fontId="12" fillId="8" borderId="41" xfId="0" applyFont="1" applyFill="1" applyBorder="1" applyAlignment="1">
      <alignment horizontal="left"/>
    </xf>
    <xf numFmtId="181" fontId="12" fillId="8" borderId="41" xfId="0" applyNumberFormat="1" applyFont="1" applyFill="1" applyBorder="1" applyAlignment="1">
      <alignment horizontal="left" vertical="center"/>
    </xf>
    <xf numFmtId="179" fontId="12" fillId="8" borderId="41" xfId="0" applyNumberFormat="1" applyFont="1" applyFill="1" applyBorder="1" applyAlignment="1">
      <alignment horizontal="left" vertical="center"/>
    </xf>
    <xf numFmtId="0" fontId="12" fillId="8" borderId="41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12" fillId="14" borderId="44" xfId="0" applyFont="1" applyFill="1" applyBorder="1" applyAlignment="1">
      <alignment horizontal="center" vertical="center"/>
    </xf>
    <xf numFmtId="0" fontId="12" fillId="8" borderId="45" xfId="0" applyFont="1" applyFill="1" applyBorder="1" applyAlignment="1">
      <alignment horizontal="left" vertical="center"/>
    </xf>
    <xf numFmtId="0" fontId="12" fillId="8" borderId="45" xfId="0" applyFont="1" applyFill="1" applyBorder="1" applyAlignment="1">
      <alignment horizontal="left"/>
    </xf>
    <xf numFmtId="180" fontId="12" fillId="8" borderId="45" xfId="0" applyNumberFormat="1" applyFont="1" applyFill="1" applyBorder="1" applyAlignment="1">
      <alignment horizontal="left" vertical="center"/>
    </xf>
    <xf numFmtId="181" fontId="12" fillId="8" borderId="45" xfId="0" applyNumberFormat="1" applyFont="1" applyFill="1" applyBorder="1" applyAlignment="1">
      <alignment horizontal="left" vertical="center"/>
    </xf>
    <xf numFmtId="179" fontId="12" fillId="8" borderId="45" xfId="0" applyNumberFormat="1" applyFont="1" applyFill="1" applyBorder="1" applyAlignment="1">
      <alignment horizontal="left" vertical="center"/>
    </xf>
    <xf numFmtId="0" fontId="12" fillId="8" borderId="45" xfId="0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179" fontId="12" fillId="9" borderId="28" xfId="0" applyNumberFormat="1" applyFont="1" applyFill="1" applyBorder="1" applyAlignment="1">
      <alignment horizontal="right"/>
    </xf>
    <xf numFmtId="0" fontId="16" fillId="0" borderId="29" xfId="0" applyFont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0" fillId="6" borderId="48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88" fontId="10" fillId="6" borderId="28" xfId="0" applyNumberFormat="1" applyFont="1" applyFill="1" applyBorder="1" applyAlignment="1">
      <alignment vertical="center"/>
    </xf>
    <xf numFmtId="41" fontId="12" fillId="6" borderId="28" xfId="1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88" fontId="10" fillId="0" borderId="28" xfId="0" applyNumberFormat="1" applyFont="1" applyBorder="1" applyAlignment="1">
      <alignment vertical="center"/>
    </xf>
    <xf numFmtId="41" fontId="12" fillId="0" borderId="28" xfId="1" applyFont="1" applyBorder="1" applyAlignment="1">
      <alignment vertical="center"/>
    </xf>
    <xf numFmtId="188" fontId="12" fillId="0" borderId="28" xfId="0" applyNumberFormat="1" applyFont="1" applyBorder="1" applyAlignment="1">
      <alignment vertical="center"/>
    </xf>
    <xf numFmtId="41" fontId="12" fillId="6" borderId="28" xfId="1" applyNumberFormat="1" applyFont="1" applyFill="1" applyBorder="1" applyAlignment="1">
      <alignment vertical="center"/>
    </xf>
    <xf numFmtId="188" fontId="12" fillId="6" borderId="28" xfId="0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189" fontId="12" fillId="6" borderId="28" xfId="1" applyNumberFormat="1" applyFont="1" applyFill="1" applyBorder="1" applyAlignment="1">
      <alignment vertical="center"/>
    </xf>
    <xf numFmtId="0" fontId="12" fillId="6" borderId="28" xfId="0" applyFont="1" applyFill="1" applyBorder="1" applyAlignment="1">
      <alignment vertical="center"/>
    </xf>
    <xf numFmtId="0" fontId="12" fillId="0" borderId="49" xfId="0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178" fontId="10" fillId="6" borderId="28" xfId="0" applyNumberFormat="1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vertical="center" wrapText="1"/>
    </xf>
    <xf numFmtId="180" fontId="12" fillId="6" borderId="28" xfId="1" applyNumberFormat="1" applyFont="1" applyFill="1" applyBorder="1" applyAlignment="1">
      <alignment vertical="center"/>
    </xf>
    <xf numFmtId="0" fontId="12" fillId="0" borderId="28" xfId="0" applyFont="1" applyBorder="1" applyAlignment="1">
      <alignment horizontal="left" vertical="center"/>
    </xf>
    <xf numFmtId="0" fontId="19" fillId="8" borderId="31" xfId="0" applyFont="1" applyFill="1" applyBorder="1" applyAlignment="1">
      <alignment vertical="center" wrapText="1"/>
    </xf>
    <xf numFmtId="0" fontId="17" fillId="0" borderId="31" xfId="0" applyFont="1" applyFill="1" applyBorder="1" applyAlignment="1">
      <alignment vertical="center"/>
    </xf>
    <xf numFmtId="0" fontId="17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7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9" fillId="0" borderId="31" xfId="0" applyFont="1" applyFill="1" applyBorder="1" applyAlignment="1">
      <alignment vertical="center" wrapText="1"/>
    </xf>
    <xf numFmtId="0" fontId="21" fillId="8" borderId="31" xfId="0" applyFont="1" applyFill="1" applyBorder="1" applyAlignment="1">
      <alignment vertical="center" wrapText="1"/>
    </xf>
    <xf numFmtId="0" fontId="19" fillId="0" borderId="31" xfId="0" applyFont="1" applyBorder="1" applyAlignment="1">
      <alignment vertical="center"/>
    </xf>
    <xf numFmtId="0" fontId="19" fillId="0" borderId="32" xfId="0" applyFont="1" applyFill="1" applyBorder="1" applyAlignment="1">
      <alignment vertical="center" wrapText="1"/>
    </xf>
    <xf numFmtId="190" fontId="12" fillId="6" borderId="28" xfId="1" applyNumberFormat="1" applyFont="1" applyFill="1" applyBorder="1" applyAlignment="1">
      <alignment vertical="center"/>
    </xf>
    <xf numFmtId="191" fontId="12" fillId="0" borderId="28" xfId="0" applyNumberFormat="1" applyFont="1" applyBorder="1" applyAlignment="1">
      <alignment horizontal="left"/>
    </xf>
    <xf numFmtId="187" fontId="12" fillId="9" borderId="29" xfId="2" applyNumberFormat="1" applyFont="1" applyFill="1" applyBorder="1">
      <alignment vertical="center"/>
    </xf>
    <xf numFmtId="2" fontId="12" fillId="8" borderId="29" xfId="2" applyNumberFormat="1" applyFont="1" applyFill="1" applyBorder="1">
      <alignment vertical="center"/>
    </xf>
    <xf numFmtId="187" fontId="12" fillId="13" borderId="29" xfId="2" applyNumberFormat="1" applyFont="1" applyFill="1" applyBorder="1">
      <alignment vertical="center"/>
    </xf>
    <xf numFmtId="187" fontId="12" fillId="8" borderId="29" xfId="2" applyNumberFormat="1" applyFont="1" applyFill="1" applyBorder="1">
      <alignment vertical="center"/>
    </xf>
    <xf numFmtId="187" fontId="12" fillId="0" borderId="29" xfId="2" applyNumberFormat="1" applyFont="1" applyBorder="1">
      <alignment vertical="center"/>
    </xf>
    <xf numFmtId="2" fontId="12" fillId="9" borderId="29" xfId="2" applyNumberFormat="1" applyFont="1" applyFill="1" applyBorder="1">
      <alignment vertical="center"/>
    </xf>
    <xf numFmtId="2" fontId="12" fillId="10" borderId="29" xfId="2" applyNumberFormat="1" applyFont="1" applyFill="1" applyBorder="1">
      <alignment vertical="center"/>
    </xf>
    <xf numFmtId="187" fontId="12" fillId="10" borderId="29" xfId="2" applyNumberFormat="1" applyFont="1" applyFill="1" applyBorder="1">
      <alignment vertical="center"/>
    </xf>
    <xf numFmtId="187" fontId="12" fillId="14" borderId="29" xfId="2" applyNumberFormat="1" applyFont="1" applyFill="1" applyBorder="1">
      <alignment vertical="center"/>
    </xf>
    <xf numFmtId="187" fontId="12" fillId="9" borderId="48" xfId="2" applyNumberFormat="1" applyFont="1" applyFill="1" applyBorder="1">
      <alignment vertical="center"/>
    </xf>
    <xf numFmtId="2" fontId="12" fillId="8" borderId="48" xfId="2" applyNumberFormat="1" applyFont="1" applyFill="1" applyBorder="1">
      <alignment vertical="center"/>
    </xf>
    <xf numFmtId="187" fontId="12" fillId="13" borderId="48" xfId="2" applyNumberFormat="1" applyFont="1" applyFill="1" applyBorder="1">
      <alignment vertical="center"/>
    </xf>
    <xf numFmtId="187" fontId="12" fillId="8" borderId="48" xfId="2" applyNumberFormat="1" applyFont="1" applyFill="1" applyBorder="1">
      <alignment vertical="center"/>
    </xf>
    <xf numFmtId="187" fontId="12" fillId="0" borderId="48" xfId="2" applyNumberFormat="1" applyFont="1" applyBorder="1">
      <alignment vertical="center"/>
    </xf>
    <xf numFmtId="2" fontId="12" fillId="9" borderId="48" xfId="2" applyNumberFormat="1" applyFont="1" applyFill="1" applyBorder="1">
      <alignment vertical="center"/>
    </xf>
    <xf numFmtId="2" fontId="12" fillId="10" borderId="48" xfId="2" applyNumberFormat="1" applyFont="1" applyFill="1" applyBorder="1">
      <alignment vertical="center"/>
    </xf>
    <xf numFmtId="187" fontId="12" fillId="10" borderId="48" xfId="2" applyNumberFormat="1" applyFont="1" applyFill="1" applyBorder="1">
      <alignment vertical="center"/>
    </xf>
    <xf numFmtId="187" fontId="12" fillId="14" borderId="48" xfId="2" applyNumberFormat="1" applyFont="1" applyFill="1" applyBorder="1">
      <alignment vertical="center"/>
    </xf>
    <xf numFmtId="187" fontId="12" fillId="9" borderId="28" xfId="2" applyNumberFormat="1" applyFont="1" applyFill="1" applyBorder="1">
      <alignment vertical="center"/>
    </xf>
    <xf numFmtId="2" fontId="12" fillId="8" borderId="28" xfId="2" applyNumberFormat="1" applyFont="1" applyFill="1" applyBorder="1">
      <alignment vertical="center"/>
    </xf>
    <xf numFmtId="187" fontId="12" fillId="13" borderId="28" xfId="2" applyNumberFormat="1" applyFont="1" applyFill="1" applyBorder="1">
      <alignment vertical="center"/>
    </xf>
    <xf numFmtId="187" fontId="12" fillId="8" borderId="28" xfId="2" applyNumberFormat="1" applyFont="1" applyFill="1" applyBorder="1">
      <alignment vertical="center"/>
    </xf>
    <xf numFmtId="187" fontId="12" fillId="0" borderId="28" xfId="2" applyNumberFormat="1" applyFont="1" applyBorder="1">
      <alignment vertical="center"/>
    </xf>
    <xf numFmtId="2" fontId="12" fillId="9" borderId="28" xfId="2" applyNumberFormat="1" applyFont="1" applyFill="1" applyBorder="1">
      <alignment vertical="center"/>
    </xf>
    <xf numFmtId="2" fontId="12" fillId="10" borderId="28" xfId="2" applyNumberFormat="1" applyFont="1" applyFill="1" applyBorder="1">
      <alignment vertical="center"/>
    </xf>
    <xf numFmtId="187" fontId="12" fillId="10" borderId="28" xfId="2" applyNumberFormat="1" applyFont="1" applyFill="1" applyBorder="1">
      <alignment vertical="center"/>
    </xf>
    <xf numFmtId="187" fontId="12" fillId="14" borderId="28" xfId="2" applyNumberFormat="1" applyFont="1" applyFill="1" applyBorder="1">
      <alignment vertical="center"/>
    </xf>
    <xf numFmtId="0" fontId="12" fillId="0" borderId="50" xfId="2" applyFont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182" fontId="13" fillId="1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4" fillId="0" borderId="28" xfId="2" applyFont="1" applyBorder="1">
      <alignment vertical="center"/>
    </xf>
    <xf numFmtId="0" fontId="17" fillId="8" borderId="31" xfId="0" applyFont="1" applyFill="1" applyBorder="1" applyAlignment="1">
      <alignment vertical="center"/>
    </xf>
    <xf numFmtId="0" fontId="17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/>
    </xf>
    <xf numFmtId="43" fontId="0" fillId="0" borderId="0" xfId="0" applyNumberFormat="1"/>
    <xf numFmtId="192" fontId="0" fillId="0" borderId="0" xfId="0" applyNumberFormat="1"/>
    <xf numFmtId="0" fontId="12" fillId="0" borderId="50" xfId="2" applyFont="1" applyBorder="1" applyAlignment="1">
      <alignment horizontal="center" vertical="center"/>
    </xf>
    <xf numFmtId="187" fontId="12" fillId="0" borderId="53" xfId="2" applyNumberFormat="1" applyFont="1" applyBorder="1">
      <alignment vertical="center"/>
    </xf>
    <xf numFmtId="2" fontId="12" fillId="9" borderId="53" xfId="2" applyNumberFormat="1" applyFont="1" applyFill="1" applyBorder="1">
      <alignment vertical="center"/>
    </xf>
    <xf numFmtId="187" fontId="12" fillId="9" borderId="53" xfId="2" applyNumberFormat="1" applyFont="1" applyFill="1" applyBorder="1">
      <alignment vertical="center"/>
    </xf>
    <xf numFmtId="0" fontId="12" fillId="0" borderId="0" xfId="2" applyFont="1" applyBorder="1" applyAlignment="1">
      <alignment horizontal="center" vertical="center"/>
    </xf>
    <xf numFmtId="187" fontId="12" fillId="9" borderId="65" xfId="2" applyNumberFormat="1" applyFont="1" applyFill="1" applyBorder="1">
      <alignment vertical="center"/>
    </xf>
    <xf numFmtId="187" fontId="12" fillId="9" borderId="66" xfId="2" applyNumberFormat="1" applyFont="1" applyFill="1" applyBorder="1">
      <alignment vertical="center"/>
    </xf>
    <xf numFmtId="2" fontId="12" fillId="8" borderId="66" xfId="2" applyNumberFormat="1" applyFont="1" applyFill="1" applyBorder="1">
      <alignment vertical="center"/>
    </xf>
    <xf numFmtId="187" fontId="12" fillId="13" borderId="66" xfId="2" applyNumberFormat="1" applyFont="1" applyFill="1" applyBorder="1">
      <alignment vertical="center"/>
    </xf>
    <xf numFmtId="187" fontId="12" fillId="8" borderId="66" xfId="2" applyNumberFormat="1" applyFont="1" applyFill="1" applyBorder="1">
      <alignment vertical="center"/>
    </xf>
    <xf numFmtId="187" fontId="12" fillId="0" borderId="66" xfId="2" applyNumberFormat="1" applyFont="1" applyBorder="1">
      <alignment vertical="center"/>
    </xf>
    <xf numFmtId="2" fontId="12" fillId="9" borderId="66" xfId="2" applyNumberFormat="1" applyFont="1" applyFill="1" applyBorder="1">
      <alignment vertical="center"/>
    </xf>
    <xf numFmtId="2" fontId="12" fillId="10" borderId="66" xfId="2" applyNumberFormat="1" applyFont="1" applyFill="1" applyBorder="1">
      <alignment vertical="center"/>
    </xf>
    <xf numFmtId="187" fontId="12" fillId="10" borderId="66" xfId="2" applyNumberFormat="1" applyFont="1" applyFill="1" applyBorder="1">
      <alignment vertical="center"/>
    </xf>
    <xf numFmtId="187" fontId="12" fillId="14" borderId="66" xfId="2" applyNumberFormat="1" applyFont="1" applyFill="1" applyBorder="1">
      <alignment vertical="center"/>
    </xf>
    <xf numFmtId="187" fontId="12" fillId="8" borderId="67" xfId="2" applyNumberFormat="1" applyFont="1" applyFill="1" applyBorder="1">
      <alignment vertical="center"/>
    </xf>
    <xf numFmtId="0" fontId="19" fillId="0" borderId="31" xfId="0" applyFont="1" applyFill="1" applyBorder="1" applyAlignment="1">
      <alignment vertical="center"/>
    </xf>
    <xf numFmtId="22" fontId="17" fillId="0" borderId="31" xfId="0" quotePrefix="1" applyNumberFormat="1" applyFont="1" applyFill="1" applyBorder="1" applyAlignment="1">
      <alignment vertical="center"/>
    </xf>
    <xf numFmtId="0" fontId="14" fillId="0" borderId="5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50" xfId="0" applyFont="1" applyBorder="1" applyAlignment="1">
      <alignment horizontal="left"/>
    </xf>
    <xf numFmtId="0" fontId="12" fillId="11" borderId="28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53" xfId="0" applyFont="1" applyFill="1" applyBorder="1" applyAlignment="1">
      <alignment horizontal="center" vertical="center"/>
    </xf>
    <xf numFmtId="0" fontId="20" fillId="6" borderId="48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23" fillId="6" borderId="48" xfId="0" applyFont="1" applyFill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0" fontId="12" fillId="0" borderId="52" xfId="0" applyFont="1" applyBorder="1" applyAlignment="1">
      <alignment horizontal="left" vertical="center"/>
    </xf>
    <xf numFmtId="0" fontId="12" fillId="0" borderId="51" xfId="0" applyFont="1" applyBorder="1" applyAlignment="1">
      <alignment horizontal="center" vertical="center"/>
    </xf>
    <xf numFmtId="0" fontId="12" fillId="0" borderId="51" xfId="0" applyFont="1" applyBorder="1" applyAlignment="1">
      <alignment horizontal="left" vertical="center"/>
    </xf>
    <xf numFmtId="0" fontId="12" fillId="0" borderId="49" xfId="0" applyFont="1" applyBorder="1" applyAlignment="1">
      <alignment horizontal="left" vertical="center" wrapText="1"/>
    </xf>
    <xf numFmtId="41" fontId="12" fillId="6" borderId="29" xfId="1" applyFont="1" applyFill="1" applyBorder="1" applyAlignment="1">
      <alignment horizontal="center" vertical="center"/>
    </xf>
    <xf numFmtId="41" fontId="12" fillId="6" borderId="53" xfId="1" applyFont="1" applyFill="1" applyBorder="1" applyAlignment="1">
      <alignment horizontal="center" vertical="center"/>
    </xf>
    <xf numFmtId="41" fontId="12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35" xfId="0" applyFont="1" applyFill="1" applyBorder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0" fontId="12" fillId="15" borderId="35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/>
    </xf>
    <xf numFmtId="0" fontId="12" fillId="10" borderId="58" xfId="0" applyFont="1" applyFill="1" applyBorder="1" applyAlignment="1">
      <alignment horizontal="center" vertical="center"/>
    </xf>
    <xf numFmtId="0" fontId="12" fillId="10" borderId="59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left" vertical="center"/>
    </xf>
    <xf numFmtId="0" fontId="12" fillId="8" borderId="54" xfId="0" applyFont="1" applyFill="1" applyBorder="1" applyAlignment="1">
      <alignment horizontal="left" vertical="center"/>
    </xf>
    <xf numFmtId="0" fontId="12" fillId="10" borderId="55" xfId="0" applyFont="1" applyFill="1" applyBorder="1" applyAlignment="1">
      <alignment horizontal="center" vertical="center"/>
    </xf>
    <xf numFmtId="0" fontId="12" fillId="10" borderId="56" xfId="0" applyFont="1" applyFill="1" applyBorder="1" applyAlignment="1">
      <alignment horizontal="center" vertical="center"/>
    </xf>
    <xf numFmtId="0" fontId="12" fillId="10" borderId="57" xfId="0" applyFont="1" applyFill="1" applyBorder="1" applyAlignment="1">
      <alignment horizontal="center" vertical="center"/>
    </xf>
    <xf numFmtId="0" fontId="12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6" borderId="63" xfId="0" applyFont="1" applyFill="1" applyBorder="1" applyAlignment="1">
      <alignment horizontal="center" vertical="center"/>
    </xf>
    <xf numFmtId="0" fontId="11" fillId="6" borderId="64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1553895</xdr:colOff>
      <xdr:row>21</xdr:row>
      <xdr:rowOff>58555</xdr:rowOff>
    </xdr:from>
    <xdr:to>
      <xdr:col>26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1702975</xdr:colOff>
      <xdr:row>21</xdr:row>
      <xdr:rowOff>61441</xdr:rowOff>
    </xdr:from>
    <xdr:to>
      <xdr:col>26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25</xdr:row>
      <xdr:rowOff>58555</xdr:rowOff>
    </xdr:from>
    <xdr:to>
      <xdr:col>26</xdr:col>
      <xdr:colOff>1657845</xdr:colOff>
      <xdr:row>25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1702975</xdr:colOff>
      <xdr:row>25</xdr:row>
      <xdr:rowOff>61441</xdr:rowOff>
    </xdr:from>
    <xdr:to>
      <xdr:col>26</xdr:col>
      <xdr:colOff>1787119</xdr:colOff>
      <xdr:row>25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1830839</xdr:colOff>
      <xdr:row>25</xdr:row>
      <xdr:rowOff>54807</xdr:rowOff>
    </xdr:from>
    <xdr:to>
      <xdr:col>26</xdr:col>
      <xdr:colOff>1919896</xdr:colOff>
      <xdr:row>25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1962774</xdr:colOff>
      <xdr:row>25</xdr:row>
      <xdr:rowOff>57693</xdr:rowOff>
    </xdr:from>
    <xdr:to>
      <xdr:col>26</xdr:col>
      <xdr:colOff>2046918</xdr:colOff>
      <xdr:row>25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1553707</xdr:colOff>
      <xdr:row>29</xdr:row>
      <xdr:rowOff>23231</xdr:rowOff>
    </xdr:from>
    <xdr:to>
      <xdr:col>26</xdr:col>
      <xdr:colOff>1633924</xdr:colOff>
      <xdr:row>29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1673745</xdr:colOff>
      <xdr:row>29</xdr:row>
      <xdr:rowOff>23231</xdr:rowOff>
    </xdr:from>
    <xdr:to>
      <xdr:col>26</xdr:col>
      <xdr:colOff>1744825</xdr:colOff>
      <xdr:row>29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1673532</xdr:colOff>
      <xdr:row>29</xdr:row>
      <xdr:rowOff>127780</xdr:rowOff>
    </xdr:from>
    <xdr:to>
      <xdr:col>26</xdr:col>
      <xdr:colOff>1748853</xdr:colOff>
      <xdr:row>29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1560335</xdr:colOff>
      <xdr:row>29</xdr:row>
      <xdr:rowOff>128635</xdr:rowOff>
    </xdr:from>
    <xdr:to>
      <xdr:col>26</xdr:col>
      <xdr:colOff>1633687</xdr:colOff>
      <xdr:row>29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21</xdr:row>
      <xdr:rowOff>58555</xdr:rowOff>
    </xdr:from>
    <xdr:to>
      <xdr:col>26</xdr:col>
      <xdr:colOff>1657845</xdr:colOff>
      <xdr:row>21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1702976</xdr:colOff>
      <xdr:row>21</xdr:row>
      <xdr:rowOff>55621</xdr:rowOff>
    </xdr:from>
    <xdr:to>
      <xdr:col>26</xdr:col>
      <xdr:colOff>1788955</xdr:colOff>
      <xdr:row>21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25</xdr:row>
      <xdr:rowOff>56203</xdr:rowOff>
    </xdr:from>
    <xdr:to>
      <xdr:col>26</xdr:col>
      <xdr:colOff>1657845</xdr:colOff>
      <xdr:row>25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1697918</xdr:colOff>
      <xdr:row>25</xdr:row>
      <xdr:rowOff>54429</xdr:rowOff>
    </xdr:from>
    <xdr:to>
      <xdr:col>26</xdr:col>
      <xdr:colOff>1789132</xdr:colOff>
      <xdr:row>25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1830839</xdr:colOff>
      <xdr:row>25</xdr:row>
      <xdr:rowOff>53245</xdr:rowOff>
    </xdr:from>
    <xdr:to>
      <xdr:col>26</xdr:col>
      <xdr:colOff>1919896</xdr:colOff>
      <xdr:row>25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1955822</xdr:colOff>
      <xdr:row>25</xdr:row>
      <xdr:rowOff>54428</xdr:rowOff>
    </xdr:from>
    <xdr:to>
      <xdr:col>26</xdr:col>
      <xdr:colOff>2054405</xdr:colOff>
      <xdr:row>25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1556969</xdr:colOff>
      <xdr:row>29</xdr:row>
      <xdr:rowOff>23664</xdr:rowOff>
    </xdr:from>
    <xdr:to>
      <xdr:col>26</xdr:col>
      <xdr:colOff>1638944</xdr:colOff>
      <xdr:row>29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1673745</xdr:colOff>
      <xdr:row>29</xdr:row>
      <xdr:rowOff>23230</xdr:rowOff>
    </xdr:from>
    <xdr:to>
      <xdr:col>26</xdr:col>
      <xdr:colOff>1747883</xdr:colOff>
      <xdr:row>29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1679795</xdr:colOff>
      <xdr:row>29</xdr:row>
      <xdr:rowOff>127780</xdr:rowOff>
    </xdr:from>
    <xdr:to>
      <xdr:col>26</xdr:col>
      <xdr:colOff>1754186</xdr:colOff>
      <xdr:row>29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1560335</xdr:colOff>
      <xdr:row>29</xdr:row>
      <xdr:rowOff>131859</xdr:rowOff>
    </xdr:from>
    <xdr:to>
      <xdr:col>26</xdr:col>
      <xdr:colOff>1633687</xdr:colOff>
      <xdr:row>29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D94"/>
  <sheetViews>
    <sheetView tabSelected="1" zoomScale="85" zoomScaleNormal="85" workbookViewId="0">
      <selection activeCell="M26" sqref="M26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16" style="1" hidden="1" customWidth="1"/>
    <col min="4" max="4" width="7.296875" style="1" customWidth="1"/>
    <col min="5" max="9" width="7.3984375" style="1" customWidth="1"/>
    <col min="10" max="10" width="7.296875" style="1" customWidth="1"/>
    <col min="11" max="11" width="6.296875" style="1" customWidth="1"/>
    <col min="12" max="12" width="8.19921875" style="1" bestFit="1" customWidth="1"/>
    <col min="13" max="13" width="56.59765625" style="1" customWidth="1"/>
    <col min="14" max="14" width="5.3984375" style="1" customWidth="1"/>
    <col min="15" max="15" width="15.796875" style="1" bestFit="1" customWidth="1"/>
    <col min="16" max="16" width="12.8984375" style="1" bestFit="1" customWidth="1"/>
    <col min="17" max="17" width="12.796875" style="1" bestFit="1" customWidth="1"/>
    <col min="18" max="18" width="20.59765625" style="1" customWidth="1"/>
    <col min="19" max="19" width="20.69921875" style="1" bestFit="1" customWidth="1"/>
    <col min="20" max="21" width="8.8984375" style="1"/>
    <col min="22" max="22" width="4.69921875" style="1" customWidth="1"/>
    <col min="23" max="23" width="17.59765625" style="1" bestFit="1" customWidth="1"/>
    <col min="24" max="24" width="8.8984375" style="1"/>
    <col min="25" max="25" width="10.796875" style="1" bestFit="1" customWidth="1"/>
    <col min="26" max="26" width="4.19921875" style="1" customWidth="1"/>
    <col min="27" max="27" width="30" style="1" customWidth="1"/>
    <col min="28" max="16384" width="8.8984375" style="1"/>
  </cols>
  <sheetData>
    <row r="1" spans="2:29" ht="19.2" x14ac:dyDescent="0.25">
      <c r="B1" s="124" t="s">
        <v>312</v>
      </c>
    </row>
    <row r="2" spans="2:29" ht="18" thickBot="1" x14ac:dyDescent="0.3">
      <c r="B2" s="112" t="s">
        <v>240</v>
      </c>
      <c r="C2" s="252" t="s">
        <v>662</v>
      </c>
      <c r="D2" s="252"/>
      <c r="E2" s="252"/>
      <c r="F2" s="256" t="s">
        <v>663</v>
      </c>
      <c r="G2" s="252"/>
      <c r="H2" s="252"/>
      <c r="I2" s="252"/>
      <c r="J2" s="242"/>
      <c r="K2" s="113"/>
      <c r="L2" s="113" t="s">
        <v>295</v>
      </c>
      <c r="M2" s="113" t="s">
        <v>245</v>
      </c>
    </row>
    <row r="3" spans="2:29" ht="17.399999999999999" x14ac:dyDescent="0.25">
      <c r="B3" s="114" t="s">
        <v>18</v>
      </c>
      <c r="C3" s="233">
        <v>50</v>
      </c>
      <c r="D3" s="233"/>
      <c r="E3" s="215">
        <v>50</v>
      </c>
      <c r="F3" s="257">
        <v>50</v>
      </c>
      <c r="G3" s="224">
        <v>50</v>
      </c>
      <c r="H3" s="233">
        <v>50</v>
      </c>
      <c r="I3" s="233">
        <v>50</v>
      </c>
      <c r="J3" s="224"/>
      <c r="K3" s="114" t="s">
        <v>1</v>
      </c>
      <c r="L3" s="115">
        <v>1</v>
      </c>
      <c r="M3" s="116" t="s">
        <v>243</v>
      </c>
      <c r="O3" s="270" t="s">
        <v>281</v>
      </c>
      <c r="P3" s="270"/>
      <c r="Q3" s="270"/>
      <c r="R3" s="77"/>
      <c r="S3" s="271" t="s">
        <v>241</v>
      </c>
      <c r="T3" s="271"/>
      <c r="U3" s="271"/>
      <c r="V3" s="77" t="s">
        <v>529</v>
      </c>
      <c r="W3" s="271" t="s">
        <v>514</v>
      </c>
      <c r="X3" s="271"/>
      <c r="Y3" s="271"/>
      <c r="Z3" s="77"/>
      <c r="AA3" s="270" t="s">
        <v>261</v>
      </c>
      <c r="AB3" s="270"/>
      <c r="AC3" s="270"/>
    </row>
    <row r="4" spans="2:29" ht="17.399999999999999" x14ac:dyDescent="0.25">
      <c r="B4" s="114" t="s">
        <v>525</v>
      </c>
      <c r="C4" s="233">
        <v>380</v>
      </c>
      <c r="D4" s="233"/>
      <c r="E4" s="215">
        <v>380</v>
      </c>
      <c r="F4" s="258">
        <v>380</v>
      </c>
      <c r="G4" s="224">
        <v>380</v>
      </c>
      <c r="H4" s="233">
        <v>380</v>
      </c>
      <c r="I4" s="233">
        <v>380</v>
      </c>
      <c r="J4" s="224"/>
      <c r="K4" s="114" t="s">
        <v>0</v>
      </c>
      <c r="L4" s="115">
        <v>2</v>
      </c>
      <c r="M4" s="116" t="s">
        <v>244</v>
      </c>
      <c r="O4" s="69" t="s">
        <v>10</v>
      </c>
      <c r="P4" s="71">
        <v>5</v>
      </c>
      <c r="Q4" s="69" t="s">
        <v>11</v>
      </c>
      <c r="R4" s="77"/>
      <c r="S4" s="69" t="s">
        <v>20</v>
      </c>
      <c r="T4" s="71">
        <v>500</v>
      </c>
      <c r="U4" s="69" t="s">
        <v>0</v>
      </c>
      <c r="V4" s="77"/>
      <c r="W4" s="69" t="s">
        <v>212</v>
      </c>
      <c r="X4" s="67" t="s">
        <v>213</v>
      </c>
      <c r="Y4" s="67"/>
      <c r="Z4" s="77"/>
      <c r="AA4" s="70" t="s">
        <v>106</v>
      </c>
      <c r="AB4" s="71">
        <v>200</v>
      </c>
      <c r="AC4" s="70" t="s">
        <v>15</v>
      </c>
    </row>
    <row r="5" spans="2:29" ht="17.399999999999999" x14ac:dyDescent="0.25">
      <c r="B5" s="114" t="s">
        <v>73</v>
      </c>
      <c r="C5" s="234">
        <v>0.9</v>
      </c>
      <c r="D5" s="234"/>
      <c r="E5" s="216">
        <v>0.9</v>
      </c>
      <c r="F5" s="259">
        <v>0.9</v>
      </c>
      <c r="G5" s="225">
        <v>0.9</v>
      </c>
      <c r="H5" s="234">
        <v>0.9</v>
      </c>
      <c r="I5" s="234">
        <v>0.9</v>
      </c>
      <c r="J5" s="225"/>
      <c r="K5" s="114"/>
      <c r="L5" s="115"/>
      <c r="M5" s="114" t="s">
        <v>503</v>
      </c>
      <c r="O5" s="69" t="s">
        <v>12</v>
      </c>
      <c r="P5" s="71">
        <v>35</v>
      </c>
      <c r="Q5" s="69" t="s">
        <v>13</v>
      </c>
      <c r="R5" s="77"/>
      <c r="S5" s="69" t="s">
        <v>21</v>
      </c>
      <c r="T5" s="71">
        <v>0.45</v>
      </c>
      <c r="U5" s="69" t="s">
        <v>19</v>
      </c>
      <c r="V5" s="77"/>
      <c r="W5" s="76" t="s">
        <v>214</v>
      </c>
      <c r="X5" s="78">
        <v>1.75</v>
      </c>
      <c r="Y5" s="76" t="s">
        <v>215</v>
      </c>
      <c r="Z5" s="77"/>
      <c r="AA5" s="70" t="s">
        <v>107</v>
      </c>
      <c r="AB5" s="71">
        <v>7200</v>
      </c>
      <c r="AC5" s="70" t="s">
        <v>2</v>
      </c>
    </row>
    <row r="6" spans="2:29" ht="17.399999999999999" x14ac:dyDescent="0.25">
      <c r="B6" s="114" t="s">
        <v>64</v>
      </c>
      <c r="C6" s="235">
        <f t="shared" ref="C6" si="0">ROUND(C3*1000/(C4*0.9)/(3^0.5)/C5,1)</f>
        <v>93.8</v>
      </c>
      <c r="D6" s="235"/>
      <c r="E6" s="217">
        <f t="shared" ref="E6" si="1">ROUND(E3*1000/(E4*0.9)/(3^0.5)/E5,1)</f>
        <v>93.8</v>
      </c>
      <c r="F6" s="260">
        <f t="shared" ref="F6" si="2">ROUND(F3*1000/(F4*0.9)/(3^0.5)/F5,1)</f>
        <v>93.8</v>
      </c>
      <c r="G6" s="226">
        <f t="shared" ref="G6:H6" si="3">ROUND(G3*1000/(G4*0.9)/(3^0.5)/G5,1)</f>
        <v>93.8</v>
      </c>
      <c r="H6" s="235">
        <f t="shared" si="3"/>
        <v>93.8</v>
      </c>
      <c r="I6" s="235">
        <f t="shared" ref="I6" si="4">ROUND(I3*1000/(I4*0.9)/(3^0.5)/I5,1)</f>
        <v>93.8</v>
      </c>
      <c r="J6" s="226"/>
      <c r="K6" s="114" t="s">
        <v>2</v>
      </c>
      <c r="L6" s="115"/>
      <c r="M6" s="114" t="s">
        <v>293</v>
      </c>
      <c r="O6" s="69" t="s">
        <v>14</v>
      </c>
      <c r="P6" s="71">
        <v>70</v>
      </c>
      <c r="Q6" s="69" t="s">
        <v>13</v>
      </c>
      <c r="R6" s="77" t="s">
        <v>623</v>
      </c>
      <c r="S6" s="69" t="s">
        <v>22</v>
      </c>
      <c r="T6" s="71">
        <v>48</v>
      </c>
      <c r="U6" s="69" t="s">
        <v>23</v>
      </c>
      <c r="V6" s="77"/>
      <c r="W6" s="76" t="s">
        <v>216</v>
      </c>
      <c r="X6" s="79">
        <v>3.8999999999999998E-3</v>
      </c>
      <c r="Y6" s="76" t="s">
        <v>217</v>
      </c>
      <c r="Z6" s="77"/>
      <c r="AA6" s="70" t="s">
        <v>108</v>
      </c>
      <c r="AB6" s="71">
        <v>12800</v>
      </c>
      <c r="AC6" s="70" t="s">
        <v>28</v>
      </c>
    </row>
    <row r="7" spans="2:29" ht="17.399999999999999" x14ac:dyDescent="0.25">
      <c r="B7" s="114" t="s">
        <v>51</v>
      </c>
      <c r="C7" s="236">
        <v>2</v>
      </c>
      <c r="D7" s="236"/>
      <c r="E7" s="218">
        <v>2</v>
      </c>
      <c r="F7" s="261">
        <v>2</v>
      </c>
      <c r="G7" s="227">
        <v>2</v>
      </c>
      <c r="H7" s="236">
        <v>2</v>
      </c>
      <c r="I7" s="236">
        <v>2</v>
      </c>
      <c r="J7" s="227"/>
      <c r="K7" s="114" t="s">
        <v>74</v>
      </c>
      <c r="L7" s="115"/>
      <c r="M7" s="114"/>
      <c r="O7" s="69" t="s">
        <v>97</v>
      </c>
      <c r="P7" s="72">
        <f>(P5*P4)*(P5*P4)/(101.6*(4.5*P5+10*P6))</f>
        <v>0.35151856017997751</v>
      </c>
      <c r="Q7" s="69" t="s">
        <v>15</v>
      </c>
      <c r="R7" s="77"/>
      <c r="S7" s="69" t="s">
        <v>24</v>
      </c>
      <c r="T7" s="71">
        <v>7000</v>
      </c>
      <c r="U7" s="69" t="s">
        <v>25</v>
      </c>
      <c r="V7" s="77"/>
      <c r="W7" s="76" t="s">
        <v>218</v>
      </c>
      <c r="X7" s="80">
        <v>45</v>
      </c>
      <c r="Y7" s="76" t="s">
        <v>48</v>
      </c>
      <c r="Z7" s="77"/>
      <c r="AA7" s="70" t="s">
        <v>285</v>
      </c>
      <c r="AB7" s="71">
        <v>645</v>
      </c>
      <c r="AC7" s="70" t="s">
        <v>0</v>
      </c>
    </row>
    <row r="8" spans="2:29" ht="17.399999999999999" x14ac:dyDescent="0.25">
      <c r="B8" s="114" t="s">
        <v>65</v>
      </c>
      <c r="C8" s="236">
        <f t="shared" ref="C8" si="5">ROUND(C6/C7,0)</f>
        <v>47</v>
      </c>
      <c r="D8" s="236"/>
      <c r="E8" s="218">
        <f t="shared" ref="E8" si="6">ROUND(E6/E7,0)</f>
        <v>47</v>
      </c>
      <c r="F8" s="261">
        <f t="shared" ref="F8" si="7">ROUND(F6/F7,0)</f>
        <v>47</v>
      </c>
      <c r="G8" s="227">
        <f t="shared" ref="G8:H8" si="8">ROUND(G6/G7,0)</f>
        <v>47</v>
      </c>
      <c r="H8" s="236">
        <f t="shared" si="8"/>
        <v>47</v>
      </c>
      <c r="I8" s="236">
        <f t="shared" ref="I8" si="9">ROUND(I6/I7,0)</f>
        <v>47</v>
      </c>
      <c r="J8" s="227"/>
      <c r="K8" s="114" t="s">
        <v>3</v>
      </c>
      <c r="L8" s="115"/>
      <c r="M8" s="114"/>
      <c r="O8" s="69" t="s">
        <v>98</v>
      </c>
      <c r="P8" s="71">
        <v>80</v>
      </c>
      <c r="Q8" s="69" t="s">
        <v>7</v>
      </c>
      <c r="R8" s="77"/>
      <c r="S8" s="69" t="s">
        <v>26</v>
      </c>
      <c r="T8" s="88">
        <f>(5000*T4)/(T5*T6*T7)</f>
        <v>16.534391534391535</v>
      </c>
      <c r="U8" s="69" t="s">
        <v>242</v>
      </c>
      <c r="V8" s="77"/>
      <c r="W8" s="76" t="s">
        <v>219</v>
      </c>
      <c r="X8" s="79">
        <f>X5*(1+X6*(X7-20))</f>
        <v>1.9206249999999998</v>
      </c>
      <c r="Y8" s="76" t="s">
        <v>215</v>
      </c>
      <c r="Z8" s="77"/>
      <c r="AA8" s="70" t="s">
        <v>284</v>
      </c>
      <c r="AB8" s="88">
        <f>SQRT(AB7^2+AB4*AB5^2/AB6)</f>
        <v>1107.2601320376345</v>
      </c>
      <c r="AC8" s="70" t="s">
        <v>0</v>
      </c>
    </row>
    <row r="9" spans="2:29" ht="17.399999999999999" x14ac:dyDescent="0.25">
      <c r="B9" s="114"/>
      <c r="C9" s="237"/>
      <c r="D9" s="237"/>
      <c r="E9" s="219"/>
      <c r="F9" s="262"/>
      <c r="G9" s="228"/>
      <c r="H9" s="237"/>
      <c r="I9" s="237"/>
      <c r="J9" s="228"/>
      <c r="K9" s="114"/>
      <c r="L9" s="115"/>
      <c r="M9" s="114"/>
      <c r="O9" s="69" t="s">
        <v>95</v>
      </c>
      <c r="P9" s="72">
        <f>P7*P8/100</f>
        <v>0.28121484814398201</v>
      </c>
      <c r="Q9" s="69" t="s">
        <v>15</v>
      </c>
      <c r="R9" s="77">
        <f>580/4</f>
        <v>145</v>
      </c>
      <c r="S9" s="77"/>
      <c r="T9" s="77"/>
      <c r="U9" s="77"/>
      <c r="V9" s="77"/>
      <c r="W9" s="76" t="s">
        <v>220</v>
      </c>
      <c r="X9" s="81">
        <f>1/(X8/100000000)</f>
        <v>52066384.64041654</v>
      </c>
      <c r="Y9" s="76" t="s">
        <v>221</v>
      </c>
      <c r="Z9" s="77"/>
      <c r="AA9" s="77"/>
      <c r="AB9" s="77"/>
      <c r="AC9" s="77"/>
    </row>
    <row r="10" spans="2:29" ht="17.399999999999999" x14ac:dyDescent="0.25">
      <c r="B10" s="114" t="s">
        <v>16</v>
      </c>
      <c r="C10" s="235">
        <f t="shared" ref="C10" si="10">ROUND(C4*2^0.5*0.93,1)</f>
        <v>499.8</v>
      </c>
      <c r="D10" s="235"/>
      <c r="E10" s="217">
        <f t="shared" ref="E10" si="11">ROUND(E4*2^0.5*0.93,1)</f>
        <v>499.8</v>
      </c>
      <c r="F10" s="260">
        <f t="shared" ref="F10" si="12">ROUND(F4*2^0.5*0.93,1)</f>
        <v>499.8</v>
      </c>
      <c r="G10" s="226">
        <f t="shared" ref="G10:H10" si="13">ROUND(G4*2^0.5*0.93,1)</f>
        <v>499.8</v>
      </c>
      <c r="H10" s="235">
        <f t="shared" si="13"/>
        <v>499.8</v>
      </c>
      <c r="I10" s="235">
        <f t="shared" ref="I10" si="14">ROUND(I4*2^0.5*0.93,1)</f>
        <v>499.8</v>
      </c>
      <c r="J10" s="226"/>
      <c r="K10" s="114" t="s">
        <v>0</v>
      </c>
      <c r="L10" s="115"/>
      <c r="M10" s="114" t="s">
        <v>292</v>
      </c>
      <c r="O10" s="70" t="s">
        <v>94</v>
      </c>
      <c r="P10" s="71">
        <v>0.2</v>
      </c>
      <c r="Q10" s="69" t="s">
        <v>15</v>
      </c>
      <c r="R10" s="77"/>
      <c r="S10" s="271" t="s">
        <v>527</v>
      </c>
      <c r="T10" s="271"/>
      <c r="U10" s="271"/>
      <c r="V10" s="77"/>
      <c r="W10" s="76" t="s">
        <v>222</v>
      </c>
      <c r="X10" s="67">
        <v>1</v>
      </c>
      <c r="Y10" s="76" t="s">
        <v>223</v>
      </c>
      <c r="Z10" s="77"/>
      <c r="AA10" s="270" t="s">
        <v>271</v>
      </c>
      <c r="AB10" s="270"/>
      <c r="AC10" s="270"/>
    </row>
    <row r="11" spans="2:29" ht="17.399999999999999" x14ac:dyDescent="0.25">
      <c r="B11" s="114" t="s">
        <v>17</v>
      </c>
      <c r="C11" s="235">
        <f t="shared" ref="C11" si="15">ROUND(C3*1000/C10,1)</f>
        <v>100</v>
      </c>
      <c r="D11" s="235"/>
      <c r="E11" s="217">
        <f t="shared" ref="E11" si="16">ROUND(E3*1000/E10,1)</f>
        <v>100</v>
      </c>
      <c r="F11" s="260">
        <f t="shared" ref="F11" si="17">ROUND(F3*1000/F10,1)</f>
        <v>100</v>
      </c>
      <c r="G11" s="226">
        <f t="shared" ref="G11:H11" si="18">ROUND(G3*1000/G10,1)</f>
        <v>100</v>
      </c>
      <c r="H11" s="235">
        <f t="shared" si="18"/>
        <v>100</v>
      </c>
      <c r="I11" s="235">
        <f t="shared" ref="I11" si="19">ROUND(I3*1000/I10,1)</f>
        <v>100</v>
      </c>
      <c r="J11" s="226"/>
      <c r="K11" s="114" t="s">
        <v>2</v>
      </c>
      <c r="L11" s="115"/>
      <c r="M11" s="114" t="s">
        <v>294</v>
      </c>
      <c r="O11" s="70" t="s">
        <v>282</v>
      </c>
      <c r="P11" s="71">
        <v>1</v>
      </c>
      <c r="Q11" s="69" t="s">
        <v>42</v>
      </c>
      <c r="R11" s="77">
        <f>3.66*2</f>
        <v>7.32</v>
      </c>
      <c r="S11" s="69" t="s">
        <v>27</v>
      </c>
      <c r="T11" s="71">
        <v>0.52800000000000002</v>
      </c>
      <c r="U11" s="69" t="s">
        <v>28</v>
      </c>
      <c r="V11" s="77"/>
      <c r="W11" s="76" t="s">
        <v>37</v>
      </c>
      <c r="X11" s="82">
        <v>35000</v>
      </c>
      <c r="Y11" s="76" t="s">
        <v>224</v>
      </c>
      <c r="Z11" s="77"/>
      <c r="AA11" s="69" t="s">
        <v>108</v>
      </c>
      <c r="AB11" s="71">
        <v>9284</v>
      </c>
      <c r="AC11" s="69" t="s">
        <v>28</v>
      </c>
    </row>
    <row r="12" spans="2:29" ht="17.399999999999999" x14ac:dyDescent="0.25">
      <c r="B12" s="114"/>
      <c r="C12" s="237"/>
      <c r="D12" s="237"/>
      <c r="E12" s="219"/>
      <c r="F12" s="262"/>
      <c r="G12" s="228"/>
      <c r="H12" s="237"/>
      <c r="I12" s="237"/>
      <c r="J12" s="228"/>
      <c r="K12" s="114"/>
      <c r="L12" s="115"/>
      <c r="M12" s="114"/>
      <c r="O12" s="70" t="s">
        <v>96</v>
      </c>
      <c r="P12" s="71">
        <v>1</v>
      </c>
      <c r="Q12" s="69" t="s">
        <v>66</v>
      </c>
      <c r="R12" s="77"/>
      <c r="S12" s="69" t="s">
        <v>29</v>
      </c>
      <c r="T12" s="71">
        <v>0.27</v>
      </c>
      <c r="U12" s="69" t="s">
        <v>15</v>
      </c>
      <c r="V12" s="77"/>
      <c r="W12" s="76" t="s">
        <v>254</v>
      </c>
      <c r="X12" s="95">
        <f>503.3*SQRT((X8/100000000)/(X10*X11))*1000</f>
        <v>0.37283287259508113</v>
      </c>
      <c r="Y12" s="76" t="s">
        <v>225</v>
      </c>
      <c r="Z12" s="77"/>
      <c r="AA12" s="69" t="s">
        <v>110</v>
      </c>
      <c r="AB12" s="71">
        <v>675</v>
      </c>
      <c r="AC12" s="69" t="s">
        <v>0</v>
      </c>
    </row>
    <row r="13" spans="2:29" ht="17.399999999999999" x14ac:dyDescent="0.25">
      <c r="B13" s="112" t="s">
        <v>239</v>
      </c>
      <c r="C13" s="237"/>
      <c r="D13" s="237"/>
      <c r="E13" s="219"/>
      <c r="F13" s="262"/>
      <c r="G13" s="228"/>
      <c r="H13" s="237"/>
      <c r="I13" s="237"/>
      <c r="J13" s="237"/>
      <c r="K13" s="114"/>
      <c r="L13" s="115"/>
      <c r="M13" s="114"/>
      <c r="O13" s="70" t="s">
        <v>99</v>
      </c>
      <c r="P13" s="83">
        <v>1</v>
      </c>
      <c r="Q13" s="69" t="s">
        <v>67</v>
      </c>
      <c r="R13" s="77"/>
      <c r="S13" s="69" t="s">
        <v>30</v>
      </c>
      <c r="T13" s="88">
        <f>1/(2*3.14*SQRT((T11/1000000)*(T12/1000000)))</f>
        <v>421736.81406829093</v>
      </c>
      <c r="U13" s="69" t="s">
        <v>31</v>
      </c>
      <c r="V13" s="77"/>
      <c r="W13" s="76" t="s">
        <v>255</v>
      </c>
      <c r="X13" s="89">
        <v>6126</v>
      </c>
      <c r="Y13" s="76" t="s">
        <v>225</v>
      </c>
      <c r="Z13" s="77"/>
      <c r="AA13" s="69" t="s">
        <v>107</v>
      </c>
      <c r="AB13" s="71">
        <v>4300</v>
      </c>
      <c r="AC13" s="69" t="s">
        <v>2</v>
      </c>
    </row>
    <row r="14" spans="2:29" ht="17.399999999999999" x14ac:dyDescent="0.25">
      <c r="B14" s="114" t="s">
        <v>75</v>
      </c>
      <c r="C14" s="220">
        <f t="shared" ref="C14" si="20">C15+C16</f>
        <v>1.72</v>
      </c>
      <c r="D14" s="220"/>
      <c r="E14" s="220">
        <f t="shared" ref="E14" si="21">E15+E16</f>
        <v>1.72</v>
      </c>
      <c r="F14" s="263">
        <f t="shared" ref="F14" si="22">F15+F16</f>
        <v>1.72</v>
      </c>
      <c r="G14" s="254">
        <f t="shared" ref="G14:H14" si="23">G15+G16</f>
        <v>1.72</v>
      </c>
      <c r="H14" s="220">
        <f t="shared" si="23"/>
        <v>1.72</v>
      </c>
      <c r="I14" s="220">
        <f t="shared" ref="I14" si="24">I15+I16</f>
        <v>1.72</v>
      </c>
      <c r="J14" s="238"/>
      <c r="K14" s="114" t="s">
        <v>15</v>
      </c>
      <c r="L14" s="115">
        <v>3</v>
      </c>
      <c r="M14" s="116" t="s">
        <v>289</v>
      </c>
      <c r="O14" s="70" t="s">
        <v>283</v>
      </c>
      <c r="P14" s="94">
        <f>P9/P12*P13*P11^2+P10</f>
        <v>0.48121484814398202</v>
      </c>
      <c r="Q14" s="69" t="s">
        <v>15</v>
      </c>
      <c r="R14" s="77"/>
      <c r="S14" s="77"/>
      <c r="T14" s="77"/>
      <c r="U14" s="77"/>
      <c r="V14" s="77"/>
      <c r="W14" s="76" t="s">
        <v>280</v>
      </c>
      <c r="X14" s="89">
        <v>5</v>
      </c>
      <c r="Y14" s="76" t="s">
        <v>225</v>
      </c>
      <c r="Z14" s="77"/>
      <c r="AA14" s="69" t="s">
        <v>112</v>
      </c>
      <c r="AB14" s="71">
        <v>800</v>
      </c>
      <c r="AC14" s="69" t="s">
        <v>25</v>
      </c>
    </row>
    <row r="15" spans="2:29" ht="17.399999999999999" x14ac:dyDescent="0.25">
      <c r="B15" s="246" t="s">
        <v>628</v>
      </c>
      <c r="C15" s="220">
        <v>1</v>
      </c>
      <c r="D15" s="220"/>
      <c r="E15" s="220">
        <v>1</v>
      </c>
      <c r="F15" s="263">
        <v>1</v>
      </c>
      <c r="G15" s="254">
        <v>1</v>
      </c>
      <c r="H15" s="220">
        <v>1</v>
      </c>
      <c r="I15" s="220">
        <v>1</v>
      </c>
      <c r="J15" s="238"/>
      <c r="K15" s="114"/>
      <c r="L15" s="115"/>
      <c r="M15" s="116"/>
      <c r="O15" s="243"/>
      <c r="P15" s="244"/>
      <c r="Q15" s="245"/>
      <c r="R15" s="77"/>
      <c r="S15" s="77"/>
      <c r="T15" s="77"/>
      <c r="U15" s="77"/>
      <c r="V15" s="77"/>
      <c r="W15" s="76"/>
      <c r="X15" s="89"/>
      <c r="Y15" s="76"/>
      <c r="Z15" s="77"/>
      <c r="AA15" s="69"/>
      <c r="AB15" s="71"/>
      <c r="AC15" s="69"/>
    </row>
    <row r="16" spans="2:29" ht="17.399999999999999" x14ac:dyDescent="0.25">
      <c r="B16" s="246" t="s">
        <v>627</v>
      </c>
      <c r="C16" s="220">
        <v>0.72</v>
      </c>
      <c r="D16" s="220"/>
      <c r="E16" s="220">
        <v>0.72</v>
      </c>
      <c r="F16" s="263">
        <v>0.72</v>
      </c>
      <c r="G16" s="254">
        <v>0.72</v>
      </c>
      <c r="H16" s="220">
        <v>0.72</v>
      </c>
      <c r="I16" s="220">
        <v>0.72</v>
      </c>
      <c r="J16" s="238"/>
      <c r="K16" s="114"/>
      <c r="L16" s="115"/>
      <c r="M16" s="116"/>
      <c r="O16" s="243"/>
      <c r="P16" s="244"/>
      <c r="Q16" s="245"/>
      <c r="R16" s="77"/>
      <c r="S16" s="77"/>
      <c r="T16" s="77"/>
      <c r="U16" s="77"/>
      <c r="V16" s="77"/>
      <c r="W16" s="76"/>
      <c r="X16" s="89"/>
      <c r="Y16" s="76"/>
      <c r="Z16" s="77"/>
      <c r="AA16" s="69"/>
      <c r="AB16" s="71"/>
      <c r="AC16" s="69"/>
    </row>
    <row r="17" spans="2:29" ht="17.399999999999999" x14ac:dyDescent="0.25">
      <c r="B17" s="114" t="s">
        <v>76</v>
      </c>
      <c r="C17" s="215">
        <v>296</v>
      </c>
      <c r="D17" s="215"/>
      <c r="E17" s="215">
        <v>296</v>
      </c>
      <c r="F17" s="258">
        <v>296</v>
      </c>
      <c r="G17" s="255">
        <v>296</v>
      </c>
      <c r="H17" s="215">
        <v>296</v>
      </c>
      <c r="I17" s="215">
        <v>296</v>
      </c>
      <c r="J17" s="233"/>
      <c r="K17" s="114" t="s">
        <v>28</v>
      </c>
      <c r="L17" s="115">
        <v>4</v>
      </c>
      <c r="M17" s="116" t="s">
        <v>291</v>
      </c>
      <c r="N17" s="2"/>
      <c r="O17" s="77"/>
      <c r="P17" s="77"/>
      <c r="Q17" s="77"/>
      <c r="R17" s="77"/>
      <c r="S17" s="271" t="s">
        <v>248</v>
      </c>
      <c r="T17" s="271"/>
      <c r="U17" s="271"/>
      <c r="V17" s="77"/>
      <c r="W17" s="76" t="s">
        <v>278</v>
      </c>
      <c r="X17" s="90">
        <f>MIN(X12,X14)</f>
        <v>0.37283287259508113</v>
      </c>
      <c r="Y17" s="76" t="s">
        <v>225</v>
      </c>
      <c r="Z17" s="77"/>
      <c r="AA17" s="69" t="s">
        <v>113</v>
      </c>
      <c r="AB17" s="72">
        <f>(1.414*AB13*0.421)/(2*3.14159*AB14*AB12*2*AB11*0.000001)*2*100</f>
        <v>8.1262759844751162</v>
      </c>
      <c r="AC17" s="69" t="s">
        <v>7</v>
      </c>
    </row>
    <row r="18" spans="2:29" ht="17.399999999999999" x14ac:dyDescent="0.25">
      <c r="B18" s="114" t="s">
        <v>77</v>
      </c>
      <c r="C18" s="235">
        <f t="shared" ref="C18" si="25">1000/(2*PI()*(C14*C17)^0.5)</f>
        <v>7.053587410798154</v>
      </c>
      <c r="D18" s="235"/>
      <c r="E18" s="217">
        <f t="shared" ref="E18" si="26">1000/(2*PI()*(E14*E17)^0.5)</f>
        <v>7.053587410798154</v>
      </c>
      <c r="F18" s="260">
        <f t="shared" ref="F18" si="27">1000/(2*PI()*(F14*F17)^0.5)</f>
        <v>7.053587410798154</v>
      </c>
      <c r="G18" s="226">
        <f t="shared" ref="G18:H18" si="28">1000/(2*PI()*(G14*G17)^0.5)</f>
        <v>7.053587410798154</v>
      </c>
      <c r="H18" s="235">
        <f t="shared" si="28"/>
        <v>7.053587410798154</v>
      </c>
      <c r="I18" s="235">
        <f t="shared" ref="I18" si="29">1000/(2*PI()*(I14*I17)^0.5)</f>
        <v>7.053587410798154</v>
      </c>
      <c r="J18" s="235"/>
      <c r="K18" s="114" t="s">
        <v>4</v>
      </c>
      <c r="L18" s="115"/>
      <c r="M18" s="114" t="s">
        <v>247</v>
      </c>
      <c r="O18" s="270" t="s">
        <v>226</v>
      </c>
      <c r="P18" s="270"/>
      <c r="Q18" s="270"/>
      <c r="R18" s="77" t="s">
        <v>529</v>
      </c>
      <c r="S18" s="69" t="s">
        <v>32</v>
      </c>
      <c r="T18" s="71">
        <v>42</v>
      </c>
      <c r="U18" s="69" t="s">
        <v>33</v>
      </c>
      <c r="V18" s="77"/>
      <c r="W18" s="76" t="s">
        <v>276</v>
      </c>
      <c r="X18" s="89">
        <v>200</v>
      </c>
      <c r="Y18" s="76" t="s">
        <v>225</v>
      </c>
      <c r="Z18" s="77"/>
      <c r="AA18" s="69" t="s">
        <v>109</v>
      </c>
      <c r="AB18" s="88">
        <f>AB12*AB17/100</f>
        <v>54.852362895207037</v>
      </c>
      <c r="AC18" s="69" t="s">
        <v>0</v>
      </c>
    </row>
    <row r="19" spans="2:29" ht="17.399999999999999" x14ac:dyDescent="0.25">
      <c r="B19" s="114" t="s">
        <v>78</v>
      </c>
      <c r="C19" s="233">
        <v>30</v>
      </c>
      <c r="D19" s="233"/>
      <c r="E19" s="215">
        <v>30</v>
      </c>
      <c r="F19" s="258">
        <v>30</v>
      </c>
      <c r="G19" s="224">
        <v>30</v>
      </c>
      <c r="H19" s="233">
        <v>30</v>
      </c>
      <c r="I19" s="233">
        <v>30</v>
      </c>
      <c r="J19" s="233"/>
      <c r="K19" s="114" t="s">
        <v>79</v>
      </c>
      <c r="L19" s="115">
        <v>5</v>
      </c>
      <c r="M19" s="116" t="s">
        <v>272</v>
      </c>
      <c r="O19" s="84" t="s">
        <v>231</v>
      </c>
      <c r="P19" s="85">
        <v>37</v>
      </c>
      <c r="Q19" s="84" t="s">
        <v>28</v>
      </c>
      <c r="R19" s="77"/>
      <c r="S19" s="69" t="s">
        <v>34</v>
      </c>
      <c r="T19" s="71">
        <v>17.34</v>
      </c>
      <c r="U19" s="69" t="s">
        <v>4</v>
      </c>
      <c r="V19" s="77"/>
      <c r="W19" s="76" t="s">
        <v>275</v>
      </c>
      <c r="X19" s="95">
        <f>X17*X18</f>
        <v>74.566574519016228</v>
      </c>
      <c r="Y19" s="76" t="s">
        <v>251</v>
      </c>
      <c r="Z19" s="77"/>
      <c r="AA19" s="69" t="s">
        <v>111</v>
      </c>
      <c r="AB19" s="88">
        <f>2*3.14159*AB14*AB11*0.000001*AB18</f>
        <v>2559.7641999999996</v>
      </c>
      <c r="AC19" s="69" t="s">
        <v>2</v>
      </c>
    </row>
    <row r="20" spans="2:29" ht="17.399999999999999" x14ac:dyDescent="0.25">
      <c r="B20" s="114" t="s">
        <v>80</v>
      </c>
      <c r="C20" s="236">
        <f t="shared" ref="C20" si="30">ROUNDUP(TAN(PI()*C19/180),3)</f>
        <v>0.57799999999999996</v>
      </c>
      <c r="D20" s="236"/>
      <c r="E20" s="218">
        <f t="shared" ref="E20" si="31">ROUNDUP(TAN(PI()*E19/180),3)</f>
        <v>0.57799999999999996</v>
      </c>
      <c r="F20" s="261">
        <f t="shared" ref="F20" si="32">ROUNDUP(TAN(PI()*F19/180),3)</f>
        <v>0.57799999999999996</v>
      </c>
      <c r="G20" s="227">
        <f t="shared" ref="G20:H20" si="33">ROUNDUP(TAN(PI()*G19/180),3)</f>
        <v>0.57799999999999996</v>
      </c>
      <c r="H20" s="236">
        <f t="shared" si="33"/>
        <v>0.57799999999999996</v>
      </c>
      <c r="I20" s="236">
        <f t="shared" ref="I20" si="34">ROUNDUP(TAN(PI()*I19/180),3)</f>
        <v>0.57799999999999996</v>
      </c>
      <c r="J20" s="236"/>
      <c r="K20" s="114"/>
      <c r="L20" s="115"/>
      <c r="M20" s="114"/>
      <c r="O20" s="84" t="s">
        <v>227</v>
      </c>
      <c r="P20" s="85">
        <v>1</v>
      </c>
      <c r="Q20" s="84" t="s">
        <v>234</v>
      </c>
      <c r="R20" s="77"/>
      <c r="S20" s="69" t="s">
        <v>35</v>
      </c>
      <c r="T20" s="71">
        <v>1396</v>
      </c>
      <c r="U20" s="69" t="s">
        <v>2</v>
      </c>
      <c r="V20" s="77"/>
      <c r="W20" s="76" t="s">
        <v>256</v>
      </c>
      <c r="X20" s="89">
        <v>1000</v>
      </c>
      <c r="Y20" s="68" t="s">
        <v>252</v>
      </c>
      <c r="Z20" s="77"/>
      <c r="AA20" s="77"/>
    </row>
    <row r="21" spans="2:29" ht="17.399999999999999" x14ac:dyDescent="0.25">
      <c r="B21" s="114"/>
      <c r="C21" s="219">
        <f>(C14/C16)*C22</f>
        <v>13.138888888888889</v>
      </c>
      <c r="D21" s="219"/>
      <c r="E21" s="219"/>
      <c r="F21" s="262"/>
      <c r="G21" s="253"/>
      <c r="H21" s="219"/>
      <c r="I21" s="219"/>
      <c r="J21" s="228"/>
      <c r="K21" s="114"/>
      <c r="L21" s="115"/>
      <c r="M21" s="114"/>
      <c r="O21" s="84" t="s">
        <v>229</v>
      </c>
      <c r="P21" s="85">
        <v>500</v>
      </c>
      <c r="Q21" s="84" t="s">
        <v>0</v>
      </c>
      <c r="R21" s="77"/>
      <c r="S21" s="69" t="s">
        <v>36</v>
      </c>
      <c r="T21" s="88">
        <f>(T20)/(2*3.14*T19*1000*(T18/1000000))</f>
        <v>305.2301225223448</v>
      </c>
      <c r="U21" s="69" t="s">
        <v>0</v>
      </c>
      <c r="V21" s="77"/>
      <c r="W21" s="76" t="s">
        <v>517</v>
      </c>
      <c r="X21" s="91">
        <f>X20/X19</f>
        <v>13.410834632680848</v>
      </c>
      <c r="Y21" s="68" t="s">
        <v>252</v>
      </c>
      <c r="Z21" s="77"/>
      <c r="AA21" s="270" t="s">
        <v>512</v>
      </c>
      <c r="AB21" s="270"/>
      <c r="AC21" s="270"/>
    </row>
    <row r="22" spans="2:29" ht="17.399999999999999" x14ac:dyDescent="0.25">
      <c r="B22" s="114" t="s">
        <v>41</v>
      </c>
      <c r="C22" s="238">
        <v>5.5</v>
      </c>
      <c r="D22" s="238"/>
      <c r="E22" s="220">
        <v>10</v>
      </c>
      <c r="F22" s="263">
        <v>13</v>
      </c>
      <c r="G22" s="229">
        <v>16</v>
      </c>
      <c r="H22" s="238">
        <v>19</v>
      </c>
      <c r="I22" s="238">
        <v>22</v>
      </c>
      <c r="J22" s="229"/>
      <c r="K22" s="114"/>
      <c r="L22" s="115">
        <v>6</v>
      </c>
      <c r="M22" s="116" t="s">
        <v>290</v>
      </c>
      <c r="O22" s="84" t="s">
        <v>230</v>
      </c>
      <c r="P22" s="85">
        <v>1000</v>
      </c>
      <c r="Q22" s="84" t="s">
        <v>2</v>
      </c>
      <c r="R22" s="77"/>
      <c r="S22" s="77"/>
      <c r="T22" s="77"/>
      <c r="U22" s="77"/>
      <c r="V22" s="77"/>
      <c r="W22" s="76" t="s">
        <v>257</v>
      </c>
      <c r="X22" s="91">
        <f>X8/100000000*(X20^2)/(X19/1000000)*X13/1000</f>
        <v>1577.8851081592136</v>
      </c>
      <c r="Y22" s="68" t="s">
        <v>253</v>
      </c>
      <c r="Z22" s="77"/>
      <c r="AA22" s="147" t="s">
        <v>506</v>
      </c>
      <c r="AB22" s="114">
        <v>0.9133</v>
      </c>
      <c r="AC22" s="114" t="s">
        <v>505</v>
      </c>
    </row>
    <row r="23" spans="2:29" ht="17.399999999999999" x14ac:dyDescent="0.25">
      <c r="B23" s="114" t="s">
        <v>81</v>
      </c>
      <c r="C23" s="239">
        <f t="shared" ref="C23" si="35">C18*((C20/C22)+(((C20/C22)^2+4)^0.5))/2</f>
        <v>7.4339522201849233</v>
      </c>
      <c r="D23" s="239"/>
      <c r="E23" s="221">
        <f t="shared" ref="E23" si="36">E18*((E20/E22)+(((E20/E22)^2+4)^0.5))/2</f>
        <v>7.2603810855461841</v>
      </c>
      <c r="F23" s="264">
        <f t="shared" ref="F23" si="37">F18*((F20/F22)+(((F20/F22)^2+4)^0.5))/2</f>
        <v>7.2121368359747899</v>
      </c>
      <c r="G23" s="230">
        <f t="shared" ref="G23:H23" si="38">G18*((G20/G22)+(((G20/G22)^2+4)^0.5))/2</f>
        <v>7.1821433697945265</v>
      </c>
      <c r="H23" s="239">
        <f t="shared" si="38"/>
        <v>7.161692099923628</v>
      </c>
      <c r="I23" s="239">
        <f t="shared" ref="I23" si="39">I18*((I20/I22)+(((I20/I22)^2+4)^0.5))/2</f>
        <v>7.1468544715178766</v>
      </c>
      <c r="J23" s="230"/>
      <c r="K23" s="114" t="s">
        <v>4</v>
      </c>
      <c r="L23" s="115"/>
      <c r="M23" s="117" t="s">
        <v>270</v>
      </c>
      <c r="O23" s="84" t="s">
        <v>228</v>
      </c>
      <c r="P23" s="85">
        <v>1</v>
      </c>
      <c r="Q23" s="84" t="s">
        <v>234</v>
      </c>
      <c r="R23" s="77"/>
      <c r="S23" s="271" t="s">
        <v>249</v>
      </c>
      <c r="T23" s="271"/>
      <c r="U23" s="271"/>
      <c r="V23" s="77"/>
      <c r="W23" s="77"/>
      <c r="X23" s="77"/>
      <c r="Y23" s="77"/>
      <c r="Z23" s="77"/>
      <c r="AA23" s="84" t="s">
        <v>507</v>
      </c>
      <c r="AB23" s="123">
        <v>2.5</v>
      </c>
      <c r="AC23" s="114" t="s">
        <v>328</v>
      </c>
    </row>
    <row r="24" spans="2:29" ht="17.399999999999999" x14ac:dyDescent="0.25">
      <c r="B24" s="114" t="s">
        <v>311</v>
      </c>
      <c r="C24" s="236">
        <f t="shared" ref="C24" si="40">2*PI()*C18*C14</f>
        <v>76.228674465786241</v>
      </c>
      <c r="D24" s="236"/>
      <c r="E24" s="218">
        <f t="shared" ref="E24" si="41">2*PI()*E18*E14</f>
        <v>76.228674465786241</v>
      </c>
      <c r="F24" s="261">
        <f t="shared" ref="F24" si="42">2*PI()*F18*F14</f>
        <v>76.228674465786241</v>
      </c>
      <c r="G24" s="227">
        <f t="shared" ref="G24:H24" si="43">2*PI()*G18*G14</f>
        <v>76.228674465786241</v>
      </c>
      <c r="H24" s="236">
        <f t="shared" si="43"/>
        <v>76.228674465786241</v>
      </c>
      <c r="I24" s="236">
        <f t="shared" ref="I24" si="44">2*PI()*I18*I14</f>
        <v>76.228674465786241</v>
      </c>
      <c r="J24" s="227"/>
      <c r="K24" s="114" t="s">
        <v>83</v>
      </c>
      <c r="L24" s="115"/>
      <c r="M24" s="114"/>
      <c r="O24" s="84" t="s">
        <v>235</v>
      </c>
      <c r="P24" s="85">
        <v>1</v>
      </c>
      <c r="Q24" s="84" t="s">
        <v>67</v>
      </c>
      <c r="R24" s="77"/>
      <c r="S24" s="70" t="s">
        <v>152</v>
      </c>
      <c r="T24" s="71">
        <v>680</v>
      </c>
      <c r="U24" s="69" t="s">
        <v>153</v>
      </c>
      <c r="V24" s="77"/>
      <c r="W24" s="271" t="s">
        <v>515</v>
      </c>
      <c r="X24" s="271"/>
      <c r="Y24" s="271"/>
      <c r="Z24" s="77"/>
      <c r="AA24" s="84" t="s">
        <v>508</v>
      </c>
      <c r="AB24" s="146">
        <f>AB22*AB23</f>
        <v>2.2832499999999998</v>
      </c>
      <c r="AC24" s="114" t="s">
        <v>505</v>
      </c>
    </row>
    <row r="25" spans="2:29" ht="17.399999999999999" x14ac:dyDescent="0.25">
      <c r="B25" s="114" t="s">
        <v>82</v>
      </c>
      <c r="C25" s="236">
        <f t="shared" ref="C25" si="45">2*PI()*C23*C14</f>
        <v>80.339306906322477</v>
      </c>
      <c r="D25" s="236"/>
      <c r="E25" s="218">
        <f t="shared" ref="E25" si="46">2*PI()*E23*E14</f>
        <v>78.463509989312769</v>
      </c>
      <c r="F25" s="261">
        <f t="shared" ref="F25" si="47">2*PI()*F23*F14</f>
        <v>77.942130586004595</v>
      </c>
      <c r="G25" s="227">
        <f t="shared" ref="G25:H25" si="48">2*PI()*G23*G14</f>
        <v>77.617988835658437</v>
      </c>
      <c r="H25" s="236">
        <f t="shared" si="48"/>
        <v>77.396970352068919</v>
      </c>
      <c r="I25" s="236">
        <f t="shared" ref="I25" si="49">2*PI()*I23*I14</f>
        <v>77.236618933745973</v>
      </c>
      <c r="J25" s="227"/>
      <c r="K25" s="114" t="s">
        <v>83</v>
      </c>
      <c r="L25" s="115"/>
      <c r="M25" s="114"/>
      <c r="O25" s="84" t="s">
        <v>236</v>
      </c>
      <c r="P25" s="85">
        <v>8</v>
      </c>
      <c r="Q25" s="84" t="s">
        <v>66</v>
      </c>
      <c r="R25" s="77"/>
      <c r="S25" s="70" t="s">
        <v>154</v>
      </c>
      <c r="T25" s="71">
        <v>22</v>
      </c>
      <c r="U25" s="69" t="s">
        <v>155</v>
      </c>
      <c r="V25" s="77"/>
      <c r="W25" s="69" t="s">
        <v>212</v>
      </c>
      <c r="X25" s="67" t="s">
        <v>213</v>
      </c>
      <c r="Y25" s="67"/>
      <c r="Z25" s="77"/>
      <c r="AA25" s="84"/>
      <c r="AB25" s="114"/>
      <c r="AC25" s="114"/>
    </row>
    <row r="26" spans="2:29" ht="17.399999999999999" x14ac:dyDescent="0.25">
      <c r="B26" s="114" t="s">
        <v>84</v>
      </c>
      <c r="C26" s="236">
        <f t="shared" ref="C26" si="50">1000000/(2*PI()*C23*C17)</f>
        <v>72.328366207918037</v>
      </c>
      <c r="D26" s="236"/>
      <c r="E26" s="218">
        <f t="shared" ref="E26" si="51">1000000/(2*PI()*E23*E17)</f>
        <v>74.057492605190362</v>
      </c>
      <c r="F26" s="261">
        <f t="shared" ref="F26" si="52">1000000/(2*PI()*F23*F17)</f>
        <v>74.55288644437195</v>
      </c>
      <c r="G26" s="227">
        <f t="shared" ref="G26:H26" si="53">1000000/(2*PI()*G23*G17)</f>
        <v>74.864227970581851</v>
      </c>
      <c r="H26" s="236">
        <f t="shared" si="53"/>
        <v>75.078013834109726</v>
      </c>
      <c r="I26" s="236">
        <f t="shared" ref="I26" si="54">1000000/(2*PI()*I23*I17)</f>
        <v>75.233883759144845</v>
      </c>
      <c r="J26" s="227"/>
      <c r="K26" s="114" t="s">
        <v>83</v>
      </c>
      <c r="L26" s="115"/>
      <c r="M26" s="114"/>
      <c r="O26" s="84" t="s">
        <v>262</v>
      </c>
      <c r="P26" s="93">
        <f>P19*(P23/P20)*P25/P24</f>
        <v>296</v>
      </c>
      <c r="Q26" s="84" t="s">
        <v>28</v>
      </c>
      <c r="R26" s="77"/>
      <c r="S26" s="70" t="s">
        <v>158</v>
      </c>
      <c r="T26" s="71">
        <v>66</v>
      </c>
      <c r="U26" s="69" t="s">
        <v>159</v>
      </c>
      <c r="V26" s="77"/>
      <c r="W26" s="76" t="s">
        <v>214</v>
      </c>
      <c r="X26" s="78">
        <v>1.75</v>
      </c>
      <c r="Y26" s="76" t="s">
        <v>215</v>
      </c>
      <c r="Z26" s="77"/>
      <c r="AA26" s="147" t="s">
        <v>509</v>
      </c>
      <c r="AB26" s="114">
        <v>0.48</v>
      </c>
      <c r="AC26" s="114" t="s">
        <v>505</v>
      </c>
    </row>
    <row r="27" spans="2:29" ht="17.399999999999999" x14ac:dyDescent="0.25">
      <c r="B27" s="114" t="s">
        <v>68</v>
      </c>
      <c r="C27" s="236">
        <f t="shared" ref="C27" si="55">C24/C22</f>
        <v>13.859758993779316</v>
      </c>
      <c r="D27" s="236"/>
      <c r="E27" s="218">
        <f t="shared" ref="E27" si="56">E24/E22</f>
        <v>7.6228674465786241</v>
      </c>
      <c r="F27" s="261">
        <f t="shared" ref="F27" si="57">F24/F22</f>
        <v>5.8637441896758649</v>
      </c>
      <c r="G27" s="227">
        <f t="shared" ref="G27:H27" si="58">G24/G22</f>
        <v>4.7642921541116401</v>
      </c>
      <c r="H27" s="236">
        <f t="shared" si="58"/>
        <v>4.0120354981992756</v>
      </c>
      <c r="I27" s="236">
        <f t="shared" ref="I27" si="59">I24/I22</f>
        <v>3.464939748444829</v>
      </c>
      <c r="J27" s="227"/>
      <c r="K27" s="114" t="s">
        <v>83</v>
      </c>
      <c r="L27" s="115"/>
      <c r="M27" s="114"/>
      <c r="O27" s="84" t="s">
        <v>232</v>
      </c>
      <c r="P27" s="86">
        <f>P21*P24</f>
        <v>500</v>
      </c>
      <c r="Q27" s="84" t="s">
        <v>0</v>
      </c>
      <c r="R27" s="77"/>
      <c r="S27" s="70" t="s">
        <v>162</v>
      </c>
      <c r="T27" s="71">
        <v>2</v>
      </c>
      <c r="U27" s="69"/>
      <c r="V27" s="77"/>
      <c r="W27" s="76" t="s">
        <v>216</v>
      </c>
      <c r="X27" s="79">
        <v>3.8999999999999998E-3</v>
      </c>
      <c r="Y27" s="76" t="s">
        <v>217</v>
      </c>
      <c r="Z27" s="77"/>
      <c r="AA27" s="84" t="s">
        <v>510</v>
      </c>
      <c r="AB27" s="123">
        <v>1.5</v>
      </c>
      <c r="AC27" s="114" t="s">
        <v>328</v>
      </c>
    </row>
    <row r="28" spans="2:29" ht="17.399999999999999" x14ac:dyDescent="0.25">
      <c r="B28" s="114" t="s">
        <v>85</v>
      </c>
      <c r="C28" s="236">
        <f>(C27^2+(C25-C26)^2)^0.5</f>
        <v>16.008375627745597</v>
      </c>
      <c r="D28" s="236"/>
      <c r="E28" s="218">
        <f>(E27^2+(E25-E26)^2)^0.5</f>
        <v>8.8046065952600614</v>
      </c>
      <c r="F28" s="261">
        <f>(F27^2+(F25-F26)^2)^0.5</f>
        <v>6.7727743040462132</v>
      </c>
      <c r="G28" s="227">
        <f>(G27^2+(G25-G26)^2)^0.5</f>
        <v>5.5028791220375792</v>
      </c>
      <c r="H28" s="236">
        <f>(H27^2+(H25-H26)^2)^0.5</f>
        <v>4.6340034711895219</v>
      </c>
      <c r="I28" s="236">
        <f>(I27^2+(I25-I26)^2)^0.5</f>
        <v>4.0020939069364081</v>
      </c>
      <c r="J28" s="227"/>
      <c r="K28" s="114" t="s">
        <v>83</v>
      </c>
      <c r="L28" s="115"/>
      <c r="M28" s="114"/>
      <c r="O28" s="84" t="s">
        <v>233</v>
      </c>
      <c r="P28" s="86">
        <f>P22*(P23/P20)*P25</f>
        <v>8000</v>
      </c>
      <c r="Q28" s="84" t="s">
        <v>2</v>
      </c>
      <c r="R28" s="77"/>
      <c r="S28" s="70" t="s">
        <v>165</v>
      </c>
      <c r="T28" s="72">
        <f>T25*T26*T27*2</f>
        <v>5808</v>
      </c>
      <c r="U28" s="69" t="s">
        <v>155</v>
      </c>
      <c r="V28" s="77"/>
      <c r="W28" s="76" t="s">
        <v>218</v>
      </c>
      <c r="X28" s="80">
        <v>45</v>
      </c>
      <c r="Y28" s="76" t="s">
        <v>48</v>
      </c>
      <c r="Z28" s="77"/>
      <c r="AA28" s="84" t="s">
        <v>511</v>
      </c>
      <c r="AB28" s="146">
        <f>AB26*AB27</f>
        <v>0.72</v>
      </c>
      <c r="AC28" s="114" t="s">
        <v>505</v>
      </c>
    </row>
    <row r="29" spans="2:29" ht="17.399999999999999" x14ac:dyDescent="0.25">
      <c r="B29" s="114"/>
      <c r="C29" s="237"/>
      <c r="D29" s="237"/>
      <c r="E29" s="219"/>
      <c r="F29" s="262"/>
      <c r="G29" s="228"/>
      <c r="H29" s="237"/>
      <c r="I29" s="237"/>
      <c r="J29" s="228"/>
      <c r="K29" s="114"/>
      <c r="L29" s="115"/>
      <c r="M29" s="114"/>
      <c r="O29" s="84" t="s">
        <v>47</v>
      </c>
      <c r="P29" s="86">
        <f>P27*P28/1000</f>
        <v>4000</v>
      </c>
      <c r="Q29" s="84" t="s">
        <v>47</v>
      </c>
      <c r="R29" s="77"/>
      <c r="S29" s="70" t="s">
        <v>168</v>
      </c>
      <c r="T29" s="71">
        <v>20</v>
      </c>
      <c r="U29" s="69" t="s">
        <v>169</v>
      </c>
      <c r="V29" s="77"/>
      <c r="W29" s="76" t="s">
        <v>219</v>
      </c>
      <c r="X29" s="79">
        <f>X26*(1+X27*(X28-20))</f>
        <v>1.9206249999999998</v>
      </c>
      <c r="Y29" s="76" t="s">
        <v>215</v>
      </c>
      <c r="Z29" s="77"/>
      <c r="AA29" s="84"/>
      <c r="AB29" s="114"/>
      <c r="AC29" s="114"/>
    </row>
    <row r="30" spans="2:29" ht="17.399999999999999" x14ac:dyDescent="0.25">
      <c r="B30" s="114" t="s">
        <v>105</v>
      </c>
      <c r="C30" s="240">
        <f>(C3*1000000/C27)^0.5</f>
        <v>1899.3594546820557</v>
      </c>
      <c r="D30" s="240"/>
      <c r="E30" s="222">
        <f>(E3*1000000/E27)^0.5</f>
        <v>2561.095766229801</v>
      </c>
      <c r="F30" s="265">
        <f>(F3*1000000/F27)^0.5</f>
        <v>2920.0984539806659</v>
      </c>
      <c r="G30" s="231">
        <f>(G3*1000000/G27)^0.5</f>
        <v>3239.5583708401268</v>
      </c>
      <c r="H30" s="240">
        <f>(H3*1000000/H27)^0.5</f>
        <v>3530.2268900483436</v>
      </c>
      <c r="I30" s="240">
        <f>(I3*1000000/I27)^0.5</f>
        <v>3798.7189093641114</v>
      </c>
      <c r="J30" s="231"/>
      <c r="K30" s="114" t="s">
        <v>2</v>
      </c>
      <c r="L30" s="115"/>
      <c r="M30" s="117" t="s">
        <v>269</v>
      </c>
      <c r="O30" s="77"/>
      <c r="P30" s="77"/>
      <c r="Q30" s="77"/>
      <c r="R30" s="77"/>
      <c r="S30" s="70" t="s">
        <v>170</v>
      </c>
      <c r="T30" s="71">
        <v>300</v>
      </c>
      <c r="U30" s="69" t="s">
        <v>171</v>
      </c>
      <c r="V30" s="77"/>
      <c r="W30" s="76" t="s">
        <v>220</v>
      </c>
      <c r="X30" s="81">
        <f>1/(X29/100000000)</f>
        <v>52066384.64041654</v>
      </c>
      <c r="Y30" s="76" t="s">
        <v>221</v>
      </c>
      <c r="Z30" s="77"/>
      <c r="AA30" s="147" t="s">
        <v>509</v>
      </c>
      <c r="AB30" s="114">
        <v>0.4133</v>
      </c>
      <c r="AC30" s="114" t="s">
        <v>505</v>
      </c>
    </row>
    <row r="31" spans="2:29" ht="17.399999999999999" x14ac:dyDescent="0.25">
      <c r="B31" s="114" t="s">
        <v>103</v>
      </c>
      <c r="C31" s="236">
        <f>C30*C27/1000</f>
        <v>26.324664284449398</v>
      </c>
      <c r="D31" s="236"/>
      <c r="E31" s="218">
        <f>E30*E27/1000</f>
        <v>19.522893543963487</v>
      </c>
      <c r="F31" s="261">
        <f>F30*F27/1000</f>
        <v>17.122710342810606</v>
      </c>
      <c r="G31" s="227">
        <f>G30*G27/1000</f>
        <v>15.434202528980302</v>
      </c>
      <c r="H31" s="236">
        <f>H30*H27/1000</f>
        <v>14.163395599571587</v>
      </c>
      <c r="I31" s="236">
        <f>I30*I27/1000</f>
        <v>13.162332142224699</v>
      </c>
      <c r="J31" s="227"/>
      <c r="K31" s="114" t="s">
        <v>0</v>
      </c>
      <c r="L31" s="115"/>
      <c r="M31" s="114"/>
      <c r="O31" s="270" t="s">
        <v>237</v>
      </c>
      <c r="P31" s="270"/>
      <c r="Q31" s="270"/>
      <c r="R31" s="77"/>
      <c r="S31" s="70" t="s">
        <v>172</v>
      </c>
      <c r="T31" s="71">
        <v>1</v>
      </c>
      <c r="U31" s="69" t="s">
        <v>173</v>
      </c>
      <c r="V31" s="77"/>
      <c r="W31" s="76" t="s">
        <v>222</v>
      </c>
      <c r="X31" s="67">
        <v>1</v>
      </c>
      <c r="Y31" s="76" t="s">
        <v>223</v>
      </c>
      <c r="Z31" s="77"/>
      <c r="AA31" s="84" t="s">
        <v>510</v>
      </c>
      <c r="AB31" s="123">
        <v>2.5</v>
      </c>
      <c r="AC31" s="114" t="s">
        <v>328</v>
      </c>
    </row>
    <row r="32" spans="2:29" ht="17.399999999999999" x14ac:dyDescent="0.25">
      <c r="B32" s="114" t="s">
        <v>307</v>
      </c>
      <c r="C32" s="240">
        <f>C30/(2*3.14159*C23*1000*C17/1000000)</f>
        <v>137.37768223667931</v>
      </c>
      <c r="D32" s="240"/>
      <c r="E32" s="222">
        <f>E30/(2*3.14159*E23*1000*E17/1000000)</f>
        <v>189.66849097486849</v>
      </c>
      <c r="F32" s="265">
        <f>F30/(2*3.14159*F23*1000*F17/1000000)</f>
        <v>217.70195233097914</v>
      </c>
      <c r="G32" s="231">
        <f>G30/(2*3.14159*G23*1000*G17/1000000)</f>
        <v>242.52724125257902</v>
      </c>
      <c r="H32" s="240">
        <f>H30/(2*3.14159*H23*1000*H17/1000000)</f>
        <v>265.04264716054246</v>
      </c>
      <c r="I32" s="240">
        <f>I30/(2*3.14159*I23*1000*I17/1000000)</f>
        <v>285.79261825946259</v>
      </c>
      <c r="J32" s="231"/>
      <c r="K32" s="114" t="s">
        <v>0</v>
      </c>
      <c r="L32" s="115"/>
      <c r="M32" s="117" t="s">
        <v>71</v>
      </c>
      <c r="O32" s="70" t="s">
        <v>37</v>
      </c>
      <c r="P32" s="71">
        <v>19760</v>
      </c>
      <c r="Q32" s="70" t="s">
        <v>25</v>
      </c>
      <c r="R32" s="77"/>
      <c r="S32" s="70" t="s">
        <v>174</v>
      </c>
      <c r="T32" s="72">
        <f>T30*T31</f>
        <v>300</v>
      </c>
      <c r="U32" s="69" t="s">
        <v>171</v>
      </c>
      <c r="V32" s="77"/>
      <c r="W32" s="76" t="s">
        <v>37</v>
      </c>
      <c r="X32" s="82">
        <v>30000</v>
      </c>
      <c r="Y32" s="76" t="s">
        <v>224</v>
      </c>
      <c r="Z32" s="77"/>
      <c r="AA32" s="84" t="s">
        <v>511</v>
      </c>
      <c r="AB32" s="146">
        <f>AB30*AB31</f>
        <v>1.03325</v>
      </c>
      <c r="AC32" s="114" t="s">
        <v>505</v>
      </c>
    </row>
    <row r="33" spans="2:30" ht="17.399999999999999" x14ac:dyDescent="0.25">
      <c r="B33" s="114" t="s">
        <v>104</v>
      </c>
      <c r="C33" s="236">
        <f t="shared" ref="C33" si="60">C30*C28/1000</f>
        <v>30.405659602660389</v>
      </c>
      <c r="D33" s="236"/>
      <c r="E33" s="218">
        <f t="shared" ref="E33" si="61">E30*E28/1000</f>
        <v>22.549440674439527</v>
      </c>
      <c r="F33" s="261">
        <f t="shared" ref="F33" si="62">F30*F28/1000</f>
        <v>19.777167774405328</v>
      </c>
      <c r="G33" s="227">
        <f t="shared" ref="G33:H33" si="63">G30*G28/1000</f>
        <v>17.826898123518209</v>
      </c>
      <c r="H33" s="236">
        <f t="shared" si="63"/>
        <v>16.359083662570615</v>
      </c>
      <c r="I33" s="236">
        <f t="shared" ref="I33" si="64">I30*I28/1000</f>
        <v>15.202829801330228</v>
      </c>
      <c r="J33" s="227"/>
      <c r="K33" s="114" t="s">
        <v>0</v>
      </c>
      <c r="L33" s="115"/>
      <c r="M33" s="114"/>
      <c r="O33" s="70" t="s">
        <v>52</v>
      </c>
      <c r="P33" s="71">
        <v>40</v>
      </c>
      <c r="Q33" s="70" t="s">
        <v>28</v>
      </c>
      <c r="R33" s="77"/>
      <c r="S33" s="69"/>
      <c r="T33" s="69"/>
      <c r="U33" s="69"/>
      <c r="V33" s="77"/>
      <c r="W33" s="76" t="s">
        <v>254</v>
      </c>
      <c r="X33" s="95">
        <f>503.3*SQRT((X29/100000000)/(X31*X32))*1000</f>
        <v>0.4027055285218758</v>
      </c>
      <c r="Y33" s="76" t="s">
        <v>225</v>
      </c>
      <c r="Z33" s="77"/>
      <c r="AA33" s="77"/>
    </row>
    <row r="34" spans="2:30" ht="17.399999999999999" x14ac:dyDescent="0.25">
      <c r="B34" s="114" t="s">
        <v>102</v>
      </c>
      <c r="C34" s="236">
        <f>ROUNDUP(COS(PI()*C19/180),3)</f>
        <v>0.86699999999999999</v>
      </c>
      <c r="D34" s="236"/>
      <c r="E34" s="218">
        <f>ROUNDUP(COS(PI()*E19/180),3)</f>
        <v>0.86699999999999999</v>
      </c>
      <c r="F34" s="261">
        <f>ROUNDUP(COS(PI()*F19/180),3)</f>
        <v>0.86699999999999999</v>
      </c>
      <c r="G34" s="227">
        <f>ROUNDUP(COS(PI()*G19/180),3)</f>
        <v>0.86699999999999999</v>
      </c>
      <c r="H34" s="236">
        <f>ROUNDUP(COS(PI()*H19/180),3)</f>
        <v>0.86699999999999999</v>
      </c>
      <c r="I34" s="236">
        <f>ROUNDUP(COS(PI()*I19/180),3)</f>
        <v>0.86699999999999999</v>
      </c>
      <c r="J34" s="227"/>
      <c r="K34" s="114"/>
      <c r="L34" s="115"/>
      <c r="M34" s="114"/>
      <c r="O34" s="70" t="s">
        <v>53</v>
      </c>
      <c r="P34" s="71">
        <v>53.4</v>
      </c>
      <c r="Q34" s="70" t="s">
        <v>2</v>
      </c>
      <c r="R34" s="77"/>
      <c r="S34" s="73" t="s">
        <v>175</v>
      </c>
      <c r="T34" s="273" t="s">
        <v>176</v>
      </c>
      <c r="U34" s="273"/>
      <c r="V34" s="77"/>
      <c r="W34" s="76" t="s">
        <v>255</v>
      </c>
      <c r="X34" s="89">
        <v>6126</v>
      </c>
      <c r="Y34" s="76" t="s">
        <v>225</v>
      </c>
      <c r="Z34" s="77"/>
      <c r="AA34" s="271" t="s">
        <v>519</v>
      </c>
      <c r="AB34" s="271"/>
      <c r="AC34" s="271"/>
      <c r="AD34" s="77"/>
    </row>
    <row r="35" spans="2:30" ht="17.399999999999999" x14ac:dyDescent="0.25">
      <c r="B35" s="114" t="s">
        <v>101</v>
      </c>
      <c r="C35" s="241">
        <f>C32/(C27*C30/1000)</f>
        <v>5.2185919923708788</v>
      </c>
      <c r="D35" s="241"/>
      <c r="E35" s="223">
        <f>E32/(E27*E30/1000)</f>
        <v>9.7151833844586175</v>
      </c>
      <c r="F35" s="266">
        <f>F32/(F27*F30/1000)</f>
        <v>12.714222688605293</v>
      </c>
      <c r="G35" s="232">
        <f>G32/(G27*G30/1000)</f>
        <v>15.713623091131108</v>
      </c>
      <c r="H35" s="241">
        <f>H32/(H27*H30/1000)</f>
        <v>18.713213600314845</v>
      </c>
      <c r="I35" s="241">
        <f>I32/(I27*I30/1000)</f>
        <v>21.712916462777994</v>
      </c>
      <c r="J35" s="232"/>
      <c r="K35" s="114"/>
      <c r="L35" s="115"/>
      <c r="M35" s="117" t="s">
        <v>267</v>
      </c>
      <c r="O35" s="70" t="s">
        <v>54</v>
      </c>
      <c r="P35" s="71">
        <v>9.5</v>
      </c>
      <c r="Q35" s="70" t="s">
        <v>1</v>
      </c>
      <c r="R35" s="77"/>
      <c r="S35" s="70" t="s">
        <v>177</v>
      </c>
      <c r="T35" s="71">
        <v>30</v>
      </c>
      <c r="U35" s="69" t="s">
        <v>178</v>
      </c>
      <c r="V35" s="77"/>
      <c r="W35" s="76" t="s">
        <v>279</v>
      </c>
      <c r="X35" s="89">
        <v>2</v>
      </c>
      <c r="Y35" s="76" t="s">
        <v>225</v>
      </c>
      <c r="Z35" s="77"/>
      <c r="AA35" s="69" t="s">
        <v>520</v>
      </c>
      <c r="AB35" s="71">
        <v>380</v>
      </c>
      <c r="AC35" s="69" t="s">
        <v>0</v>
      </c>
    </row>
    <row r="36" spans="2:30" ht="17.399999999999999" x14ac:dyDescent="0.25">
      <c r="B36" s="114" t="s">
        <v>308</v>
      </c>
      <c r="C36" s="240">
        <f>C32+C30*C20*C27/1000</f>
        <v>152.59333819309106</v>
      </c>
      <c r="D36" s="240"/>
      <c r="E36" s="222">
        <f>E32+E30*E20*E27/1000</f>
        <v>200.95272344327938</v>
      </c>
      <c r="F36" s="265">
        <f>F32+F30*F20*F27/1000</f>
        <v>227.59887890912367</v>
      </c>
      <c r="G36" s="231">
        <f>G32+G30*G20*G27/1000</f>
        <v>251.44821031432963</v>
      </c>
      <c r="H36" s="240">
        <f>H32+H30*H20*H27/1000</f>
        <v>273.22908981709486</v>
      </c>
      <c r="I36" s="240">
        <f>I32+I30*I20*I27/1000</f>
        <v>293.40044623766846</v>
      </c>
      <c r="J36" s="231"/>
      <c r="K36" s="114" t="s">
        <v>0</v>
      </c>
      <c r="L36" s="115"/>
      <c r="M36" s="117" t="s">
        <v>266</v>
      </c>
      <c r="O36" s="70" t="s">
        <v>286</v>
      </c>
      <c r="P36" s="71">
        <v>14</v>
      </c>
      <c r="Q36" s="70" t="s">
        <v>42</v>
      </c>
      <c r="R36" s="77"/>
      <c r="S36" s="70" t="s">
        <v>179</v>
      </c>
      <c r="T36" s="74">
        <f>T30*SQRT(2)*SIN(T35*PI()/180)</f>
        <v>212.13203435596424</v>
      </c>
      <c r="U36" s="69" t="s">
        <v>180</v>
      </c>
      <c r="V36" s="77"/>
      <c r="W36" s="76" t="s">
        <v>278</v>
      </c>
      <c r="X36" s="90">
        <f>MIN(X33,X35)</f>
        <v>0.4027055285218758</v>
      </c>
      <c r="Y36" s="76" t="s">
        <v>225</v>
      </c>
      <c r="Z36" s="77"/>
      <c r="AA36" s="69" t="s">
        <v>64</v>
      </c>
      <c r="AB36" s="71">
        <v>75</v>
      </c>
      <c r="AC36" s="69" t="s">
        <v>2</v>
      </c>
    </row>
    <row r="37" spans="2:30" ht="17.399999999999999" x14ac:dyDescent="0.25">
      <c r="B37" s="114"/>
      <c r="C37" s="237"/>
      <c r="D37" s="237"/>
      <c r="E37" s="219"/>
      <c r="F37" s="262"/>
      <c r="G37" s="228"/>
      <c r="H37" s="237"/>
      <c r="I37" s="237"/>
      <c r="J37" s="228"/>
      <c r="K37" s="114"/>
      <c r="L37" s="115"/>
      <c r="M37" s="114"/>
      <c r="O37" s="70" t="s">
        <v>55</v>
      </c>
      <c r="P37" s="72">
        <f>(P34*P36)/(2*3.1415*P32*(P33/1000000))</f>
        <v>150.54117498474449</v>
      </c>
      <c r="Q37" s="70" t="s">
        <v>56</v>
      </c>
      <c r="R37" s="77"/>
      <c r="S37" s="70" t="s">
        <v>181</v>
      </c>
      <c r="T37" s="87">
        <f>T24*T28/T36</f>
        <v>18617.838705929324</v>
      </c>
      <c r="U37" s="69" t="s">
        <v>182</v>
      </c>
      <c r="V37" s="77"/>
      <c r="W37" s="76" t="s">
        <v>258</v>
      </c>
      <c r="X37" s="89">
        <v>7.9</v>
      </c>
      <c r="Y37" s="76" t="s">
        <v>225</v>
      </c>
      <c r="Z37" s="77"/>
      <c r="AA37" s="69" t="s">
        <v>523</v>
      </c>
      <c r="AB37" s="88">
        <f>AB35</f>
        <v>380</v>
      </c>
      <c r="AC37" s="69" t="s">
        <v>521</v>
      </c>
    </row>
    <row r="38" spans="2:30" ht="17.399999999999999" x14ac:dyDescent="0.25">
      <c r="B38" s="114" t="s">
        <v>86</v>
      </c>
      <c r="C38" s="236">
        <v>1</v>
      </c>
      <c r="D38" s="236"/>
      <c r="E38" s="218">
        <v>1</v>
      </c>
      <c r="F38" s="261">
        <v>1</v>
      </c>
      <c r="G38" s="227">
        <v>1</v>
      </c>
      <c r="H38" s="236">
        <v>1</v>
      </c>
      <c r="I38" s="236">
        <v>1</v>
      </c>
      <c r="J38" s="227"/>
      <c r="K38" s="114"/>
      <c r="L38" s="115"/>
      <c r="M38" s="114" t="s">
        <v>87</v>
      </c>
      <c r="O38" s="70" t="s">
        <v>57</v>
      </c>
      <c r="P38" s="72">
        <f>P34*P36</f>
        <v>747.6</v>
      </c>
      <c r="Q38" s="70"/>
      <c r="R38" s="77"/>
      <c r="S38" s="69"/>
      <c r="T38" s="69"/>
      <c r="U38" s="69"/>
      <c r="V38" s="77"/>
      <c r="W38" s="76" t="s">
        <v>277</v>
      </c>
      <c r="X38" s="95">
        <f>(PI()*(X37/2)^2)-(PI()*(X37/2-X36)^2)</f>
        <v>9.4851026112254075</v>
      </c>
      <c r="Y38" s="76" t="s">
        <v>251</v>
      </c>
      <c r="Z38" s="77"/>
      <c r="AA38" s="69" t="s">
        <v>524</v>
      </c>
      <c r="AB38" s="88">
        <f>AB36*1.25</f>
        <v>93.75</v>
      </c>
      <c r="AC38" s="69" t="s">
        <v>522</v>
      </c>
    </row>
    <row r="39" spans="2:30" ht="17.399999999999999" x14ac:dyDescent="0.25">
      <c r="B39" s="114" t="s">
        <v>309</v>
      </c>
      <c r="C39" s="236">
        <f>C10/C38*4/PI()/2^0.5</f>
        <v>449.97809481532158</v>
      </c>
      <c r="D39" s="236"/>
      <c r="E39" s="218">
        <f>E10/E38*4/PI()/2^0.5</f>
        <v>449.97809481532158</v>
      </c>
      <c r="F39" s="261">
        <f>F10/F38*4/PI()/2^0.5</f>
        <v>449.97809481532158</v>
      </c>
      <c r="G39" s="227">
        <f>G10/G38*4/PI()/2^0.5</f>
        <v>449.97809481532158</v>
      </c>
      <c r="H39" s="236">
        <f>H10/H38*4/PI()/2^0.5</f>
        <v>449.97809481532158</v>
      </c>
      <c r="I39" s="236">
        <f>I10/I38*4/PI()/2^0.5</f>
        <v>449.97809481532158</v>
      </c>
      <c r="J39" s="227"/>
      <c r="K39" s="114" t="s">
        <v>0</v>
      </c>
      <c r="L39" s="115"/>
      <c r="M39" s="114" t="s">
        <v>246</v>
      </c>
      <c r="O39" s="70" t="s">
        <v>528</v>
      </c>
      <c r="P39" s="72">
        <f>P37*P38/1000</f>
        <v>112.54458241859497</v>
      </c>
      <c r="Q39" s="70" t="s">
        <v>528</v>
      </c>
      <c r="R39" s="77"/>
      <c r="S39" s="73" t="s">
        <v>183</v>
      </c>
      <c r="T39" s="70"/>
      <c r="U39" s="70"/>
      <c r="V39" s="77"/>
      <c r="W39" s="76" t="s">
        <v>256</v>
      </c>
      <c r="X39" s="89">
        <v>200</v>
      </c>
      <c r="Y39" s="68" t="s">
        <v>252</v>
      </c>
      <c r="Z39" s="77"/>
      <c r="AA39" s="77"/>
    </row>
    <row r="40" spans="2:30" ht="17.399999999999999" x14ac:dyDescent="0.25">
      <c r="B40" s="114" t="s">
        <v>88</v>
      </c>
      <c r="C40" s="233">
        <v>10</v>
      </c>
      <c r="D40" s="233"/>
      <c r="E40" s="215">
        <v>20</v>
      </c>
      <c r="F40" s="258">
        <v>20</v>
      </c>
      <c r="G40" s="224">
        <v>20</v>
      </c>
      <c r="H40" s="233">
        <v>20</v>
      </c>
      <c r="I40" s="233">
        <v>20</v>
      </c>
      <c r="J40" s="224"/>
      <c r="K40" s="114" t="s">
        <v>42</v>
      </c>
      <c r="L40" s="115">
        <v>7</v>
      </c>
      <c r="M40" s="116" t="s">
        <v>274</v>
      </c>
      <c r="O40" s="70" t="s">
        <v>41</v>
      </c>
      <c r="P40" s="88">
        <f>P39/P35</f>
        <v>11.846798149325787</v>
      </c>
      <c r="Q40" s="70"/>
      <c r="R40" s="77"/>
      <c r="S40" s="70" t="s">
        <v>184</v>
      </c>
      <c r="T40" s="74">
        <f>T24*T28/T29/1000</f>
        <v>197.47200000000001</v>
      </c>
      <c r="U40" s="69" t="s">
        <v>180</v>
      </c>
      <c r="V40" s="77"/>
      <c r="W40" s="76" t="s">
        <v>517</v>
      </c>
      <c r="X40" s="91">
        <f>X39/X38</f>
        <v>21.085697034347785</v>
      </c>
      <c r="Y40" s="68" t="s">
        <v>252</v>
      </c>
      <c r="Z40" s="77"/>
      <c r="AA40" s="271" t="s">
        <v>526</v>
      </c>
      <c r="AB40" s="271"/>
      <c r="AC40" s="271"/>
    </row>
    <row r="41" spans="2:30" ht="17.399999999999999" x14ac:dyDescent="0.25">
      <c r="B41" s="114" t="s">
        <v>89</v>
      </c>
      <c r="C41" s="236">
        <f t="shared" ref="C41" si="65">ROUND(C39/C40,1)</f>
        <v>45</v>
      </c>
      <c r="D41" s="236"/>
      <c r="E41" s="218">
        <f t="shared" ref="E41" si="66">ROUND(E39/E40,1)</f>
        <v>22.5</v>
      </c>
      <c r="F41" s="261">
        <f t="shared" ref="F41" si="67">ROUND(F39/F40,1)</f>
        <v>22.5</v>
      </c>
      <c r="G41" s="227">
        <f t="shared" ref="G41:H41" si="68">ROUND(G39/G40,1)</f>
        <v>22.5</v>
      </c>
      <c r="H41" s="236">
        <f t="shared" si="68"/>
        <v>22.5</v>
      </c>
      <c r="I41" s="236">
        <f t="shared" ref="I41" si="69">ROUND(I39/I40,1)</f>
        <v>22.5</v>
      </c>
      <c r="J41" s="227"/>
      <c r="K41" s="114" t="s">
        <v>0</v>
      </c>
      <c r="L41" s="115"/>
      <c r="M41" s="114" t="s">
        <v>310</v>
      </c>
      <c r="O41" s="77"/>
      <c r="P41" s="77"/>
      <c r="Q41" s="77"/>
      <c r="R41" s="77"/>
      <c r="S41" s="70" t="s">
        <v>185</v>
      </c>
      <c r="T41" s="74">
        <f>T40/SIN(T35*PI()/180)/SQRT(2)</f>
        <v>279.26758058893984</v>
      </c>
      <c r="U41" s="69" t="s">
        <v>171</v>
      </c>
      <c r="V41" s="77"/>
      <c r="W41" s="76" t="s">
        <v>257</v>
      </c>
      <c r="X41" s="91">
        <f>X29/100000000*(X39^2)/(X38/1000000)*X34/1000</f>
        <v>496.1780270495122</v>
      </c>
      <c r="Y41" s="68" t="s">
        <v>253</v>
      </c>
      <c r="Z41" s="77"/>
      <c r="AA41" s="69" t="s">
        <v>27</v>
      </c>
      <c r="AB41" s="71">
        <v>0.52800000000000002</v>
      </c>
      <c r="AC41" s="69" t="s">
        <v>28</v>
      </c>
    </row>
    <row r="42" spans="2:30" ht="17.399999999999999" x14ac:dyDescent="0.25">
      <c r="B42" s="114"/>
      <c r="C42" s="237"/>
      <c r="D42" s="237"/>
      <c r="E42" s="219"/>
      <c r="F42" s="262"/>
      <c r="G42" s="228"/>
      <c r="H42" s="237"/>
      <c r="I42" s="237"/>
      <c r="J42" s="228"/>
      <c r="K42" s="114"/>
      <c r="L42" s="115"/>
      <c r="M42" s="114"/>
      <c r="O42" s="270" t="s">
        <v>238</v>
      </c>
      <c r="P42" s="270"/>
      <c r="Q42" s="270"/>
      <c r="R42" s="77"/>
      <c r="S42" s="70" t="s">
        <v>174</v>
      </c>
      <c r="T42" s="87">
        <f>T41*T31</f>
        <v>279.26758058893984</v>
      </c>
      <c r="U42" s="69" t="s">
        <v>171</v>
      </c>
      <c r="V42" s="77"/>
      <c r="W42" s="77"/>
      <c r="X42" s="77"/>
      <c r="Y42" s="77"/>
      <c r="Z42" s="77"/>
      <c r="AA42" s="69" t="s">
        <v>29</v>
      </c>
      <c r="AB42" s="71">
        <v>0.27</v>
      </c>
      <c r="AC42" s="69" t="s">
        <v>15</v>
      </c>
    </row>
    <row r="43" spans="2:30" ht="17.399999999999999" x14ac:dyDescent="0.25">
      <c r="B43" s="114" t="s">
        <v>72</v>
      </c>
      <c r="C43" s="241">
        <f t="shared" ref="C43" si="70">C33/C41*100</f>
        <v>67.568132450356416</v>
      </c>
      <c r="D43" s="241"/>
      <c r="E43" s="223">
        <f t="shared" ref="E43" si="71">E33/E41*100</f>
        <v>100.21973633084234</v>
      </c>
      <c r="F43" s="266">
        <f t="shared" ref="F43" si="72">F33/F41*100</f>
        <v>87.898523441801458</v>
      </c>
      <c r="G43" s="232">
        <f t="shared" ref="G43:H43" si="73">G33/G41*100</f>
        <v>79.230658326747587</v>
      </c>
      <c r="H43" s="241">
        <f t="shared" si="73"/>
        <v>72.707038500313843</v>
      </c>
      <c r="I43" s="241">
        <f t="shared" ref="I43" si="74">I33/I41*100</f>
        <v>67.568132450356572</v>
      </c>
      <c r="J43" s="232"/>
      <c r="K43" s="114" t="s">
        <v>7</v>
      </c>
      <c r="L43" s="115"/>
      <c r="M43" s="118" t="s">
        <v>273</v>
      </c>
      <c r="O43" s="84" t="s">
        <v>18</v>
      </c>
      <c r="P43" s="85">
        <v>40</v>
      </c>
      <c r="Q43" s="84" t="s">
        <v>263</v>
      </c>
      <c r="R43" s="77"/>
      <c r="S43" s="70" t="s">
        <v>186</v>
      </c>
      <c r="T43" s="74">
        <f>T42/T32*100</f>
        <v>93.089193529646607</v>
      </c>
      <c r="U43" s="75" t="s">
        <v>187</v>
      </c>
      <c r="V43" s="77"/>
      <c r="W43" s="271" t="s">
        <v>516</v>
      </c>
      <c r="X43" s="271"/>
      <c r="Y43" s="271"/>
      <c r="Z43" s="77"/>
      <c r="AA43" s="69" t="s">
        <v>30</v>
      </c>
      <c r="AB43" s="88">
        <f>1/(2*3.14*SQRT((AB41/1000000)*(AB42/1000000)))</f>
        <v>421736.81406829093</v>
      </c>
      <c r="AC43" s="69" t="s">
        <v>31</v>
      </c>
    </row>
    <row r="44" spans="2:30" ht="17.399999999999999" x14ac:dyDescent="0.25">
      <c r="B44" s="114"/>
      <c r="C44" s="237"/>
      <c r="D44" s="237"/>
      <c r="E44" s="219"/>
      <c r="F44" s="262"/>
      <c r="G44" s="228"/>
      <c r="H44" s="237"/>
      <c r="I44" s="237"/>
      <c r="J44" s="228"/>
      <c r="K44" s="114"/>
      <c r="L44" s="115"/>
      <c r="M44" s="114"/>
      <c r="O44" s="84" t="s">
        <v>100</v>
      </c>
      <c r="P44" s="85">
        <v>127</v>
      </c>
      <c r="Q44" s="84" t="s">
        <v>2</v>
      </c>
      <c r="R44" s="77"/>
      <c r="S44" s="70" t="s">
        <v>188</v>
      </c>
      <c r="T44" s="74">
        <f>T43*T43/100</f>
        <v>86.655979520000002</v>
      </c>
      <c r="U44" s="75" t="s">
        <v>187</v>
      </c>
      <c r="V44" s="77"/>
      <c r="W44" s="69" t="s">
        <v>212</v>
      </c>
      <c r="X44" s="67" t="s">
        <v>213</v>
      </c>
      <c r="Y44" s="67"/>
      <c r="Z44" s="77"/>
      <c r="AA44" s="77"/>
    </row>
    <row r="45" spans="2:30" ht="17.399999999999999" x14ac:dyDescent="0.25">
      <c r="B45" s="114" t="s">
        <v>90</v>
      </c>
      <c r="C45" s="240">
        <f t="shared" ref="C45" si="75">C30/C40</f>
        <v>189.93594546820557</v>
      </c>
      <c r="D45" s="240"/>
      <c r="E45" s="222">
        <f t="shared" ref="E45" si="76">E30/E40</f>
        <v>128.05478831149006</v>
      </c>
      <c r="F45" s="265">
        <f t="shared" ref="F45" si="77">F30/F40</f>
        <v>146.0049226990333</v>
      </c>
      <c r="G45" s="231">
        <f t="shared" ref="G45:H45" si="78">G30/G40</f>
        <v>161.97791854200634</v>
      </c>
      <c r="H45" s="240">
        <f t="shared" si="78"/>
        <v>176.51134450241719</v>
      </c>
      <c r="I45" s="240">
        <f t="shared" ref="I45" si="79">I30/I40</f>
        <v>189.93594546820557</v>
      </c>
      <c r="J45" s="231"/>
      <c r="K45" s="114" t="s">
        <v>2</v>
      </c>
      <c r="L45" s="115"/>
      <c r="M45" s="117" t="s">
        <v>268</v>
      </c>
      <c r="O45" s="84" t="s">
        <v>44</v>
      </c>
      <c r="P45" s="85">
        <v>401</v>
      </c>
      <c r="Q45" s="84" t="s">
        <v>0</v>
      </c>
      <c r="R45" s="77"/>
      <c r="S45" s="77"/>
      <c r="T45" s="77"/>
      <c r="U45" s="77"/>
      <c r="V45" s="77"/>
      <c r="W45" s="76" t="s">
        <v>214</v>
      </c>
      <c r="X45" s="78">
        <v>1.75</v>
      </c>
      <c r="Y45" s="76" t="s">
        <v>215</v>
      </c>
      <c r="Z45" s="77"/>
      <c r="AA45" s="77"/>
    </row>
    <row r="46" spans="2:30" ht="17.399999999999999" x14ac:dyDescent="0.25">
      <c r="B46" s="114" t="s">
        <v>91</v>
      </c>
      <c r="C46" s="236">
        <f t="shared" ref="C46" si="80">ROUND(C45*2^0.5*2/PI(),0)</f>
        <v>171</v>
      </c>
      <c r="D46" s="236"/>
      <c r="E46" s="218">
        <f t="shared" ref="E46" si="81">ROUND(E45*2^0.5*2/PI(),0)</f>
        <v>115</v>
      </c>
      <c r="F46" s="261">
        <f t="shared" ref="F46" si="82">ROUND(F45*2^0.5*2/PI(),0)</f>
        <v>131</v>
      </c>
      <c r="G46" s="227">
        <f t="shared" ref="G46:H46" si="83">ROUND(G45*2^0.5*2/PI(),0)</f>
        <v>146</v>
      </c>
      <c r="H46" s="236">
        <f t="shared" si="83"/>
        <v>159</v>
      </c>
      <c r="I46" s="236">
        <f t="shared" ref="I46" si="84">ROUND(I45*2^0.5*2/PI(),0)</f>
        <v>171</v>
      </c>
      <c r="J46" s="227"/>
      <c r="K46" s="114" t="s">
        <v>2</v>
      </c>
      <c r="L46" s="115"/>
      <c r="M46" s="114"/>
      <c r="O46" s="84" t="s">
        <v>492</v>
      </c>
      <c r="P46" s="85">
        <v>1</v>
      </c>
      <c r="Q46" s="84"/>
      <c r="R46" s="77"/>
      <c r="S46" s="271" t="s">
        <v>250</v>
      </c>
      <c r="T46" s="271"/>
      <c r="U46" s="271"/>
      <c r="V46" s="77"/>
      <c r="W46" s="76" t="s">
        <v>216</v>
      </c>
      <c r="X46" s="79">
        <v>3.8999999999999998E-3</v>
      </c>
      <c r="Y46" s="76" t="s">
        <v>217</v>
      </c>
      <c r="Z46" s="77"/>
      <c r="AA46" s="77"/>
    </row>
    <row r="47" spans="2:30" ht="17.399999999999999" x14ac:dyDescent="0.25">
      <c r="B47" s="114" t="s">
        <v>92</v>
      </c>
      <c r="C47" s="236">
        <f t="shared" ref="C47" si="85">C46/C38</f>
        <v>171</v>
      </c>
      <c r="D47" s="236"/>
      <c r="E47" s="218">
        <f t="shared" ref="E47" si="86">E46/E38</f>
        <v>115</v>
      </c>
      <c r="F47" s="261">
        <f t="shared" ref="F47" si="87">F46/F38</f>
        <v>131</v>
      </c>
      <c r="G47" s="227">
        <f t="shared" ref="G47:H47" si="88">G46/G38</f>
        <v>146</v>
      </c>
      <c r="H47" s="236">
        <f t="shared" si="88"/>
        <v>159</v>
      </c>
      <c r="I47" s="236">
        <f t="shared" ref="I47" si="89">I46/I38</f>
        <v>171</v>
      </c>
      <c r="J47" s="227"/>
      <c r="K47" s="114" t="s">
        <v>2</v>
      </c>
      <c r="L47" s="115"/>
      <c r="M47" s="114"/>
      <c r="O47" s="84" t="s">
        <v>56</v>
      </c>
      <c r="P47" s="86">
        <f>P45*0.9/P46</f>
        <v>360.90000000000003</v>
      </c>
      <c r="Q47" s="84" t="s">
        <v>0</v>
      </c>
      <c r="R47" s="77"/>
      <c r="S47" s="70" t="s">
        <v>156</v>
      </c>
      <c r="T47" s="71">
        <v>5808</v>
      </c>
      <c r="U47" s="70" t="s">
        <v>157</v>
      </c>
      <c r="V47" s="77"/>
      <c r="W47" s="76" t="s">
        <v>218</v>
      </c>
      <c r="X47" s="80">
        <v>45</v>
      </c>
      <c r="Y47" s="76" t="s">
        <v>48</v>
      </c>
      <c r="Z47" s="77"/>
      <c r="AA47" s="77"/>
    </row>
    <row r="48" spans="2:30" ht="18" thickBot="1" x14ac:dyDescent="0.3">
      <c r="B48" s="114" t="s">
        <v>93</v>
      </c>
      <c r="C48" s="236">
        <f>ROUND(C47/C11,3)</f>
        <v>1.71</v>
      </c>
      <c r="D48" s="236"/>
      <c r="E48" s="218">
        <f>ROUND(E47/E11,3)</f>
        <v>1.1499999999999999</v>
      </c>
      <c r="F48" s="267">
        <f>ROUND(F47/F11,3)</f>
        <v>1.31</v>
      </c>
      <c r="G48" s="227">
        <f>ROUND(G47/G11,3)</f>
        <v>1.46</v>
      </c>
      <c r="H48" s="236">
        <f>ROUND(H47/H11,3)</f>
        <v>1.59</v>
      </c>
      <c r="I48" s="236">
        <f>ROUND(I47/I11,3)</f>
        <v>1.71</v>
      </c>
      <c r="J48" s="227"/>
      <c r="K48" s="114"/>
      <c r="L48" s="115"/>
      <c r="M48" s="114"/>
      <c r="O48" s="84" t="s">
        <v>264</v>
      </c>
      <c r="P48" s="86">
        <f>(P43*1000)/(P44*P45*0.9/P46)</f>
        <v>0.87270886650390644</v>
      </c>
      <c r="Q48" s="84"/>
      <c r="R48" s="77"/>
      <c r="S48" s="70" t="s">
        <v>160</v>
      </c>
      <c r="T48" s="71">
        <v>680</v>
      </c>
      <c r="U48" s="70" t="s">
        <v>161</v>
      </c>
      <c r="V48" s="77"/>
      <c r="W48" s="76" t="s">
        <v>219</v>
      </c>
      <c r="X48" s="79">
        <f>X45*(1+X46*(X47-20))</f>
        <v>1.9206249999999998</v>
      </c>
      <c r="Y48" s="76" t="s">
        <v>215</v>
      </c>
      <c r="Z48" s="77"/>
      <c r="AA48" s="77"/>
    </row>
    <row r="49" spans="2:27" ht="17.399999999999999" x14ac:dyDescent="0.25">
      <c r="O49" s="84" t="s">
        <v>265</v>
      </c>
      <c r="P49" s="92">
        <f>DEGREES(ACOS(P48))</f>
        <v>29.225030363895115</v>
      </c>
      <c r="Q49" s="84"/>
      <c r="R49" s="77"/>
      <c r="S49" s="70" t="s">
        <v>163</v>
      </c>
      <c r="T49" s="71">
        <v>300</v>
      </c>
      <c r="U49" s="70" t="s">
        <v>164</v>
      </c>
      <c r="V49" s="77"/>
      <c r="W49" s="76" t="s">
        <v>220</v>
      </c>
      <c r="X49" s="81">
        <f>1/(X48/100000000)</f>
        <v>52066384.64041654</v>
      </c>
      <c r="Y49" s="76" t="s">
        <v>221</v>
      </c>
      <c r="Z49" s="77"/>
      <c r="AA49" s="77"/>
    </row>
    <row r="50" spans="2:27" ht="17.399999999999999" x14ac:dyDescent="0.25">
      <c r="B50" s="112" t="s">
        <v>313</v>
      </c>
      <c r="O50" s="77"/>
      <c r="P50" s="77"/>
      <c r="Q50" s="77"/>
      <c r="R50" s="77"/>
      <c r="S50" s="70" t="s">
        <v>166</v>
      </c>
      <c r="T50" s="88">
        <f>T47*T48/T49</f>
        <v>13164.8</v>
      </c>
      <c r="U50" s="70" t="s">
        <v>167</v>
      </c>
      <c r="V50" s="77"/>
      <c r="W50" s="76" t="s">
        <v>222</v>
      </c>
      <c r="X50" s="67">
        <v>1</v>
      </c>
      <c r="Y50" s="76" t="s">
        <v>223</v>
      </c>
      <c r="Z50" s="77"/>
      <c r="AA50" s="77"/>
    </row>
    <row r="51" spans="2:27" ht="17.399999999999999" x14ac:dyDescent="0.4">
      <c r="B51" s="96" t="s">
        <v>297</v>
      </c>
      <c r="C51" s="98">
        <v>1</v>
      </c>
      <c r="D51" s="98"/>
      <c r="E51" s="98">
        <v>1</v>
      </c>
      <c r="F51" s="98">
        <v>1</v>
      </c>
      <c r="G51" s="98">
        <v>1</v>
      </c>
      <c r="H51" s="98">
        <v>1</v>
      </c>
      <c r="I51" s="98">
        <v>1</v>
      </c>
      <c r="J51" s="98"/>
      <c r="K51" s="96" t="s">
        <v>49</v>
      </c>
      <c r="L51" s="115">
        <v>8</v>
      </c>
      <c r="M51" s="99" t="s">
        <v>301</v>
      </c>
      <c r="O51" s="270" t="s">
        <v>288</v>
      </c>
      <c r="P51" s="270"/>
      <c r="Q51" s="270"/>
      <c r="R51" s="77"/>
      <c r="S51" s="77"/>
      <c r="T51" s="77"/>
      <c r="U51" s="77"/>
      <c r="V51" s="77"/>
      <c r="W51" s="76" t="s">
        <v>37</v>
      </c>
      <c r="X51" s="82">
        <v>18000</v>
      </c>
      <c r="Y51" s="76" t="s">
        <v>224</v>
      </c>
      <c r="Z51" s="77"/>
      <c r="AA51" s="77"/>
    </row>
    <row r="52" spans="2:27" ht="17.399999999999999" x14ac:dyDescent="0.4">
      <c r="B52" s="96" t="s">
        <v>114</v>
      </c>
      <c r="C52" s="121">
        <f t="shared" ref="C52" si="90">C45/C51</f>
        <v>189.93594546820557</v>
      </c>
      <c r="D52" s="121"/>
      <c r="E52" s="121">
        <f t="shared" ref="E52" si="91">E45/E51</f>
        <v>128.05478831149006</v>
      </c>
      <c r="F52" s="121">
        <f t="shared" ref="F52" si="92">F45/F51</f>
        <v>146.0049226990333</v>
      </c>
      <c r="G52" s="121">
        <f t="shared" ref="G52:H52" si="93">G45/G51</f>
        <v>161.97791854200634</v>
      </c>
      <c r="H52" s="121">
        <f t="shared" si="93"/>
        <v>176.51134450241719</v>
      </c>
      <c r="I52" s="121">
        <f t="shared" ref="I52" si="94">I45/I51</f>
        <v>189.93594546820557</v>
      </c>
      <c r="J52" s="121"/>
      <c r="K52" s="96" t="s">
        <v>2</v>
      </c>
      <c r="L52" s="115"/>
      <c r="M52" s="96" t="s">
        <v>300</v>
      </c>
      <c r="O52" s="96" t="s">
        <v>317</v>
      </c>
      <c r="P52" s="97">
        <v>300</v>
      </c>
      <c r="Q52" s="96" t="s">
        <v>13</v>
      </c>
      <c r="R52" s="77"/>
      <c r="S52" s="271" t="s">
        <v>329</v>
      </c>
      <c r="T52" s="271"/>
      <c r="U52" s="271"/>
      <c r="V52" s="77"/>
      <c r="W52" s="76" t="s">
        <v>254</v>
      </c>
      <c r="X52" s="95">
        <f>503.3*SQRT((X48/100000000)/(X50*X51))*1000</f>
        <v>0.51989060179696034</v>
      </c>
      <c r="Y52" s="76" t="s">
        <v>225</v>
      </c>
      <c r="Z52" s="77"/>
      <c r="AA52" s="77"/>
    </row>
    <row r="53" spans="2:27" ht="17.399999999999999" x14ac:dyDescent="0.4">
      <c r="B53" s="96" t="s">
        <v>8</v>
      </c>
      <c r="C53" s="104">
        <v>0</v>
      </c>
      <c r="D53" s="104"/>
      <c r="E53" s="104">
        <v>3.6</v>
      </c>
      <c r="F53" s="104">
        <v>3.6</v>
      </c>
      <c r="G53" s="104">
        <v>3.6</v>
      </c>
      <c r="H53" s="104">
        <v>3.6</v>
      </c>
      <c r="I53" s="104">
        <v>3.6</v>
      </c>
      <c r="J53" s="104"/>
      <c r="K53" s="96" t="s">
        <v>45</v>
      </c>
      <c r="L53" s="115">
        <v>9</v>
      </c>
      <c r="M53" s="99" t="s">
        <v>117</v>
      </c>
      <c r="O53" s="96" t="s">
        <v>38</v>
      </c>
      <c r="P53" s="97">
        <v>1</v>
      </c>
      <c r="Q53" s="96" t="s">
        <v>13</v>
      </c>
      <c r="R53" s="77"/>
      <c r="S53" s="84" t="s">
        <v>320</v>
      </c>
      <c r="T53" s="85">
        <v>15.4</v>
      </c>
      <c r="U53" s="84" t="s">
        <v>13</v>
      </c>
      <c r="V53" s="77"/>
      <c r="W53" s="76" t="s">
        <v>255</v>
      </c>
      <c r="X53" s="89">
        <v>16000</v>
      </c>
      <c r="Y53" s="76" t="s">
        <v>225</v>
      </c>
      <c r="Z53" s="77"/>
      <c r="AA53" s="77"/>
    </row>
    <row r="54" spans="2:27" ht="17.399999999999999" x14ac:dyDescent="0.4">
      <c r="B54" s="96" t="s">
        <v>118</v>
      </c>
      <c r="C54" s="104">
        <v>0</v>
      </c>
      <c r="D54" s="104"/>
      <c r="E54" s="104">
        <v>25</v>
      </c>
      <c r="F54" s="104">
        <v>25</v>
      </c>
      <c r="G54" s="104">
        <v>25</v>
      </c>
      <c r="H54" s="104">
        <v>25</v>
      </c>
      <c r="I54" s="104">
        <v>25</v>
      </c>
      <c r="J54" s="104"/>
      <c r="K54" s="96" t="s">
        <v>0</v>
      </c>
      <c r="L54" s="115">
        <v>10</v>
      </c>
      <c r="M54" s="99" t="s">
        <v>119</v>
      </c>
      <c r="O54" s="96" t="s">
        <v>39</v>
      </c>
      <c r="P54" s="97">
        <v>100</v>
      </c>
      <c r="Q54" s="96" t="s">
        <v>13</v>
      </c>
      <c r="R54" s="77"/>
      <c r="S54" s="84" t="s">
        <v>321</v>
      </c>
      <c r="T54" s="85">
        <v>2</v>
      </c>
      <c r="U54" s="84" t="s">
        <v>13</v>
      </c>
      <c r="V54" s="77"/>
      <c r="W54" s="76" t="s">
        <v>279</v>
      </c>
      <c r="X54" s="89">
        <v>2</v>
      </c>
      <c r="Y54" s="76" t="s">
        <v>225</v>
      </c>
      <c r="Z54" s="77"/>
      <c r="AA54" s="77"/>
    </row>
    <row r="55" spans="2:27" ht="17.399999999999999" x14ac:dyDescent="0.4">
      <c r="B55" s="96" t="s">
        <v>9</v>
      </c>
      <c r="C55" s="108">
        <f t="shared" ref="C55" si="95">C54*C53/1000000*C56*1000</f>
        <v>0</v>
      </c>
      <c r="D55" s="108"/>
      <c r="E55" s="108">
        <f t="shared" ref="E55" si="96">E54*E53/1000000*E56*1000</f>
        <v>0.65343429769915662</v>
      </c>
      <c r="F55" s="108">
        <f t="shared" ref="F55" si="97">F54*F53/1000000*F56*1000</f>
        <v>0.64909231523773103</v>
      </c>
      <c r="G55" s="108">
        <f t="shared" ref="G55:H55" si="98">G54*G53/1000000*G56*1000</f>
        <v>0.64639290328150745</v>
      </c>
      <c r="H55" s="108">
        <f t="shared" si="98"/>
        <v>0.64455228899312655</v>
      </c>
      <c r="I55" s="108">
        <f t="shared" ref="I55" si="99">I54*I53/1000000*I56*1000</f>
        <v>0.64321690243660889</v>
      </c>
      <c r="J55" s="108"/>
      <c r="K55" s="96" t="s">
        <v>6</v>
      </c>
      <c r="L55" s="115"/>
      <c r="M55" s="96"/>
      <c r="O55" s="96" t="s">
        <v>75</v>
      </c>
      <c r="P55" s="102">
        <f>12.5*(P53/10)*(P54/10)/(P52/10)</f>
        <v>0.41666666666666669</v>
      </c>
      <c r="Q55" s="96" t="s">
        <v>40</v>
      </c>
      <c r="R55" s="77"/>
      <c r="S55" s="84" t="s">
        <v>322</v>
      </c>
      <c r="T55" s="86">
        <f>T53+T54*2</f>
        <v>19.399999999999999</v>
      </c>
      <c r="U55" s="84" t="s">
        <v>13</v>
      </c>
      <c r="V55" s="77"/>
      <c r="W55" s="76" t="s">
        <v>278</v>
      </c>
      <c r="X55" s="90">
        <f>MIN(X52,X54)</f>
        <v>0.51989060179696034</v>
      </c>
      <c r="Y55" s="76" t="s">
        <v>225</v>
      </c>
      <c r="Z55" s="77"/>
      <c r="AA55" s="77"/>
    </row>
    <row r="56" spans="2:27" ht="17.399999999999999" x14ac:dyDescent="0.4">
      <c r="B56" s="96" t="s">
        <v>116</v>
      </c>
      <c r="C56" s="121">
        <f>C23</f>
        <v>7.4339522201849233</v>
      </c>
      <c r="D56" s="121"/>
      <c r="E56" s="121">
        <f>E23</f>
        <v>7.2603810855461841</v>
      </c>
      <c r="F56" s="121">
        <f>F23</f>
        <v>7.2121368359747899</v>
      </c>
      <c r="G56" s="121">
        <f>G23</f>
        <v>7.1821433697945265</v>
      </c>
      <c r="H56" s="121">
        <f>H23</f>
        <v>7.161692099923628</v>
      </c>
      <c r="I56" s="121">
        <f>I23</f>
        <v>7.1468544715178766</v>
      </c>
      <c r="J56" s="121"/>
      <c r="K56" s="96" t="s">
        <v>4</v>
      </c>
      <c r="L56" s="115"/>
      <c r="M56" s="96" t="s">
        <v>115</v>
      </c>
      <c r="S56" s="125" t="s">
        <v>323</v>
      </c>
      <c r="T56" s="126">
        <v>8.8539999999999992E-12</v>
      </c>
      <c r="U56" s="114"/>
      <c r="W56" s="76" t="s">
        <v>259</v>
      </c>
      <c r="X56" s="89">
        <v>15</v>
      </c>
      <c r="Y56" s="76" t="s">
        <v>225</v>
      </c>
    </row>
    <row r="57" spans="2:27" ht="17.399999999999999" x14ac:dyDescent="0.4">
      <c r="B57" s="96" t="s">
        <v>296</v>
      </c>
      <c r="C57" s="107">
        <f t="shared" ref="C57" si="100">C52*1.414</f>
        <v>268.56942689204266</v>
      </c>
      <c r="D57" s="107"/>
      <c r="E57" s="107">
        <f t="shared" ref="E57" si="101">E52*1.414</f>
        <v>181.06947067244693</v>
      </c>
      <c r="F57" s="107">
        <f t="shared" ref="F57" si="102">F52*1.414</f>
        <v>206.45096069643307</v>
      </c>
      <c r="G57" s="107">
        <f t="shared" ref="G57:H57" si="103">G52*1.414</f>
        <v>229.03677681839696</v>
      </c>
      <c r="H57" s="107">
        <f t="shared" si="103"/>
        <v>249.58704112641789</v>
      </c>
      <c r="I57" s="107">
        <f t="shared" ref="I57" si="104">I52*1.414</f>
        <v>268.56942689204266</v>
      </c>
      <c r="J57" s="107"/>
      <c r="K57" s="96" t="s">
        <v>2</v>
      </c>
      <c r="L57" s="115"/>
      <c r="M57" s="96" t="s">
        <v>302</v>
      </c>
      <c r="O57" s="270" t="s">
        <v>314</v>
      </c>
      <c r="P57" s="270"/>
      <c r="Q57" s="270"/>
      <c r="S57" s="125" t="s">
        <v>324</v>
      </c>
      <c r="T57" s="123">
        <v>2.1</v>
      </c>
      <c r="U57" s="114" t="s">
        <v>319</v>
      </c>
      <c r="W57" s="76" t="s">
        <v>260</v>
      </c>
      <c r="X57" s="89">
        <v>15</v>
      </c>
      <c r="Y57" s="76" t="s">
        <v>225</v>
      </c>
    </row>
    <row r="58" spans="2:27" ht="17.399999999999999" x14ac:dyDescent="0.4">
      <c r="B58" s="96" t="s">
        <v>120</v>
      </c>
      <c r="C58" s="104">
        <v>0</v>
      </c>
      <c r="D58" s="104"/>
      <c r="E58" s="104">
        <v>27</v>
      </c>
      <c r="F58" s="104">
        <v>27</v>
      </c>
      <c r="G58" s="104">
        <v>27</v>
      </c>
      <c r="H58" s="104">
        <v>27</v>
      </c>
      <c r="I58" s="104">
        <v>27</v>
      </c>
      <c r="J58" s="104"/>
      <c r="K58" s="96" t="s">
        <v>5</v>
      </c>
      <c r="L58" s="115">
        <v>11</v>
      </c>
      <c r="M58" s="99" t="s">
        <v>121</v>
      </c>
      <c r="O58" s="96" t="s">
        <v>315</v>
      </c>
      <c r="P58" s="97">
        <v>3000</v>
      </c>
      <c r="Q58" s="96" t="s">
        <v>50</v>
      </c>
      <c r="S58" s="114" t="s">
        <v>325</v>
      </c>
      <c r="T58" s="126">
        <f>2*PI()*T56*T57/(LN(T55/T53))*1000000000</f>
        <v>0.50594615125588516</v>
      </c>
      <c r="U58" s="114" t="s">
        <v>318</v>
      </c>
      <c r="W58" s="76" t="s">
        <v>275</v>
      </c>
      <c r="X58" s="95">
        <f>(X56*X57)-((X56-2*X55)*(X57-2*X55))</f>
        <v>30.112291156470377</v>
      </c>
      <c r="Y58" s="76" t="s">
        <v>251</v>
      </c>
    </row>
    <row r="59" spans="2:27" ht="17.399999999999999" x14ac:dyDescent="0.4">
      <c r="B59" s="96" t="s">
        <v>122</v>
      </c>
      <c r="C59" s="108">
        <v>0</v>
      </c>
      <c r="D59" s="108"/>
      <c r="E59" s="108">
        <v>0</v>
      </c>
      <c r="F59" s="108">
        <v>0</v>
      </c>
      <c r="G59" s="108">
        <v>0</v>
      </c>
      <c r="H59" s="108">
        <v>0</v>
      </c>
      <c r="I59" s="108">
        <v>0</v>
      </c>
      <c r="J59" s="108"/>
      <c r="K59" s="96" t="s">
        <v>5</v>
      </c>
      <c r="L59" s="115"/>
      <c r="M59" s="96"/>
      <c r="O59" s="96" t="s">
        <v>38</v>
      </c>
      <c r="P59" s="97">
        <v>1</v>
      </c>
      <c r="Q59" s="96" t="s">
        <v>13</v>
      </c>
      <c r="S59" s="114" t="s">
        <v>326</v>
      </c>
      <c r="T59" s="123">
        <v>10</v>
      </c>
      <c r="U59" s="114" t="s">
        <v>328</v>
      </c>
      <c r="W59" s="76" t="s">
        <v>256</v>
      </c>
      <c r="X59" s="89">
        <v>935</v>
      </c>
      <c r="Y59" s="68" t="s">
        <v>252</v>
      </c>
    </row>
    <row r="60" spans="2:27" ht="17.399999999999999" x14ac:dyDescent="0.4">
      <c r="B60" s="96" t="s">
        <v>123</v>
      </c>
      <c r="C60" s="108">
        <v>0</v>
      </c>
      <c r="D60" s="108"/>
      <c r="E60" s="108">
        <v>0</v>
      </c>
      <c r="F60" s="108">
        <v>0</v>
      </c>
      <c r="G60" s="108">
        <v>0</v>
      </c>
      <c r="H60" s="108">
        <v>0</v>
      </c>
      <c r="I60" s="108">
        <v>0</v>
      </c>
      <c r="J60" s="108"/>
      <c r="K60" s="96" t="s">
        <v>5</v>
      </c>
      <c r="L60" s="115"/>
      <c r="M60" s="96"/>
      <c r="O60" s="96" t="s">
        <v>316</v>
      </c>
      <c r="P60" s="97">
        <v>2.1</v>
      </c>
      <c r="Q60" s="96" t="s">
        <v>319</v>
      </c>
      <c r="R60" s="2"/>
      <c r="S60" s="114" t="s">
        <v>327</v>
      </c>
      <c r="T60" s="127">
        <f>T58*T59</f>
        <v>5.0594615125588511</v>
      </c>
      <c r="U60" s="114" t="s">
        <v>318</v>
      </c>
      <c r="W60" s="76" t="s">
        <v>517</v>
      </c>
      <c r="X60" s="91">
        <f>X59/X58</f>
        <v>31.050443659086763</v>
      </c>
      <c r="Y60" s="68" t="s">
        <v>252</v>
      </c>
    </row>
    <row r="61" spans="2:27" ht="17.399999999999999" x14ac:dyDescent="0.4">
      <c r="B61" s="96" t="s">
        <v>124</v>
      </c>
      <c r="C61" s="105">
        <f t="shared" ref="C61" si="105">C58*C56+C59*C56</f>
        <v>0</v>
      </c>
      <c r="D61" s="105"/>
      <c r="E61" s="105">
        <f t="shared" ref="E61" si="106">E58*E56+E59*E56</f>
        <v>196.03028930974696</v>
      </c>
      <c r="F61" s="105">
        <f t="shared" ref="F61" si="107">F58*F56+F59*F56</f>
        <v>194.72769457131932</v>
      </c>
      <c r="G61" s="105">
        <f t="shared" ref="G61:H61" si="108">G58*G56+G59*G56</f>
        <v>193.91787098445221</v>
      </c>
      <c r="H61" s="105">
        <f t="shared" si="108"/>
        <v>193.36568669793795</v>
      </c>
      <c r="I61" s="105">
        <f t="shared" ref="I61" si="109">I58*I56+I59*I56</f>
        <v>192.96507073098266</v>
      </c>
      <c r="J61" s="105"/>
      <c r="K61" s="96" t="s">
        <v>6</v>
      </c>
      <c r="L61" s="115"/>
      <c r="M61" s="96"/>
      <c r="O61" s="96" t="s">
        <v>76</v>
      </c>
      <c r="P61" s="102">
        <f>8.854/1000000000000*P60*(P58/1000000)/(P59/1000)*1000000000</f>
        <v>5.5780200000000002E-2</v>
      </c>
      <c r="Q61" s="96" t="s">
        <v>318</v>
      </c>
      <c r="W61" s="76" t="s">
        <v>257</v>
      </c>
      <c r="X61" s="91">
        <f>X48/100000000*(X59^2)/(X58/1000000)*X53/1000</f>
        <v>8921.5842495689321</v>
      </c>
      <c r="Y61" s="68" t="s">
        <v>253</v>
      </c>
    </row>
    <row r="62" spans="2:27" ht="17.399999999999999" x14ac:dyDescent="0.4">
      <c r="B62" s="96" t="s">
        <v>125</v>
      </c>
      <c r="C62" s="108">
        <f t="shared" ref="C62" si="110">C56*C60</f>
        <v>0</v>
      </c>
      <c r="D62" s="108"/>
      <c r="E62" s="108">
        <f t="shared" ref="E62" si="111">E56*E60</f>
        <v>0</v>
      </c>
      <c r="F62" s="108">
        <f t="shared" ref="F62" si="112">F56*F60</f>
        <v>0</v>
      </c>
      <c r="G62" s="108">
        <f t="shared" ref="G62:H62" si="113">G56*G60</f>
        <v>0</v>
      </c>
      <c r="H62" s="108">
        <f t="shared" si="113"/>
        <v>0</v>
      </c>
      <c r="I62" s="108">
        <f t="shared" ref="I62" si="114">I56*I60</f>
        <v>0</v>
      </c>
      <c r="J62" s="108"/>
      <c r="K62" s="96" t="s">
        <v>6</v>
      </c>
      <c r="L62" s="115"/>
      <c r="M62" s="96"/>
    </row>
    <row r="63" spans="2:27" ht="17.399999999999999" x14ac:dyDescent="0.4">
      <c r="B63" s="96" t="s">
        <v>126</v>
      </c>
      <c r="C63" s="104">
        <v>100</v>
      </c>
      <c r="D63" s="104"/>
      <c r="E63" s="104">
        <v>100</v>
      </c>
      <c r="F63" s="104">
        <v>100</v>
      </c>
      <c r="G63" s="104">
        <v>100</v>
      </c>
      <c r="H63" s="104">
        <v>100</v>
      </c>
      <c r="I63" s="104">
        <v>100</v>
      </c>
      <c r="J63" s="104"/>
      <c r="K63" s="96" t="s">
        <v>7</v>
      </c>
      <c r="L63" s="115">
        <v>12</v>
      </c>
      <c r="M63" s="99" t="s">
        <v>127</v>
      </c>
      <c r="O63" s="272" t="s">
        <v>493</v>
      </c>
      <c r="P63" s="272"/>
      <c r="Q63" s="272"/>
      <c r="R63"/>
      <c r="W63" s="271" t="s">
        <v>513</v>
      </c>
      <c r="X63" s="271"/>
      <c r="Y63" s="271"/>
    </row>
    <row r="64" spans="2:27" ht="17.399999999999999" x14ac:dyDescent="0.4">
      <c r="B64" s="96" t="s">
        <v>128</v>
      </c>
      <c r="C64" s="109">
        <f t="shared" ref="C64" si="115">C61*C63/100</f>
        <v>0</v>
      </c>
      <c r="D64" s="109"/>
      <c r="E64" s="109">
        <f t="shared" ref="E64" si="116">E61*E63/100</f>
        <v>196.03028930974696</v>
      </c>
      <c r="F64" s="109">
        <f t="shared" ref="F64" si="117">F61*F63/100</f>
        <v>194.72769457131935</v>
      </c>
      <c r="G64" s="109">
        <f t="shared" ref="G64:H64" si="118">G61*G63/100</f>
        <v>193.91787098445221</v>
      </c>
      <c r="H64" s="109">
        <f t="shared" si="118"/>
        <v>193.36568669793797</v>
      </c>
      <c r="I64" s="109">
        <f t="shared" ref="I64" si="119">I61*I63/100</f>
        <v>192.96507073098266</v>
      </c>
      <c r="J64" s="109"/>
      <c r="K64" s="96" t="s">
        <v>6</v>
      </c>
      <c r="L64" s="115"/>
      <c r="M64" s="96"/>
      <c r="O64" s="143"/>
      <c r="P64" s="144" t="s">
        <v>486</v>
      </c>
      <c r="Q64" s="144" t="s">
        <v>487</v>
      </c>
      <c r="R64" s="144" t="s">
        <v>488</v>
      </c>
      <c r="W64" s="69" t="s">
        <v>212</v>
      </c>
      <c r="X64" s="67" t="s">
        <v>213</v>
      </c>
      <c r="Y64" s="67"/>
    </row>
    <row r="65" spans="2:25" ht="17.399999999999999" x14ac:dyDescent="0.4">
      <c r="B65" s="96" t="s">
        <v>129</v>
      </c>
      <c r="C65" s="107">
        <f t="shared" ref="C65" si="120">C52*0.9</f>
        <v>170.94235092138501</v>
      </c>
      <c r="D65" s="107"/>
      <c r="E65" s="107">
        <f t="shared" ref="E65" si="121">E52*0.9</f>
        <v>115.24930948034105</v>
      </c>
      <c r="F65" s="107">
        <f t="shared" ref="F65" si="122">F52*0.9</f>
        <v>131.40443042912997</v>
      </c>
      <c r="G65" s="107">
        <f t="shared" ref="G65:H65" si="123">G52*0.9</f>
        <v>145.7801266878057</v>
      </c>
      <c r="H65" s="107">
        <f t="shared" si="123"/>
        <v>158.86021005217546</v>
      </c>
      <c r="I65" s="107">
        <f t="shared" ref="I65" si="124">I52*0.9</f>
        <v>170.94235092138501</v>
      </c>
      <c r="J65" s="107"/>
      <c r="K65" s="96" t="s">
        <v>2</v>
      </c>
      <c r="L65" s="115"/>
      <c r="M65" s="96"/>
      <c r="O65" s="144" t="s">
        <v>485</v>
      </c>
      <c r="P65" s="144" t="s">
        <v>491</v>
      </c>
      <c r="Q65" s="144" t="s">
        <v>489</v>
      </c>
      <c r="R65" s="144" t="s">
        <v>490</v>
      </c>
      <c r="W65" s="76" t="s">
        <v>214</v>
      </c>
      <c r="X65" s="78">
        <v>1.75</v>
      </c>
      <c r="Y65" s="76" t="s">
        <v>215</v>
      </c>
    </row>
    <row r="66" spans="2:25" ht="17.399999999999999" x14ac:dyDescent="0.4">
      <c r="B66" s="96" t="s">
        <v>130</v>
      </c>
      <c r="C66" s="104">
        <v>0</v>
      </c>
      <c r="D66" s="104"/>
      <c r="E66" s="104">
        <v>1.4</v>
      </c>
      <c r="F66" s="104">
        <v>1.4</v>
      </c>
      <c r="G66" s="104">
        <v>1.4</v>
      </c>
      <c r="H66" s="104">
        <v>1.4</v>
      </c>
      <c r="I66" s="104">
        <v>1.4</v>
      </c>
      <c r="J66" s="104"/>
      <c r="K66" s="96" t="s">
        <v>44</v>
      </c>
      <c r="L66" s="115">
        <v>13</v>
      </c>
      <c r="M66" s="99" t="s">
        <v>131</v>
      </c>
      <c r="O66" s="142">
        <v>0.5</v>
      </c>
      <c r="P66" s="142"/>
      <c r="Q66" s="142">
        <v>2.5</v>
      </c>
      <c r="R66" s="142"/>
      <c r="W66" s="76" t="s">
        <v>216</v>
      </c>
      <c r="X66" s="79">
        <v>3.8999999999999998E-3</v>
      </c>
      <c r="Y66" s="76" t="s">
        <v>217</v>
      </c>
    </row>
    <row r="67" spans="2:25" ht="17.399999999999999" x14ac:dyDescent="0.4">
      <c r="B67" s="96" t="s">
        <v>132</v>
      </c>
      <c r="C67" s="104">
        <v>0</v>
      </c>
      <c r="D67" s="104"/>
      <c r="E67" s="104">
        <v>1.35</v>
      </c>
      <c r="F67" s="104">
        <v>1.35</v>
      </c>
      <c r="G67" s="104">
        <v>1.35</v>
      </c>
      <c r="H67" s="104">
        <v>1.35</v>
      </c>
      <c r="I67" s="104">
        <v>1.35</v>
      </c>
      <c r="J67" s="104"/>
      <c r="K67" s="96" t="s">
        <v>44</v>
      </c>
      <c r="L67" s="115">
        <v>14</v>
      </c>
      <c r="M67" s="99" t="s">
        <v>133</v>
      </c>
      <c r="O67" s="142">
        <v>0.8</v>
      </c>
      <c r="P67" s="142">
        <v>2</v>
      </c>
      <c r="Q67" s="142">
        <v>1.42</v>
      </c>
      <c r="R67" s="142"/>
      <c r="W67" s="76" t="s">
        <v>218</v>
      </c>
      <c r="X67" s="80">
        <v>45</v>
      </c>
      <c r="Y67" s="76" t="s">
        <v>48</v>
      </c>
    </row>
    <row r="68" spans="2:25" ht="17.399999999999999" x14ac:dyDescent="0.4">
      <c r="B68" s="96" t="s">
        <v>72</v>
      </c>
      <c r="C68" s="108">
        <f t="shared" ref="C68" si="125">C43</f>
        <v>67.568132450356416</v>
      </c>
      <c r="D68" s="108"/>
      <c r="E68" s="108">
        <f t="shared" ref="E68" si="126">E43</f>
        <v>100.21973633084234</v>
      </c>
      <c r="F68" s="108">
        <f t="shared" ref="F68" si="127">F43</f>
        <v>87.898523441801458</v>
      </c>
      <c r="G68" s="108">
        <f t="shared" ref="G68:H68" si="128">G43</f>
        <v>79.230658326747587</v>
      </c>
      <c r="H68" s="108">
        <f t="shared" si="128"/>
        <v>72.707038500313843</v>
      </c>
      <c r="I68" s="108">
        <f t="shared" ref="I68" si="129">I43</f>
        <v>67.568132450356572</v>
      </c>
      <c r="J68" s="108"/>
      <c r="K68" s="96" t="s">
        <v>7</v>
      </c>
      <c r="L68" s="115"/>
      <c r="M68" s="99"/>
      <c r="O68" s="142">
        <v>1</v>
      </c>
      <c r="P68" s="142">
        <v>2</v>
      </c>
      <c r="Q68" s="142">
        <v>1.4</v>
      </c>
      <c r="R68" s="142"/>
      <c r="W68" s="76" t="s">
        <v>219</v>
      </c>
      <c r="X68" s="79">
        <f>X65*(1+X66*(X67-20))</f>
        <v>1.9206249999999998</v>
      </c>
      <c r="Y68" s="76" t="s">
        <v>215</v>
      </c>
    </row>
    <row r="69" spans="2:25" ht="17.399999999999999" x14ac:dyDescent="0.4">
      <c r="B69" s="96" t="s">
        <v>134</v>
      </c>
      <c r="C69" s="108">
        <f>C19</f>
        <v>30</v>
      </c>
      <c r="D69" s="108"/>
      <c r="E69" s="108">
        <f>E19</f>
        <v>30</v>
      </c>
      <c r="F69" s="108">
        <f>F19</f>
        <v>30</v>
      </c>
      <c r="G69" s="108">
        <f>G19</f>
        <v>30</v>
      </c>
      <c r="H69" s="108">
        <f>H19</f>
        <v>30</v>
      </c>
      <c r="I69" s="108">
        <f>I19</f>
        <v>30</v>
      </c>
      <c r="J69" s="108"/>
      <c r="K69" s="96" t="s">
        <v>79</v>
      </c>
      <c r="L69" s="115"/>
      <c r="M69" s="96"/>
      <c r="O69" s="142">
        <v>1.2</v>
      </c>
      <c r="P69" s="142"/>
      <c r="Q69" s="142">
        <v>1.04</v>
      </c>
      <c r="R69" s="142"/>
      <c r="W69" s="76" t="s">
        <v>220</v>
      </c>
      <c r="X69" s="81">
        <f>1/(X68/100000000)</f>
        <v>52066384.64041654</v>
      </c>
      <c r="Y69" s="76" t="s">
        <v>221</v>
      </c>
    </row>
    <row r="70" spans="2:25" ht="17.399999999999999" x14ac:dyDescent="0.4">
      <c r="B70" s="96" t="s">
        <v>135</v>
      </c>
      <c r="C70" s="108">
        <f t="shared" ref="C70" si="130">ROUNDUP((C65*C66*((C68*180/100-C69)/180))/2,0)</f>
        <v>0</v>
      </c>
      <c r="D70" s="108"/>
      <c r="E70" s="108">
        <f t="shared" ref="E70" si="131">ROUNDUP((E65*E66*((E68*180/100-E69)/180))/2,0)</f>
        <v>68</v>
      </c>
      <c r="F70" s="108">
        <f t="shared" ref="F70" si="132">ROUNDUP((F65*F66*((F68*180/100-F69)/180))/2,0)</f>
        <v>66</v>
      </c>
      <c r="G70" s="108">
        <f t="shared" ref="G70:H70" si="133">ROUNDUP((G65*G66*((G68*180/100-G69)/180))/2,0)</f>
        <v>64</v>
      </c>
      <c r="H70" s="108">
        <f t="shared" si="133"/>
        <v>63</v>
      </c>
      <c r="I70" s="108">
        <f t="shared" ref="I70" si="134">ROUNDUP((I65*I66*((I68*180/100-I69)/180))/2,0)</f>
        <v>61</v>
      </c>
      <c r="J70" s="108"/>
      <c r="K70" s="96" t="s">
        <v>6</v>
      </c>
      <c r="L70" s="115"/>
      <c r="M70" s="96"/>
      <c r="O70" s="142">
        <v>2</v>
      </c>
      <c r="P70" s="142">
        <v>1.1200000000000001</v>
      </c>
      <c r="Q70" s="142">
        <v>0.75</v>
      </c>
      <c r="R70" s="142"/>
      <c r="W70" s="76" t="s">
        <v>222</v>
      </c>
      <c r="X70" s="67">
        <v>1</v>
      </c>
      <c r="Y70" s="76" t="s">
        <v>223</v>
      </c>
    </row>
    <row r="71" spans="2:25" ht="17.399999999999999" x14ac:dyDescent="0.4">
      <c r="B71" s="96" t="s">
        <v>136</v>
      </c>
      <c r="C71" s="108">
        <f t="shared" ref="C71" si="135">ROUNDUP((C65*C67*(1-(C68*180/100-C69)/180))/2,0)</f>
        <v>0</v>
      </c>
      <c r="D71" s="108"/>
      <c r="E71" s="108">
        <f t="shared" ref="E71" si="136">ROUNDUP((E65*E67*(1-(E68*180/100-E69)/180))/2,0)</f>
        <v>13</v>
      </c>
      <c r="F71" s="108">
        <f t="shared" ref="F71" si="137">ROUNDUP((F65*F67*(1-(F68*180/100-F69)/180))/2,0)</f>
        <v>26</v>
      </c>
      <c r="G71" s="108">
        <f t="shared" ref="G71:H71" si="138">ROUNDUP((G65*G67*(1-(G68*180/100-G69)/180))/2,0)</f>
        <v>37</v>
      </c>
      <c r="H71" s="108">
        <f t="shared" si="138"/>
        <v>48</v>
      </c>
      <c r="I71" s="108">
        <f t="shared" ref="I71" si="139">ROUNDUP((I65*I67*(1-(I68*180/100-I69)/180))/2,0)</f>
        <v>57</v>
      </c>
      <c r="J71" s="108"/>
      <c r="K71" s="96" t="s">
        <v>6</v>
      </c>
      <c r="L71" s="115"/>
      <c r="M71" s="96"/>
      <c r="O71" s="142">
        <v>3</v>
      </c>
      <c r="P71" s="142">
        <v>0.71</v>
      </c>
      <c r="Q71" s="142">
        <v>0.57999999999999996</v>
      </c>
      <c r="R71" s="142"/>
      <c r="W71" s="76" t="s">
        <v>255</v>
      </c>
      <c r="X71" s="89">
        <v>6126</v>
      </c>
      <c r="Y71" s="76" t="s">
        <v>225</v>
      </c>
    </row>
    <row r="72" spans="2:25" ht="17.399999999999999" x14ac:dyDescent="0.4">
      <c r="B72" s="96" t="s">
        <v>69</v>
      </c>
      <c r="C72" s="109">
        <f t="shared" ref="C72" si="140">ROUNDUP(((C65*C66*(((C68*180/100-C69)/180))+(C65*C67*(1-(C68*180/100-C69)/180))))/2,0)</f>
        <v>0</v>
      </c>
      <c r="D72" s="109"/>
      <c r="E72" s="109">
        <f t="shared" ref="E72" si="141">ROUNDUP(((E65*E66*(((E68*180/100-E69)/180))+(E65*E67*(1-(E68*180/100-E69)/180))))/2,0)</f>
        <v>81</v>
      </c>
      <c r="F72" s="109">
        <f t="shared" ref="F72" si="142">ROUNDUP(((F65*F66*(((F68*180/100-F69)/180))+(F65*F67*(1-(F68*180/100-F69)/180))))/2,0)</f>
        <v>92</v>
      </c>
      <c r="G72" s="109">
        <f t="shared" ref="G72:H72" si="143">ROUNDUP(((G65*G66*(((G68*180/100-G69)/180))+(G65*G67*(1-(G68*180/100-G69)/180))))/2,0)</f>
        <v>101</v>
      </c>
      <c r="H72" s="109">
        <f t="shared" si="143"/>
        <v>110</v>
      </c>
      <c r="I72" s="109">
        <f t="shared" ref="I72" si="144">ROUNDUP(((I65*I66*(((I68*180/100-I69)/180))+(I65*I67*(1-(I68*180/100-I69)/180))))/2,0)</f>
        <v>118</v>
      </c>
      <c r="J72" s="109"/>
      <c r="K72" s="96" t="s">
        <v>6</v>
      </c>
      <c r="L72" s="115"/>
      <c r="M72" s="96"/>
      <c r="O72" s="142">
        <v>5</v>
      </c>
      <c r="P72" s="142">
        <v>0.43</v>
      </c>
      <c r="Q72" s="142">
        <v>0.36</v>
      </c>
      <c r="R72" s="142"/>
      <c r="W72" s="76" t="s">
        <v>280</v>
      </c>
      <c r="X72" s="89">
        <v>2</v>
      </c>
      <c r="Y72" s="76" t="s">
        <v>225</v>
      </c>
    </row>
    <row r="73" spans="2:25" ht="17.399999999999999" x14ac:dyDescent="0.4">
      <c r="B73" s="96" t="s">
        <v>298</v>
      </c>
      <c r="C73" s="108">
        <f t="shared" ref="C73" si="145">C64+C70</f>
        <v>0</v>
      </c>
      <c r="D73" s="108"/>
      <c r="E73" s="108">
        <f t="shared" ref="E73" si="146">E64+E70</f>
        <v>264.03028930974699</v>
      </c>
      <c r="F73" s="108">
        <f t="shared" ref="F73" si="147">F64+F70</f>
        <v>260.72769457131938</v>
      </c>
      <c r="G73" s="108">
        <f t="shared" ref="G73:H73" si="148">G64+G70</f>
        <v>257.91787098445218</v>
      </c>
      <c r="H73" s="108">
        <f t="shared" si="148"/>
        <v>256.36568669793797</v>
      </c>
      <c r="I73" s="108">
        <f t="shared" ref="I73" si="149">I64+I70</f>
        <v>253.96507073098266</v>
      </c>
      <c r="J73" s="108"/>
      <c r="K73" s="96" t="s">
        <v>6</v>
      </c>
      <c r="L73" s="115"/>
      <c r="M73" s="96"/>
      <c r="O73" s="142">
        <v>6</v>
      </c>
      <c r="P73" s="142"/>
      <c r="Q73" s="142">
        <v>0.34</v>
      </c>
      <c r="R73" s="142">
        <v>0.62</v>
      </c>
      <c r="W73" s="76" t="s">
        <v>276</v>
      </c>
      <c r="X73" s="89">
        <v>60</v>
      </c>
      <c r="Y73" s="76" t="s">
        <v>225</v>
      </c>
    </row>
    <row r="74" spans="2:25" ht="17.399999999999999" x14ac:dyDescent="0.4">
      <c r="B74" s="96" t="s">
        <v>299</v>
      </c>
      <c r="C74" s="108">
        <f t="shared" ref="C74" si="150">C71+C62</f>
        <v>0</v>
      </c>
      <c r="D74" s="108"/>
      <c r="E74" s="108">
        <f t="shared" ref="E74" si="151">E71+E62</f>
        <v>13</v>
      </c>
      <c r="F74" s="108">
        <f t="shared" ref="F74" si="152">F71+F62</f>
        <v>26</v>
      </c>
      <c r="G74" s="108">
        <f t="shared" ref="G74:H74" si="153">G71+G62</f>
        <v>37</v>
      </c>
      <c r="H74" s="108">
        <f t="shared" si="153"/>
        <v>48</v>
      </c>
      <c r="I74" s="108">
        <f t="shared" ref="I74" si="154">I71+I62</f>
        <v>57</v>
      </c>
      <c r="J74" s="108"/>
      <c r="K74" s="96" t="s">
        <v>6</v>
      </c>
      <c r="L74" s="115"/>
      <c r="M74" s="96"/>
      <c r="O74" s="142">
        <v>8</v>
      </c>
      <c r="P74" s="142">
        <v>0.3</v>
      </c>
      <c r="Q74" s="142">
        <v>0.25</v>
      </c>
      <c r="R74" s="142"/>
      <c r="W74" s="76" t="s">
        <v>275</v>
      </c>
      <c r="X74" s="95">
        <f>X72*X73</f>
        <v>120</v>
      </c>
      <c r="Y74" s="76" t="s">
        <v>251</v>
      </c>
    </row>
    <row r="75" spans="2:25" ht="17.399999999999999" x14ac:dyDescent="0.4">
      <c r="B75" s="96" t="s">
        <v>306</v>
      </c>
      <c r="C75" s="109">
        <f t="shared" ref="C75" si="155">ROUNDUP((C55+C64+C72),0)</f>
        <v>0</v>
      </c>
      <c r="D75" s="109"/>
      <c r="E75" s="109">
        <f t="shared" ref="E75" si="156">ROUNDUP((E55+E64+E72),0)</f>
        <v>278</v>
      </c>
      <c r="F75" s="109">
        <f t="shared" ref="F75" si="157">ROUNDUP((F55+F64+F72),0)</f>
        <v>288</v>
      </c>
      <c r="G75" s="109">
        <f t="shared" ref="G75:H75" si="158">ROUNDUP((G55+G64+G72),0)</f>
        <v>296</v>
      </c>
      <c r="H75" s="109">
        <f t="shared" si="158"/>
        <v>305</v>
      </c>
      <c r="I75" s="109">
        <f t="shared" ref="I75" si="159">ROUNDUP((I55+I64+I72),0)</f>
        <v>312</v>
      </c>
      <c r="J75" s="109"/>
      <c r="K75" s="96" t="s">
        <v>6</v>
      </c>
      <c r="L75" s="115"/>
      <c r="M75" s="96"/>
      <c r="O75" s="142">
        <v>10</v>
      </c>
      <c r="P75" s="142"/>
      <c r="Q75" s="142"/>
      <c r="R75" s="142">
        <v>0.45</v>
      </c>
      <c r="W75" s="76" t="s">
        <v>256</v>
      </c>
      <c r="X75" s="89">
        <v>850</v>
      </c>
      <c r="Y75" s="68" t="s">
        <v>252</v>
      </c>
    </row>
    <row r="76" spans="2:25" ht="17.399999999999999" x14ac:dyDescent="0.4">
      <c r="B76" s="96" t="s">
        <v>137</v>
      </c>
      <c r="C76" s="177">
        <v>2</v>
      </c>
      <c r="D76" s="177"/>
      <c r="E76" s="177">
        <v>2</v>
      </c>
      <c r="F76" s="177">
        <v>2</v>
      </c>
      <c r="G76" s="177">
        <v>2</v>
      </c>
      <c r="H76" s="177">
        <v>2</v>
      </c>
      <c r="I76" s="177">
        <v>2</v>
      </c>
      <c r="J76" s="177"/>
      <c r="K76" s="96"/>
      <c r="L76" s="115">
        <v>15</v>
      </c>
      <c r="M76" s="99" t="s">
        <v>305</v>
      </c>
      <c r="O76" s="142">
        <v>15</v>
      </c>
      <c r="P76" s="142"/>
      <c r="Q76" s="142"/>
      <c r="R76" s="142">
        <v>0.4</v>
      </c>
      <c r="W76" s="76" t="s">
        <v>517</v>
      </c>
      <c r="X76" s="91">
        <f>X75/X74</f>
        <v>7.083333333333333</v>
      </c>
      <c r="Y76" s="68" t="s">
        <v>252</v>
      </c>
    </row>
    <row r="77" spans="2:25" ht="17.399999999999999" x14ac:dyDescent="0.4">
      <c r="B77" s="96" t="s">
        <v>70</v>
      </c>
      <c r="C77" s="110">
        <f t="shared" ref="C77" si="160">C75*C76</f>
        <v>0</v>
      </c>
      <c r="D77" s="110"/>
      <c r="E77" s="110">
        <f t="shared" ref="E77" si="161">E75*E76</f>
        <v>556</v>
      </c>
      <c r="F77" s="110">
        <f t="shared" ref="F77" si="162">F75*F76</f>
        <v>576</v>
      </c>
      <c r="G77" s="110">
        <f t="shared" ref="G77:H77" si="163">G75*G76</f>
        <v>592</v>
      </c>
      <c r="H77" s="110">
        <f t="shared" si="163"/>
        <v>610</v>
      </c>
      <c r="I77" s="110">
        <f t="shared" ref="I77" si="164">I75*I76</f>
        <v>624</v>
      </c>
      <c r="J77" s="110"/>
      <c r="K77" s="96" t="s">
        <v>46</v>
      </c>
      <c r="L77" s="115"/>
      <c r="M77" s="96"/>
      <c r="O77" s="142">
        <v>20</v>
      </c>
      <c r="P77" s="142"/>
      <c r="Q77" s="142"/>
      <c r="R77" s="142">
        <v>0.35</v>
      </c>
      <c r="W77" s="76" t="s">
        <v>257</v>
      </c>
      <c r="X77" s="91">
        <f>X68/100000000*(X75^2)/(X74/1000000)*X71/1000</f>
        <v>708.39612265624987</v>
      </c>
      <c r="Y77" s="68" t="s">
        <v>253</v>
      </c>
    </row>
    <row r="78" spans="2:25" ht="17.399999999999999" x14ac:dyDescent="0.4">
      <c r="B78" s="96" t="s">
        <v>43</v>
      </c>
      <c r="C78" s="111">
        <v>2400</v>
      </c>
      <c r="D78" s="111"/>
      <c r="E78" s="111">
        <v>2400</v>
      </c>
      <c r="F78" s="111">
        <v>2400</v>
      </c>
      <c r="G78" s="111">
        <v>2400</v>
      </c>
      <c r="H78" s="111">
        <v>2400</v>
      </c>
      <c r="I78" s="111">
        <v>2400</v>
      </c>
      <c r="J78" s="111"/>
      <c r="K78" s="96" t="s">
        <v>6</v>
      </c>
      <c r="L78" s="115">
        <v>16</v>
      </c>
      <c r="M78" s="99" t="s">
        <v>117</v>
      </c>
      <c r="O78" s="142">
        <v>30</v>
      </c>
      <c r="P78" s="142"/>
      <c r="Q78" s="142"/>
      <c r="R78" s="214">
        <v>0.28939999999999999</v>
      </c>
    </row>
    <row r="79" spans="2:25" ht="17.399999999999999" x14ac:dyDescent="0.4">
      <c r="B79" s="96" t="s">
        <v>303</v>
      </c>
      <c r="C79" s="110">
        <f t="shared" ref="C79" si="165">ROUNDUP(C77/C78*100,0)</f>
        <v>0</v>
      </c>
      <c r="D79" s="110"/>
      <c r="E79" s="110">
        <f t="shared" ref="E79" si="166">ROUNDUP(E77/E78*100,0)</f>
        <v>24</v>
      </c>
      <c r="F79" s="110">
        <f t="shared" ref="F79" si="167">ROUNDUP(F77/F78*100,0)</f>
        <v>24</v>
      </c>
      <c r="G79" s="110">
        <f t="shared" ref="G79:H79" si="168">ROUNDUP(G77/G78*100,0)</f>
        <v>25</v>
      </c>
      <c r="H79" s="110">
        <f t="shared" si="168"/>
        <v>26</v>
      </c>
      <c r="I79" s="110">
        <f t="shared" ref="I79" si="169">ROUNDUP(I77/I78*100,0)</f>
        <v>26</v>
      </c>
      <c r="J79" s="110"/>
      <c r="K79" s="96" t="s">
        <v>7</v>
      </c>
      <c r="L79" s="115"/>
      <c r="M79" s="99" t="s">
        <v>304</v>
      </c>
      <c r="O79" s="142">
        <v>50</v>
      </c>
      <c r="P79" s="142"/>
      <c r="Q79" s="142"/>
      <c r="R79" s="142">
        <v>0.224</v>
      </c>
    </row>
    <row r="80" spans="2:25" ht="17.399999999999999" x14ac:dyDescent="0.4">
      <c r="B80" s="96" t="s">
        <v>138</v>
      </c>
      <c r="C80" s="128">
        <v>9.2999999999999999E-2</v>
      </c>
      <c r="D80" s="128"/>
      <c r="E80" s="128">
        <v>9.2999999999999999E-2</v>
      </c>
      <c r="F80" s="128">
        <v>9.2999999999999999E-2</v>
      </c>
      <c r="G80" s="128">
        <v>9.2999999999999999E-2</v>
      </c>
      <c r="H80" s="128">
        <v>9.2999999999999999E-2</v>
      </c>
      <c r="I80" s="128">
        <v>9.2999999999999999E-2</v>
      </c>
      <c r="J80" s="128"/>
      <c r="K80" s="96" t="s">
        <v>58</v>
      </c>
      <c r="L80" s="115">
        <v>17</v>
      </c>
      <c r="M80" s="119" t="s">
        <v>117</v>
      </c>
      <c r="O80" s="142">
        <v>100</v>
      </c>
      <c r="P80" s="142"/>
      <c r="Q80" s="142"/>
      <c r="R80" s="142">
        <v>0.161</v>
      </c>
    </row>
    <row r="81" spans="2:18" ht="17.399999999999999" x14ac:dyDescent="0.4">
      <c r="B81" s="96" t="s">
        <v>287</v>
      </c>
      <c r="C81" s="128">
        <v>0.15</v>
      </c>
      <c r="D81" s="128"/>
      <c r="E81" s="128">
        <v>0.15</v>
      </c>
      <c r="F81" s="128">
        <v>0.15</v>
      </c>
      <c r="G81" s="128">
        <v>0.15</v>
      </c>
      <c r="H81" s="128">
        <v>0.15</v>
      </c>
      <c r="I81" s="128">
        <v>0.15</v>
      </c>
      <c r="J81" s="128"/>
      <c r="K81" s="96" t="s">
        <v>58</v>
      </c>
      <c r="L81" s="115">
        <v>18</v>
      </c>
      <c r="M81" s="119" t="s">
        <v>117</v>
      </c>
      <c r="O81" s="142">
        <v>200</v>
      </c>
      <c r="P81" s="142"/>
      <c r="Q81" s="142"/>
      <c r="R81" s="142">
        <v>7.7600000000000002E-2</v>
      </c>
    </row>
    <row r="82" spans="2:18" ht="17.399999999999999" x14ac:dyDescent="0.4">
      <c r="B82" s="96" t="s">
        <v>139</v>
      </c>
      <c r="C82" s="100">
        <f t="shared" ref="C82:C83" si="170">125-C80*C73</f>
        <v>125</v>
      </c>
      <c r="D82" s="100"/>
      <c r="E82" s="100">
        <f t="shared" ref="E82" si="171">125-E80*E73</f>
        <v>100.44518309419354</v>
      </c>
      <c r="F82" s="100">
        <f t="shared" ref="F82" si="172">125-F80*F73</f>
        <v>100.7523244048673</v>
      </c>
      <c r="G82" s="100">
        <f t="shared" ref="G82:H82" si="173">125-G80*G73</f>
        <v>101.01363799844594</v>
      </c>
      <c r="H82" s="100">
        <f t="shared" si="173"/>
        <v>101.15799113709177</v>
      </c>
      <c r="I82" s="100">
        <f t="shared" ref="I82" si="174">125-I80*I73</f>
        <v>101.38124842201861</v>
      </c>
      <c r="J82" s="100"/>
      <c r="K82" s="101" t="s">
        <v>59</v>
      </c>
      <c r="L82" s="115"/>
      <c r="M82" s="99" t="s">
        <v>140</v>
      </c>
      <c r="O82" s="142">
        <v>300</v>
      </c>
      <c r="P82" s="142"/>
      <c r="Q82" s="142"/>
      <c r="R82" s="142">
        <v>5.2400000000000002E-2</v>
      </c>
    </row>
    <row r="83" spans="2:18" ht="17.399999999999999" x14ac:dyDescent="0.4">
      <c r="B83" s="96" t="s">
        <v>141</v>
      </c>
      <c r="C83" s="121">
        <f t="shared" si="170"/>
        <v>125</v>
      </c>
      <c r="D83" s="121"/>
      <c r="E83" s="121">
        <f t="shared" ref="E83" si="175">125-E81*E74</f>
        <v>123.05</v>
      </c>
      <c r="F83" s="121">
        <f t="shared" ref="F83" si="176">125-F81*F74</f>
        <v>121.1</v>
      </c>
      <c r="G83" s="121">
        <f t="shared" ref="G83:H83" si="177">125-G81*G74</f>
        <v>119.45</v>
      </c>
      <c r="H83" s="121">
        <f t="shared" si="177"/>
        <v>117.8</v>
      </c>
      <c r="I83" s="121">
        <f t="shared" ref="I83" si="178">125-I81*I74</f>
        <v>116.45</v>
      </c>
      <c r="J83" s="121"/>
      <c r="K83" s="101" t="s">
        <v>59</v>
      </c>
      <c r="L83" s="115"/>
      <c r="M83" s="96"/>
    </row>
    <row r="84" spans="2:18" ht="17.399999999999999" x14ac:dyDescent="0.4">
      <c r="B84" s="96" t="s">
        <v>142</v>
      </c>
      <c r="C84" s="121">
        <f t="shared" ref="C84:C85" si="179">C80*C73</f>
        <v>0</v>
      </c>
      <c r="D84" s="121"/>
      <c r="E84" s="121">
        <f t="shared" ref="E84" si="180">E80*E73</f>
        <v>24.554816905806469</v>
      </c>
      <c r="F84" s="121">
        <f t="shared" ref="F84" si="181">F80*F73</f>
        <v>24.247675595132701</v>
      </c>
      <c r="G84" s="121">
        <f t="shared" ref="G84:H84" si="182">G80*G73</f>
        <v>23.986362001554053</v>
      </c>
      <c r="H84" s="121">
        <f t="shared" si="182"/>
        <v>23.84200886290823</v>
      </c>
      <c r="I84" s="121">
        <f t="shared" ref="I84" si="183">I80*I73</f>
        <v>23.618751577981389</v>
      </c>
      <c r="J84" s="121"/>
      <c r="K84" s="101" t="s">
        <v>59</v>
      </c>
      <c r="L84" s="115"/>
      <c r="M84" s="96"/>
      <c r="O84" s="272" t="s">
        <v>504</v>
      </c>
      <c r="P84" s="272"/>
      <c r="Q84" s="272"/>
    </row>
    <row r="85" spans="2:18" ht="17.399999999999999" x14ac:dyDescent="0.4">
      <c r="B85" s="96" t="s">
        <v>143</v>
      </c>
      <c r="C85" s="121">
        <f t="shared" si="179"/>
        <v>0</v>
      </c>
      <c r="D85" s="121"/>
      <c r="E85" s="121">
        <f t="shared" ref="E85" si="184">E81*E74</f>
        <v>1.95</v>
      </c>
      <c r="F85" s="121">
        <f t="shared" ref="F85" si="185">F81*F74</f>
        <v>3.9</v>
      </c>
      <c r="G85" s="121">
        <f t="shared" ref="G85:H85" si="186">G81*G74</f>
        <v>5.55</v>
      </c>
      <c r="H85" s="121">
        <f t="shared" si="186"/>
        <v>7.1999999999999993</v>
      </c>
      <c r="I85" s="121">
        <f t="shared" ref="I85" si="187">I81*I74</f>
        <v>8.5499999999999989</v>
      </c>
      <c r="J85" s="121"/>
      <c r="K85" s="101" t="s">
        <v>59</v>
      </c>
      <c r="L85" s="115"/>
      <c r="M85" s="96"/>
      <c r="O85" s="145" t="s">
        <v>496</v>
      </c>
      <c r="P85" s="145" t="s">
        <v>502</v>
      </c>
      <c r="Q85" s="145"/>
    </row>
    <row r="86" spans="2:18" ht="17.399999999999999" x14ac:dyDescent="0.4">
      <c r="B86" s="96" t="s">
        <v>144</v>
      </c>
      <c r="C86" s="128">
        <v>3.2000000000000001E-2</v>
      </c>
      <c r="D86" s="128"/>
      <c r="E86" s="128">
        <v>3.2000000000000001E-2</v>
      </c>
      <c r="F86" s="128">
        <v>3.2000000000000001E-2</v>
      </c>
      <c r="G86" s="128">
        <v>3.2000000000000001E-2</v>
      </c>
      <c r="H86" s="128">
        <v>3.2000000000000001E-2</v>
      </c>
      <c r="I86" s="128">
        <v>3.2000000000000001E-2</v>
      </c>
      <c r="J86" s="128"/>
      <c r="K86" s="96" t="s">
        <v>58</v>
      </c>
      <c r="L86" s="115">
        <v>19</v>
      </c>
      <c r="M86" s="96" t="s">
        <v>117</v>
      </c>
      <c r="O86" s="114" t="s">
        <v>494</v>
      </c>
      <c r="P86" s="114">
        <v>183</v>
      </c>
      <c r="Q86" s="114" t="s">
        <v>497</v>
      </c>
    </row>
    <row r="87" spans="2:18" ht="17.399999999999999" x14ac:dyDescent="0.4">
      <c r="B87" s="96" t="s">
        <v>145</v>
      </c>
      <c r="C87" s="128">
        <v>5.1999999999999998E-2</v>
      </c>
      <c r="D87" s="128"/>
      <c r="E87" s="128">
        <v>5.1999999999999998E-2</v>
      </c>
      <c r="F87" s="128">
        <v>5.1999999999999998E-2</v>
      </c>
      <c r="G87" s="128">
        <v>5.1999999999999998E-2</v>
      </c>
      <c r="H87" s="128">
        <v>5.1999999999999998E-2</v>
      </c>
      <c r="I87" s="128">
        <v>5.1999999999999998E-2</v>
      </c>
      <c r="J87" s="128"/>
      <c r="K87" s="96" t="s">
        <v>58</v>
      </c>
      <c r="L87" s="115">
        <v>20</v>
      </c>
      <c r="M87" s="96" t="s">
        <v>117</v>
      </c>
      <c r="O87" s="114" t="s">
        <v>495</v>
      </c>
      <c r="P87" s="114">
        <v>75</v>
      </c>
      <c r="Q87" s="114" t="s">
        <v>497</v>
      </c>
    </row>
    <row r="88" spans="2:18" ht="17.399999999999999" x14ac:dyDescent="0.4">
      <c r="B88" s="96" t="s">
        <v>146</v>
      </c>
      <c r="C88" s="122">
        <f t="shared" ref="C88:C89" si="188">C82-C86*C73</f>
        <v>125</v>
      </c>
      <c r="D88" s="122"/>
      <c r="E88" s="122">
        <f t="shared" ref="E88" si="189">E82-E86*E73</f>
        <v>91.99621383628164</v>
      </c>
      <c r="F88" s="122">
        <f t="shared" ref="F88" si="190">F82-F86*F73</f>
        <v>92.409038178585078</v>
      </c>
      <c r="G88" s="122">
        <f t="shared" ref="G88:H88" si="191">G82-G86*G73</f>
        <v>92.760266126943478</v>
      </c>
      <c r="H88" s="122">
        <f t="shared" si="191"/>
        <v>92.95428916275776</v>
      </c>
      <c r="I88" s="122">
        <f t="shared" ref="I88" si="192">I82-I86*I73</f>
        <v>93.254366158627164</v>
      </c>
      <c r="J88" s="122"/>
      <c r="K88" s="101" t="s">
        <v>59</v>
      </c>
      <c r="L88" s="115"/>
      <c r="M88" s="96" t="s">
        <v>140</v>
      </c>
      <c r="O88" s="114" t="s">
        <v>498</v>
      </c>
      <c r="P88" s="114">
        <v>9</v>
      </c>
      <c r="Q88" s="114" t="s">
        <v>497</v>
      </c>
    </row>
    <row r="89" spans="2:18" ht="17.399999999999999" x14ac:dyDescent="0.4">
      <c r="B89" s="96" t="s">
        <v>147</v>
      </c>
      <c r="C89" s="121">
        <f t="shared" si="188"/>
        <v>125</v>
      </c>
      <c r="D89" s="121"/>
      <c r="E89" s="121">
        <f t="shared" ref="E89" si="193">E83-E87*E74</f>
        <v>122.374</v>
      </c>
      <c r="F89" s="121">
        <f t="shared" ref="F89" si="194">F83-F87*F74</f>
        <v>119.74799999999999</v>
      </c>
      <c r="G89" s="121">
        <f t="shared" ref="G89:H89" si="195">G83-G87*G74</f>
        <v>117.526</v>
      </c>
      <c r="H89" s="121">
        <f t="shared" si="195"/>
        <v>115.304</v>
      </c>
      <c r="I89" s="121">
        <f t="shared" ref="I89" si="196">I83-I87*I74</f>
        <v>113.486</v>
      </c>
      <c r="J89" s="121"/>
      <c r="K89" s="101" t="s">
        <v>59</v>
      </c>
      <c r="L89" s="115"/>
      <c r="M89" s="96"/>
      <c r="O89" s="114" t="s">
        <v>499</v>
      </c>
      <c r="P89" s="114">
        <v>6</v>
      </c>
      <c r="Q89" s="114" t="s">
        <v>497</v>
      </c>
    </row>
    <row r="90" spans="2:18" ht="17.399999999999999" x14ac:dyDescent="0.4">
      <c r="B90" s="96" t="s">
        <v>148</v>
      </c>
      <c r="C90" s="121">
        <f t="shared" ref="C90:C91" si="197">C86*C73</f>
        <v>0</v>
      </c>
      <c r="D90" s="121"/>
      <c r="E90" s="121">
        <f t="shared" ref="E90" si="198">E86*E73</f>
        <v>8.4489692579119033</v>
      </c>
      <c r="F90" s="121">
        <f t="shared" ref="F90" si="199">F86*F73</f>
        <v>8.3432862262822205</v>
      </c>
      <c r="G90" s="121">
        <f t="shared" ref="G90:H90" si="200">G86*G73</f>
        <v>8.2533718715024698</v>
      </c>
      <c r="H90" s="121">
        <f t="shared" si="200"/>
        <v>8.2037019743340149</v>
      </c>
      <c r="I90" s="121">
        <f t="shared" ref="I90" si="201">I86*I73</f>
        <v>8.1268822633914457</v>
      </c>
      <c r="J90" s="121"/>
      <c r="K90" s="101" t="s">
        <v>59</v>
      </c>
      <c r="L90" s="115"/>
      <c r="M90" s="96"/>
      <c r="O90" s="114" t="s">
        <v>500</v>
      </c>
      <c r="P90" s="114">
        <v>12</v>
      </c>
      <c r="Q90" s="114" t="s">
        <v>497</v>
      </c>
    </row>
    <row r="91" spans="2:18" ht="17.399999999999999" x14ac:dyDescent="0.4">
      <c r="B91" s="96" t="s">
        <v>149</v>
      </c>
      <c r="C91" s="121">
        <f t="shared" si="197"/>
        <v>0</v>
      </c>
      <c r="D91" s="121"/>
      <c r="E91" s="121">
        <f t="shared" ref="E91" si="202">E87*E74</f>
        <v>0.67599999999999993</v>
      </c>
      <c r="F91" s="121">
        <f t="shared" ref="F91" si="203">F87*F74</f>
        <v>1.3519999999999999</v>
      </c>
      <c r="G91" s="121">
        <f t="shared" ref="G91:H91" si="204">G87*G74</f>
        <v>1.9239999999999999</v>
      </c>
      <c r="H91" s="121">
        <f t="shared" si="204"/>
        <v>2.496</v>
      </c>
      <c r="I91" s="121">
        <f t="shared" ref="I91" si="205">I87*I74</f>
        <v>2.964</v>
      </c>
      <c r="J91" s="121"/>
      <c r="K91" s="101" t="s">
        <v>59</v>
      </c>
      <c r="L91" s="115"/>
      <c r="M91" s="96"/>
      <c r="O91" s="114" t="s">
        <v>501</v>
      </c>
      <c r="P91" s="114">
        <v>78.540000000000006</v>
      </c>
      <c r="Q91" s="114" t="s">
        <v>497</v>
      </c>
    </row>
    <row r="92" spans="2:18" ht="17.399999999999999" x14ac:dyDescent="0.4">
      <c r="B92" s="96" t="s">
        <v>60</v>
      </c>
      <c r="C92" s="121">
        <v>60</v>
      </c>
      <c r="D92" s="121"/>
      <c r="E92" s="121">
        <v>60</v>
      </c>
      <c r="F92" s="121">
        <v>60</v>
      </c>
      <c r="G92" s="121">
        <v>60</v>
      </c>
      <c r="H92" s="121">
        <v>60</v>
      </c>
      <c r="I92" s="121">
        <v>60</v>
      </c>
      <c r="J92" s="121"/>
      <c r="K92" s="101" t="s">
        <v>59</v>
      </c>
      <c r="L92" s="115"/>
      <c r="M92" s="96" t="s">
        <v>150</v>
      </c>
    </row>
    <row r="93" spans="2:18" ht="17.399999999999999" x14ac:dyDescent="0.4">
      <c r="B93" s="96" t="s">
        <v>61</v>
      </c>
      <c r="C93" s="120">
        <v>8</v>
      </c>
      <c r="D93" s="120"/>
      <c r="E93" s="120">
        <v>8</v>
      </c>
      <c r="F93" s="120">
        <v>8</v>
      </c>
      <c r="G93" s="120">
        <v>8</v>
      </c>
      <c r="H93" s="120">
        <v>8</v>
      </c>
      <c r="I93" s="120">
        <v>8</v>
      </c>
      <c r="J93" s="120"/>
      <c r="K93" s="101" t="s">
        <v>62</v>
      </c>
      <c r="L93" s="115"/>
      <c r="M93" s="96" t="s">
        <v>151</v>
      </c>
    </row>
    <row r="94" spans="2:18" ht="17.399999999999999" x14ac:dyDescent="0.4">
      <c r="B94" s="96" t="s">
        <v>63</v>
      </c>
      <c r="C94" s="106">
        <f t="shared" ref="C94" si="206">C92-(C77/1000*860/C93/60)</f>
        <v>60</v>
      </c>
      <c r="D94" s="106"/>
      <c r="E94" s="106">
        <f t="shared" ref="E94" si="207">E92-(E77/1000*860/E93/60)</f>
        <v>59.003833333333333</v>
      </c>
      <c r="F94" s="106">
        <f t="shared" ref="F94" si="208">F92-(F77/1000*860/F93/60)</f>
        <v>58.968000000000004</v>
      </c>
      <c r="G94" s="106">
        <f t="shared" ref="G94:H94" si="209">G92-(G77/1000*860/G93/60)</f>
        <v>58.93933333333333</v>
      </c>
      <c r="H94" s="106">
        <f t="shared" si="209"/>
        <v>58.907083333333333</v>
      </c>
      <c r="I94" s="106">
        <f t="shared" ref="I94" si="210">I92-(I77/1000*860/I93/60)</f>
        <v>58.881999999999998</v>
      </c>
      <c r="J94" s="106"/>
      <c r="K94" s="101" t="s">
        <v>59</v>
      </c>
      <c r="L94" s="115"/>
      <c r="M94" s="96"/>
    </row>
  </sheetData>
  <mergeCells count="24">
    <mergeCell ref="W63:Y63"/>
    <mergeCell ref="O63:Q63"/>
    <mergeCell ref="O84:Q84"/>
    <mergeCell ref="W3:Y3"/>
    <mergeCell ref="O3:Q3"/>
    <mergeCell ref="O18:Q18"/>
    <mergeCell ref="O31:Q31"/>
    <mergeCell ref="O42:Q42"/>
    <mergeCell ref="S3:U3"/>
    <mergeCell ref="S10:U10"/>
    <mergeCell ref="S17:U17"/>
    <mergeCell ref="O57:Q57"/>
    <mergeCell ref="O51:Q51"/>
    <mergeCell ref="T34:U34"/>
    <mergeCell ref="S23:U23"/>
    <mergeCell ref="AA3:AC3"/>
    <mergeCell ref="AA10:AC10"/>
    <mergeCell ref="AA34:AC34"/>
    <mergeCell ref="AA40:AC40"/>
    <mergeCell ref="S52:U52"/>
    <mergeCell ref="AA21:AC21"/>
    <mergeCell ref="W24:Y24"/>
    <mergeCell ref="W43:Y43"/>
    <mergeCell ref="S46:U46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opLeftCell="A4" workbookViewId="0">
      <selection activeCell="H17" sqref="H17"/>
    </sheetView>
  </sheetViews>
  <sheetFormatPr defaultRowHeight="14.4" x14ac:dyDescent="0.25"/>
  <cols>
    <col min="2" max="2" width="22.19921875" bestFit="1" customWidth="1"/>
    <col min="3" max="3" width="50.3984375" customWidth="1"/>
    <col min="4" max="4" width="36.3984375" customWidth="1"/>
  </cols>
  <sheetData>
    <row r="2" spans="2:4" ht="15" thickBot="1" x14ac:dyDescent="0.3"/>
    <row r="3" spans="2:4" ht="16.2" thickBot="1" x14ac:dyDescent="0.3">
      <c r="B3" s="132" t="s">
        <v>483</v>
      </c>
      <c r="C3" s="133" t="s">
        <v>650</v>
      </c>
      <c r="D3" s="133" t="s">
        <v>482</v>
      </c>
    </row>
    <row r="4" spans="2:4" ht="16.2" thickBot="1" x14ac:dyDescent="0.3">
      <c r="B4" s="134" t="s">
        <v>459</v>
      </c>
      <c r="C4" s="132" t="s">
        <v>629</v>
      </c>
      <c r="D4" s="132"/>
    </row>
    <row r="5" spans="2:4" ht="15.6" x14ac:dyDescent="0.25">
      <c r="B5" s="135" t="s">
        <v>460</v>
      </c>
      <c r="C5" s="136" t="s">
        <v>630</v>
      </c>
      <c r="D5" s="136"/>
    </row>
    <row r="6" spans="2:4" ht="15.6" x14ac:dyDescent="0.25">
      <c r="B6" s="135" t="s">
        <v>461</v>
      </c>
      <c r="C6" s="136" t="s">
        <v>631</v>
      </c>
      <c r="D6" s="136"/>
    </row>
    <row r="7" spans="2:4" ht="15.6" x14ac:dyDescent="0.25">
      <c r="B7" s="135" t="s">
        <v>640</v>
      </c>
      <c r="C7" s="247" t="s">
        <v>632</v>
      </c>
      <c r="D7" s="247" t="s">
        <v>633</v>
      </c>
    </row>
    <row r="8" spans="2:4" ht="15.6" x14ac:dyDescent="0.25">
      <c r="B8" s="135" t="s">
        <v>462</v>
      </c>
      <c r="C8" s="249" t="s">
        <v>634</v>
      </c>
      <c r="D8" s="249" t="s">
        <v>635</v>
      </c>
    </row>
    <row r="9" spans="2:4" ht="15.6" x14ac:dyDescent="0.25">
      <c r="B9" s="135" t="s">
        <v>463</v>
      </c>
      <c r="C9" s="247" t="s">
        <v>636</v>
      </c>
      <c r="D9" s="247" t="s">
        <v>637</v>
      </c>
    </row>
    <row r="10" spans="2:4" ht="15.6" x14ac:dyDescent="0.25">
      <c r="B10" s="135" t="s">
        <v>464</v>
      </c>
      <c r="C10" s="248" t="s">
        <v>638</v>
      </c>
      <c r="D10" s="248" t="s">
        <v>639</v>
      </c>
    </row>
    <row r="11" spans="2:4" ht="15.6" x14ac:dyDescent="0.25">
      <c r="B11" s="135" t="s">
        <v>465</v>
      </c>
      <c r="C11" s="209" t="s">
        <v>530</v>
      </c>
      <c r="D11" s="138"/>
    </row>
    <row r="12" spans="2:4" ht="15.6" x14ac:dyDescent="0.25">
      <c r="B12" s="135" t="s">
        <v>466</v>
      </c>
      <c r="C12" s="202" t="s">
        <v>641</v>
      </c>
      <c r="D12" s="137"/>
    </row>
    <row r="13" spans="2:4" ht="15.6" x14ac:dyDescent="0.25">
      <c r="B13" s="135" t="s">
        <v>467</v>
      </c>
      <c r="C13" s="268" t="s">
        <v>651</v>
      </c>
      <c r="D13" s="137" t="s">
        <v>664</v>
      </c>
    </row>
    <row r="14" spans="2:4" ht="15.6" x14ac:dyDescent="0.25">
      <c r="B14" s="135" t="s">
        <v>468</v>
      </c>
      <c r="C14" s="268" t="s">
        <v>534</v>
      </c>
      <c r="D14" s="137"/>
    </row>
    <row r="15" spans="2:4" ht="15.6" x14ac:dyDescent="0.25">
      <c r="B15" s="135" t="s">
        <v>532</v>
      </c>
      <c r="C15" s="268" t="s">
        <v>621</v>
      </c>
      <c r="D15" s="137" t="s">
        <v>535</v>
      </c>
    </row>
    <row r="16" spans="2:4" ht="15.6" x14ac:dyDescent="0.25">
      <c r="B16" s="137" t="s">
        <v>533</v>
      </c>
      <c r="C16" s="268" t="s">
        <v>652</v>
      </c>
      <c r="D16" s="137"/>
    </row>
    <row r="17" spans="2:11" ht="46.8" x14ac:dyDescent="0.25">
      <c r="B17" s="135" t="s">
        <v>469</v>
      </c>
      <c r="C17" s="203" t="s">
        <v>642</v>
      </c>
      <c r="D17" s="138"/>
    </row>
    <row r="18" spans="2:11" ht="15.6" x14ac:dyDescent="0.25">
      <c r="B18" s="135" t="s">
        <v>471</v>
      </c>
      <c r="C18" s="269" t="s">
        <v>654</v>
      </c>
      <c r="D18" s="138"/>
      <c r="E18" s="204"/>
      <c r="F18" s="204"/>
      <c r="G18" s="204"/>
      <c r="H18" s="204"/>
      <c r="I18" s="204"/>
      <c r="J18" s="204"/>
      <c r="K18" s="204"/>
    </row>
    <row r="19" spans="2:11" s="208" customFormat="1" ht="15.6" x14ac:dyDescent="0.25">
      <c r="B19" s="211" t="s">
        <v>622</v>
      </c>
      <c r="C19" s="268" t="s">
        <v>531</v>
      </c>
      <c r="D19" s="210"/>
      <c r="E19" s="207"/>
      <c r="F19" s="207"/>
      <c r="G19" s="207"/>
      <c r="H19" s="207"/>
      <c r="I19" s="207"/>
      <c r="J19" s="207"/>
      <c r="K19" s="207"/>
    </row>
    <row r="20" spans="2:11" ht="93.6" x14ac:dyDescent="0.25">
      <c r="B20" s="135" t="s">
        <v>470</v>
      </c>
      <c r="C20" s="209" t="s">
        <v>658</v>
      </c>
      <c r="D20" s="203"/>
      <c r="E20" s="204"/>
      <c r="F20" s="204"/>
      <c r="G20" s="204"/>
      <c r="H20" s="205"/>
      <c r="I20" s="204"/>
      <c r="J20" s="204"/>
      <c r="K20" s="204"/>
    </row>
    <row r="21" spans="2:11" ht="15.6" x14ac:dyDescent="0.25">
      <c r="B21" s="202" t="s">
        <v>472</v>
      </c>
      <c r="C21" s="138" t="s">
        <v>653</v>
      </c>
      <c r="D21" s="138"/>
      <c r="E21" s="204"/>
      <c r="F21" s="204"/>
      <c r="G21" s="204"/>
      <c r="H21" s="204"/>
      <c r="I21" s="204"/>
      <c r="J21" s="204"/>
      <c r="K21" s="204"/>
    </row>
    <row r="22" spans="2:11" ht="31.2" x14ac:dyDescent="0.25">
      <c r="B22" s="202" t="s">
        <v>473</v>
      </c>
      <c r="C22" s="209" t="s">
        <v>655</v>
      </c>
      <c r="D22" s="212"/>
      <c r="E22" s="204"/>
      <c r="F22" s="204"/>
      <c r="G22" s="204"/>
      <c r="H22" s="204"/>
      <c r="I22" s="204"/>
      <c r="J22" s="204"/>
      <c r="K22" s="204"/>
    </row>
    <row r="23" spans="2:11" ht="15.6" x14ac:dyDescent="0.25">
      <c r="B23" s="202" t="s">
        <v>659</v>
      </c>
      <c r="C23" s="209" t="s">
        <v>660</v>
      </c>
      <c r="D23" s="212"/>
      <c r="E23" s="204"/>
      <c r="F23" s="204"/>
      <c r="G23" s="204"/>
      <c r="H23" s="204"/>
      <c r="I23" s="204"/>
      <c r="J23" s="204"/>
      <c r="K23" s="204"/>
    </row>
    <row r="24" spans="2:11" ht="15.6" x14ac:dyDescent="0.25">
      <c r="B24" s="135" t="s">
        <v>484</v>
      </c>
      <c r="C24" s="201" t="s">
        <v>531</v>
      </c>
      <c r="D24" s="138"/>
      <c r="E24" s="204"/>
      <c r="F24" s="204"/>
      <c r="G24" s="204"/>
      <c r="H24" s="204"/>
      <c r="I24" s="204"/>
      <c r="J24" s="204"/>
      <c r="K24" s="204"/>
    </row>
    <row r="25" spans="2:11" ht="15.6" x14ac:dyDescent="0.25">
      <c r="B25" s="139" t="s">
        <v>474</v>
      </c>
      <c r="C25" s="201" t="s">
        <v>645</v>
      </c>
      <c r="D25" s="138"/>
    </row>
    <row r="26" spans="2:11" ht="15.6" x14ac:dyDescent="0.25">
      <c r="B26" s="135" t="s">
        <v>475</v>
      </c>
      <c r="C26" s="137"/>
      <c r="D26" s="137"/>
    </row>
    <row r="27" spans="2:11" ht="15.6" x14ac:dyDescent="0.25">
      <c r="B27" s="135" t="s">
        <v>476</v>
      </c>
      <c r="C27" s="135" t="s">
        <v>661</v>
      </c>
      <c r="D27" s="135"/>
    </row>
    <row r="28" spans="2:11" ht="15.6" x14ac:dyDescent="0.25">
      <c r="B28" s="135" t="s">
        <v>477</v>
      </c>
      <c r="C28" s="135" t="s">
        <v>643</v>
      </c>
      <c r="D28" s="135"/>
    </row>
    <row r="29" spans="2:11" ht="15.6" x14ac:dyDescent="0.25">
      <c r="B29" s="135" t="s">
        <v>478</v>
      </c>
      <c r="C29" s="135" t="s">
        <v>644</v>
      </c>
      <c r="D29" s="135"/>
    </row>
    <row r="30" spans="2:11" ht="15.6" x14ac:dyDescent="0.25">
      <c r="B30" s="135" t="s">
        <v>479</v>
      </c>
      <c r="C30" s="206" t="s">
        <v>656</v>
      </c>
      <c r="D30" s="206"/>
    </row>
    <row r="31" spans="2:11" ht="15.6" x14ac:dyDescent="0.25">
      <c r="B31" s="140" t="s">
        <v>480</v>
      </c>
      <c r="C31" s="135" t="s">
        <v>657</v>
      </c>
      <c r="D31" s="135"/>
    </row>
    <row r="32" spans="2:11" ht="16.2" thickBot="1" x14ac:dyDescent="0.3">
      <c r="B32" s="141" t="s">
        <v>481</v>
      </c>
      <c r="C32" s="141" t="s">
        <v>657</v>
      </c>
      <c r="D32" s="141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1"/>
  <sheetViews>
    <sheetView workbookViewId="0">
      <selection activeCell="K22" sqref="K22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  <col min="10" max="10" width="9" bestFit="1" customWidth="1"/>
  </cols>
  <sheetData>
    <row r="2" spans="3:7" ht="27.6" x14ac:dyDescent="0.25">
      <c r="C2" s="277" t="s">
        <v>536</v>
      </c>
      <c r="D2" s="278"/>
      <c r="E2" s="278"/>
      <c r="F2" s="278"/>
      <c r="G2" s="279"/>
    </row>
    <row r="3" spans="3:7" ht="21" x14ac:dyDescent="0.25">
      <c r="C3" s="280" t="s">
        <v>537</v>
      </c>
      <c r="D3" s="280"/>
      <c r="E3" s="274" t="s">
        <v>649</v>
      </c>
      <c r="F3" s="275"/>
      <c r="G3" s="276"/>
    </row>
    <row r="4" spans="3:7" ht="21" x14ac:dyDescent="0.25">
      <c r="C4" s="178" t="s">
        <v>538</v>
      </c>
      <c r="D4" s="179" t="s">
        <v>646</v>
      </c>
      <c r="E4" s="130" t="s">
        <v>457</v>
      </c>
      <c r="F4" s="281" t="s">
        <v>647</v>
      </c>
      <c r="G4" s="282"/>
    </row>
    <row r="5" spans="3:7" ht="21" x14ac:dyDescent="0.25">
      <c r="C5" s="180" t="s">
        <v>539</v>
      </c>
      <c r="D5" s="181"/>
      <c r="E5" s="130" t="s">
        <v>458</v>
      </c>
      <c r="F5" s="274" t="s">
        <v>648</v>
      </c>
      <c r="G5" s="276"/>
    </row>
    <row r="6" spans="3:7" ht="21" x14ac:dyDescent="0.25">
      <c r="C6" s="274" t="s">
        <v>540</v>
      </c>
      <c r="D6" s="275"/>
      <c r="E6" s="275"/>
      <c r="F6" s="275"/>
      <c r="G6" s="276"/>
    </row>
    <row r="7" spans="3:7" ht="17.399999999999999" hidden="1" x14ac:dyDescent="0.25">
      <c r="C7" s="182">
        <v>1</v>
      </c>
      <c r="D7" s="69" t="s">
        <v>541</v>
      </c>
      <c r="E7" s="183" t="s">
        <v>541</v>
      </c>
      <c r="F7" s="184">
        <v>100</v>
      </c>
      <c r="G7" s="185" t="s">
        <v>542</v>
      </c>
    </row>
    <row r="8" spans="3:7" ht="16.5" hidden="1" customHeight="1" x14ac:dyDescent="0.25">
      <c r="C8" s="186"/>
      <c r="D8" s="186"/>
      <c r="E8" s="183" t="s">
        <v>543</v>
      </c>
      <c r="F8" s="184">
        <v>1</v>
      </c>
      <c r="G8" s="185" t="s">
        <v>544</v>
      </c>
    </row>
    <row r="9" spans="3:7" ht="20.25" hidden="1" customHeight="1" x14ac:dyDescent="0.25">
      <c r="C9" s="186"/>
      <c r="D9" s="186"/>
      <c r="E9" s="187" t="s">
        <v>545</v>
      </c>
      <c r="F9" s="188">
        <f>(10*10^6)/F8</f>
        <v>10000000</v>
      </c>
      <c r="G9" s="189"/>
    </row>
    <row r="10" spans="3:7" ht="16.5" hidden="1" customHeight="1" x14ac:dyDescent="0.25">
      <c r="C10" s="186"/>
      <c r="D10" s="186"/>
      <c r="E10" s="187" t="s">
        <v>546</v>
      </c>
      <c r="F10" s="188">
        <v>100000</v>
      </c>
      <c r="G10" s="189">
        <v>50000</v>
      </c>
    </row>
    <row r="11" spans="3:7" ht="16.5" hidden="1" customHeight="1" x14ac:dyDescent="0.25">
      <c r="C11" s="186"/>
      <c r="D11" s="186"/>
      <c r="E11" s="187" t="s">
        <v>547</v>
      </c>
      <c r="F11" s="188" t="e">
        <f>$E9/(F10/10)</f>
        <v>#VALUE!</v>
      </c>
      <c r="G11" s="189" t="e">
        <f>$E9/(G10/10)</f>
        <v>#VALUE!</v>
      </c>
    </row>
    <row r="12" spans="3:7" ht="16.5" hidden="1" customHeight="1" x14ac:dyDescent="0.25">
      <c r="C12" s="186"/>
      <c r="D12" s="186"/>
      <c r="E12" s="187" t="s">
        <v>548</v>
      </c>
      <c r="F12" s="188" t="e">
        <f>F11/2</f>
        <v>#VALUE!</v>
      </c>
      <c r="G12" s="189" t="e">
        <f>G11/2</f>
        <v>#VALUE!</v>
      </c>
    </row>
    <row r="13" spans="3:7" ht="16.5" customHeight="1" x14ac:dyDescent="0.25">
      <c r="C13" s="283">
        <v>2</v>
      </c>
      <c r="D13" s="285" t="s">
        <v>549</v>
      </c>
      <c r="E13" s="183" t="s">
        <v>550</v>
      </c>
      <c r="F13" s="184">
        <v>50</v>
      </c>
      <c r="G13" s="69" t="s">
        <v>551</v>
      </c>
    </row>
    <row r="14" spans="3:7" ht="17.399999999999999" x14ac:dyDescent="0.25">
      <c r="C14" s="284"/>
      <c r="D14" s="286"/>
      <c r="E14" s="183" t="s">
        <v>552</v>
      </c>
      <c r="F14" s="193">
        <v>2.5</v>
      </c>
      <c r="G14" s="69" t="s">
        <v>551</v>
      </c>
    </row>
    <row r="15" spans="3:7" ht="17.399999999999999" x14ac:dyDescent="0.25">
      <c r="C15" s="283">
        <v>3</v>
      </c>
      <c r="D15" s="285" t="s">
        <v>553</v>
      </c>
      <c r="E15" s="183" t="s">
        <v>553</v>
      </c>
      <c r="F15" s="184">
        <v>380</v>
      </c>
      <c r="G15" s="69" t="s">
        <v>554</v>
      </c>
    </row>
    <row r="16" spans="3:7" ht="17.399999999999999" x14ac:dyDescent="0.25">
      <c r="C16" s="287"/>
      <c r="D16" s="288"/>
      <c r="E16" s="191" t="s">
        <v>555</v>
      </c>
      <c r="F16" s="184">
        <v>763</v>
      </c>
      <c r="G16" s="69" t="s">
        <v>161</v>
      </c>
    </row>
    <row r="17" spans="3:10" ht="17.399999999999999" x14ac:dyDescent="0.25">
      <c r="C17" s="287"/>
      <c r="D17" s="288"/>
      <c r="E17" s="191" t="s">
        <v>556</v>
      </c>
      <c r="F17" s="184">
        <v>400</v>
      </c>
      <c r="G17" s="69" t="s">
        <v>161</v>
      </c>
    </row>
    <row r="18" spans="3:10" ht="17.399999999999999" x14ac:dyDescent="0.25">
      <c r="C18" s="284"/>
      <c r="D18" s="286"/>
      <c r="E18" s="191" t="s">
        <v>557</v>
      </c>
      <c r="F18" s="184">
        <v>350</v>
      </c>
      <c r="G18" s="69" t="s">
        <v>161</v>
      </c>
    </row>
    <row r="19" spans="3:10" ht="17.399999999999999" x14ac:dyDescent="0.25">
      <c r="C19" s="283">
        <v>4</v>
      </c>
      <c r="D19" s="285" t="s">
        <v>558</v>
      </c>
      <c r="E19" s="183" t="s">
        <v>559</v>
      </c>
      <c r="F19" s="184">
        <v>150</v>
      </c>
      <c r="G19" s="69" t="s">
        <v>560</v>
      </c>
    </row>
    <row r="20" spans="3:10" ht="17.399999999999999" x14ac:dyDescent="0.25">
      <c r="C20" s="284"/>
      <c r="D20" s="286"/>
      <c r="E20" s="191" t="s">
        <v>561</v>
      </c>
      <c r="F20" s="184">
        <v>130</v>
      </c>
      <c r="G20" s="69" t="s">
        <v>164</v>
      </c>
    </row>
    <row r="21" spans="3:10" ht="17.399999999999999" x14ac:dyDescent="0.25">
      <c r="C21" s="283">
        <v>5</v>
      </c>
      <c r="D21" s="285" t="s">
        <v>562</v>
      </c>
      <c r="E21" s="192" t="s">
        <v>563</v>
      </c>
      <c r="F21" s="193">
        <v>6.8</v>
      </c>
      <c r="G21" s="67" t="s">
        <v>564</v>
      </c>
    </row>
    <row r="22" spans="3:10" ht="17.399999999999999" x14ac:dyDescent="0.25">
      <c r="C22" s="287"/>
      <c r="D22" s="288"/>
      <c r="E22" s="192" t="s">
        <v>565</v>
      </c>
      <c r="F22" s="184">
        <v>5</v>
      </c>
      <c r="G22" s="67" t="s">
        <v>566</v>
      </c>
    </row>
    <row r="23" spans="3:10" ht="16.5" customHeight="1" x14ac:dyDescent="0.25">
      <c r="C23" s="287"/>
      <c r="D23" s="288"/>
      <c r="E23" s="192" t="s">
        <v>567</v>
      </c>
      <c r="F23" s="184">
        <v>100</v>
      </c>
      <c r="G23" s="67" t="s">
        <v>568</v>
      </c>
    </row>
    <row r="24" spans="3:10" ht="17.399999999999999" x14ac:dyDescent="0.25">
      <c r="C24" s="287"/>
      <c r="D24" s="288"/>
      <c r="E24" s="192" t="s">
        <v>569</v>
      </c>
      <c r="F24" s="184">
        <v>150</v>
      </c>
      <c r="G24" s="67" t="s">
        <v>164</v>
      </c>
      <c r="H24" s="251"/>
      <c r="I24" s="251"/>
      <c r="J24" s="250"/>
    </row>
    <row r="25" spans="3:10" ht="17.399999999999999" x14ac:dyDescent="0.25">
      <c r="C25" s="287"/>
      <c r="D25" s="288"/>
      <c r="E25" s="194" t="s">
        <v>570</v>
      </c>
      <c r="F25" s="184">
        <f>(3/(F21/F22))*F23</f>
        <v>220.58823529411765</v>
      </c>
      <c r="G25" s="67" t="s">
        <v>164</v>
      </c>
    </row>
    <row r="26" spans="3:10" ht="17.399999999999999" x14ac:dyDescent="0.25">
      <c r="C26" s="287"/>
      <c r="D26" s="288"/>
      <c r="E26" s="194" t="s">
        <v>571</v>
      </c>
      <c r="F26" s="184">
        <f>F25*1.11</f>
        <v>244.85294117647061</v>
      </c>
      <c r="G26" s="67" t="s">
        <v>164</v>
      </c>
    </row>
    <row r="27" spans="3:10" ht="17.399999999999999" x14ac:dyDescent="0.25">
      <c r="C27" s="284"/>
      <c r="D27" s="286"/>
      <c r="E27" s="194" t="s">
        <v>572</v>
      </c>
      <c r="F27" s="184">
        <v>190</v>
      </c>
      <c r="G27" s="67" t="s">
        <v>164</v>
      </c>
    </row>
    <row r="28" spans="3:10" ht="16.5" customHeight="1" x14ac:dyDescent="0.25">
      <c r="C28" s="283">
        <v>6</v>
      </c>
      <c r="D28" s="289" t="s">
        <v>573</v>
      </c>
      <c r="E28" s="194" t="s">
        <v>550</v>
      </c>
      <c r="F28" s="184">
        <v>50</v>
      </c>
      <c r="G28" s="103" t="s">
        <v>574</v>
      </c>
    </row>
    <row r="29" spans="3:10" ht="16.5" customHeight="1" x14ac:dyDescent="0.25">
      <c r="C29" s="284"/>
      <c r="D29" s="286"/>
      <c r="E29" s="194" t="s">
        <v>552</v>
      </c>
      <c r="F29" s="193">
        <v>5</v>
      </c>
      <c r="G29" s="103" t="s">
        <v>574</v>
      </c>
    </row>
    <row r="30" spans="3:10" ht="17.399999999999999" x14ac:dyDescent="0.25">
      <c r="C30" s="283">
        <v>7</v>
      </c>
      <c r="D30" s="285" t="s">
        <v>575</v>
      </c>
      <c r="E30" s="194" t="s">
        <v>550</v>
      </c>
      <c r="F30" s="184">
        <v>50</v>
      </c>
      <c r="G30" s="103" t="s">
        <v>574</v>
      </c>
    </row>
    <row r="31" spans="3:10" ht="17.399999999999999" x14ac:dyDescent="0.25">
      <c r="C31" s="284"/>
      <c r="D31" s="286"/>
      <c r="E31" s="194" t="s">
        <v>552</v>
      </c>
      <c r="F31" s="190"/>
      <c r="G31" s="103" t="s">
        <v>574</v>
      </c>
    </row>
    <row r="32" spans="3:10" ht="17.399999999999999" x14ac:dyDescent="0.25">
      <c r="C32" s="283">
        <v>8</v>
      </c>
      <c r="D32" s="285" t="s">
        <v>576</v>
      </c>
      <c r="E32" s="194" t="s">
        <v>550</v>
      </c>
      <c r="F32" s="184"/>
      <c r="G32" s="103" t="s">
        <v>577</v>
      </c>
    </row>
    <row r="33" spans="3:8" ht="17.399999999999999" x14ac:dyDescent="0.25">
      <c r="C33" s="284"/>
      <c r="D33" s="286"/>
      <c r="E33" s="194" t="s">
        <v>552</v>
      </c>
      <c r="F33" s="184"/>
      <c r="G33" s="103" t="s">
        <v>577</v>
      </c>
    </row>
    <row r="34" spans="3:8" ht="17.399999999999999" x14ac:dyDescent="0.25">
      <c r="C34" s="283">
        <v>9</v>
      </c>
      <c r="D34" s="285" t="s">
        <v>578</v>
      </c>
      <c r="E34" s="194" t="s">
        <v>579</v>
      </c>
      <c r="F34" s="184">
        <v>296</v>
      </c>
      <c r="G34" s="103" t="s">
        <v>580</v>
      </c>
    </row>
    <row r="35" spans="3:8" ht="17.399999999999999" x14ac:dyDescent="0.25">
      <c r="C35" s="287"/>
      <c r="D35" s="288"/>
      <c r="E35" s="194" t="s">
        <v>581</v>
      </c>
      <c r="F35" s="184">
        <v>500</v>
      </c>
      <c r="G35" s="103" t="s">
        <v>161</v>
      </c>
    </row>
    <row r="36" spans="3:8" ht="17.399999999999999" x14ac:dyDescent="0.25">
      <c r="C36" s="284"/>
      <c r="D36" s="286"/>
      <c r="E36" s="194" t="s">
        <v>582</v>
      </c>
      <c r="F36" s="184">
        <v>300</v>
      </c>
      <c r="G36" s="103" t="s">
        <v>161</v>
      </c>
    </row>
    <row r="37" spans="3:8" ht="17.399999999999999" x14ac:dyDescent="0.25">
      <c r="C37" s="182">
        <v>10</v>
      </c>
      <c r="D37" s="69" t="s">
        <v>583</v>
      </c>
      <c r="E37" s="194" t="s">
        <v>584</v>
      </c>
      <c r="F37" s="213">
        <v>12</v>
      </c>
      <c r="G37" s="67" t="s">
        <v>568</v>
      </c>
    </row>
    <row r="38" spans="3:8" ht="17.399999999999999" x14ac:dyDescent="0.25">
      <c r="C38" s="283">
        <v>11</v>
      </c>
      <c r="D38" s="285" t="s">
        <v>585</v>
      </c>
      <c r="E38" s="194" t="s">
        <v>552</v>
      </c>
      <c r="F38" s="184">
        <v>5000</v>
      </c>
      <c r="G38" s="67" t="s">
        <v>577</v>
      </c>
    </row>
    <row r="39" spans="3:8" ht="16.5" customHeight="1" x14ac:dyDescent="0.25">
      <c r="C39" s="287"/>
      <c r="D39" s="288"/>
      <c r="E39" s="194" t="s">
        <v>550</v>
      </c>
      <c r="F39" s="184"/>
      <c r="G39" s="67" t="s">
        <v>577</v>
      </c>
      <c r="H39" t="s">
        <v>586</v>
      </c>
    </row>
    <row r="40" spans="3:8" ht="17.399999999999999" x14ac:dyDescent="0.25">
      <c r="C40" s="287"/>
      <c r="D40" s="288"/>
      <c r="E40" s="194" t="s">
        <v>587</v>
      </c>
      <c r="F40" s="184">
        <v>25000</v>
      </c>
      <c r="G40" s="67" t="s">
        <v>577</v>
      </c>
    </row>
    <row r="41" spans="3:8" ht="17.399999999999999" x14ac:dyDescent="0.25">
      <c r="C41" s="284"/>
      <c r="D41" s="286"/>
      <c r="E41" s="194" t="s">
        <v>588</v>
      </c>
      <c r="F41" s="190">
        <v>23000</v>
      </c>
      <c r="G41" s="67" t="s">
        <v>577</v>
      </c>
    </row>
    <row r="42" spans="3:8" ht="17.399999999999999" x14ac:dyDescent="0.25">
      <c r="C42" s="195">
        <v>12</v>
      </c>
      <c r="D42" s="196" t="s">
        <v>589</v>
      </c>
      <c r="E42" s="194" t="s">
        <v>589</v>
      </c>
      <c r="F42" s="193">
        <v>4</v>
      </c>
      <c r="G42" s="103" t="s">
        <v>590</v>
      </c>
    </row>
    <row r="43" spans="3:8" ht="16.5" hidden="1" customHeight="1" x14ac:dyDescent="0.25">
      <c r="C43" s="283">
        <v>13</v>
      </c>
      <c r="D43" s="285" t="s">
        <v>591</v>
      </c>
      <c r="E43" s="194" t="s">
        <v>592</v>
      </c>
      <c r="F43" s="194" t="s">
        <v>593</v>
      </c>
      <c r="G43" s="197" t="s">
        <v>594</v>
      </c>
    </row>
    <row r="44" spans="3:8" ht="17.399999999999999" x14ac:dyDescent="0.25">
      <c r="C44" s="287"/>
      <c r="D44" s="288"/>
      <c r="E44" s="194" t="s">
        <v>595</v>
      </c>
      <c r="F44" s="194" t="s">
        <v>596</v>
      </c>
      <c r="G44" s="197" t="s">
        <v>624</v>
      </c>
    </row>
    <row r="45" spans="3:8" ht="17.399999999999999" x14ac:dyDescent="0.25">
      <c r="C45" s="287"/>
      <c r="D45" s="288"/>
      <c r="E45" s="194" t="s">
        <v>597</v>
      </c>
      <c r="F45" s="194" t="s">
        <v>598</v>
      </c>
      <c r="G45" s="197" t="s">
        <v>594</v>
      </c>
    </row>
    <row r="46" spans="3:8" ht="17.399999999999999" x14ac:dyDescent="0.25">
      <c r="C46" s="287"/>
      <c r="D46" s="288"/>
      <c r="E46" s="194" t="s">
        <v>599</v>
      </c>
      <c r="F46" s="194" t="s">
        <v>600</v>
      </c>
      <c r="G46" s="197" t="s">
        <v>594</v>
      </c>
    </row>
    <row r="47" spans="3:8" ht="17.399999999999999" x14ac:dyDescent="0.25">
      <c r="C47" s="287"/>
      <c r="D47" s="288"/>
      <c r="E47" s="194" t="s">
        <v>601</v>
      </c>
      <c r="F47" s="194" t="s">
        <v>602</v>
      </c>
      <c r="G47" s="197" t="s">
        <v>594</v>
      </c>
    </row>
    <row r="48" spans="3:8" ht="17.399999999999999" x14ac:dyDescent="0.25">
      <c r="C48" s="287"/>
      <c r="D48" s="288"/>
      <c r="E48" s="194" t="s">
        <v>603</v>
      </c>
      <c r="F48" s="194" t="s">
        <v>604</v>
      </c>
      <c r="G48" s="197" t="s">
        <v>605</v>
      </c>
    </row>
    <row r="49" spans="3:7" ht="17.399999999999999" x14ac:dyDescent="0.25">
      <c r="C49" s="287"/>
      <c r="D49" s="288"/>
      <c r="E49" s="194" t="s">
        <v>606</v>
      </c>
      <c r="F49" s="194" t="s">
        <v>607</v>
      </c>
      <c r="G49" s="197" t="s">
        <v>605</v>
      </c>
    </row>
    <row r="50" spans="3:7" ht="87" x14ac:dyDescent="0.25">
      <c r="C50" s="287"/>
      <c r="D50" s="288"/>
      <c r="E50" s="194" t="s">
        <v>608</v>
      </c>
      <c r="F50" s="198" t="s">
        <v>609</v>
      </c>
      <c r="G50" s="197" t="s">
        <v>625</v>
      </c>
    </row>
    <row r="51" spans="3:7" ht="17.399999999999999" x14ac:dyDescent="0.25">
      <c r="C51" s="287"/>
      <c r="D51" s="288"/>
      <c r="E51" s="194" t="s">
        <v>610</v>
      </c>
      <c r="F51" s="194" t="s">
        <v>611</v>
      </c>
      <c r="G51" s="197" t="s">
        <v>605</v>
      </c>
    </row>
    <row r="52" spans="3:7" ht="37.5" customHeight="1" x14ac:dyDescent="0.25">
      <c r="C52" s="287"/>
      <c r="D52" s="288"/>
      <c r="E52" s="194" t="s">
        <v>612</v>
      </c>
      <c r="F52" s="199" t="s">
        <v>613</v>
      </c>
      <c r="G52" s="197" t="s">
        <v>626</v>
      </c>
    </row>
    <row r="53" spans="3:7" ht="17.399999999999999" x14ac:dyDescent="0.25">
      <c r="C53" s="287"/>
      <c r="D53" s="288"/>
      <c r="E53" s="194"/>
      <c r="F53" s="199" t="s">
        <v>572</v>
      </c>
      <c r="G53" s="197" t="s">
        <v>594</v>
      </c>
    </row>
    <row r="54" spans="3:7" ht="17.399999999999999" x14ac:dyDescent="0.25">
      <c r="C54" s="287"/>
      <c r="D54" s="288"/>
      <c r="E54" s="194"/>
      <c r="F54" s="199" t="s">
        <v>614</v>
      </c>
      <c r="G54" s="197" t="s">
        <v>594</v>
      </c>
    </row>
    <row r="55" spans="3:7" ht="17.399999999999999" x14ac:dyDescent="0.25">
      <c r="C55" s="284"/>
      <c r="D55" s="288"/>
      <c r="E55" s="194"/>
      <c r="F55" s="199" t="s">
        <v>615</v>
      </c>
      <c r="G55" s="197" t="s">
        <v>594</v>
      </c>
    </row>
    <row r="56" spans="3:7" ht="17.399999999999999" x14ac:dyDescent="0.25">
      <c r="C56" s="182">
        <v>14</v>
      </c>
      <c r="D56" s="200" t="s">
        <v>616</v>
      </c>
      <c r="E56" s="290" t="s">
        <v>617</v>
      </c>
      <c r="F56" s="291"/>
      <c r="G56" s="292"/>
    </row>
    <row r="57" spans="3:7" ht="17.399999999999999" x14ac:dyDescent="0.25">
      <c r="C57" s="182">
        <v>15</v>
      </c>
      <c r="D57" s="200" t="s">
        <v>618</v>
      </c>
      <c r="E57" s="290" t="s">
        <v>619</v>
      </c>
      <c r="F57" s="291"/>
      <c r="G57" s="292"/>
    </row>
    <row r="58" spans="3:7" x14ac:dyDescent="0.25">
      <c r="C58" s="3"/>
      <c r="D58" s="3"/>
      <c r="E58" s="3"/>
      <c r="F58" s="129"/>
      <c r="G58" s="3"/>
    </row>
    <row r="59" spans="3:7" x14ac:dyDescent="0.25">
      <c r="C59" s="131" t="s">
        <v>620</v>
      </c>
      <c r="D59" s="293"/>
      <c r="E59" s="294"/>
      <c r="F59" s="294"/>
      <c r="G59" s="295"/>
    </row>
    <row r="61" spans="3:7" ht="100.5" customHeight="1" x14ac:dyDescent="0.2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21" sqref="G21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98" t="s">
        <v>330</v>
      </c>
      <c r="B2" s="300" t="s">
        <v>331</v>
      </c>
      <c r="C2" s="300" t="s">
        <v>332</v>
      </c>
      <c r="D2" s="300" t="s">
        <v>333</v>
      </c>
      <c r="E2" s="300" t="s">
        <v>334</v>
      </c>
      <c r="F2" s="296" t="s">
        <v>335</v>
      </c>
      <c r="G2" s="302" t="s">
        <v>336</v>
      </c>
      <c r="H2" s="300" t="s">
        <v>337</v>
      </c>
      <c r="I2" s="302" t="s">
        <v>338</v>
      </c>
      <c r="J2" s="304" t="s">
        <v>339</v>
      </c>
      <c r="K2" s="300" t="s">
        <v>340</v>
      </c>
      <c r="L2" s="296" t="s">
        <v>341</v>
      </c>
      <c r="M2" s="300" t="s">
        <v>342</v>
      </c>
      <c r="N2" s="300" t="s">
        <v>343</v>
      </c>
      <c r="O2" s="296" t="s">
        <v>344</v>
      </c>
      <c r="P2" s="300" t="s">
        <v>345</v>
      </c>
      <c r="Q2" s="300" t="s">
        <v>346</v>
      </c>
      <c r="R2" s="300"/>
      <c r="S2" s="302" t="s">
        <v>347</v>
      </c>
      <c r="T2" s="308" t="s">
        <v>348</v>
      </c>
      <c r="U2" s="310" t="s">
        <v>349</v>
      </c>
      <c r="V2" s="310" t="s">
        <v>350</v>
      </c>
    </row>
    <row r="3" spans="1:22" ht="18" thickBot="1" x14ac:dyDescent="0.3">
      <c r="A3" s="299"/>
      <c r="B3" s="301"/>
      <c r="C3" s="301"/>
      <c r="D3" s="301"/>
      <c r="E3" s="301"/>
      <c r="F3" s="297"/>
      <c r="G3" s="303"/>
      <c r="H3" s="301"/>
      <c r="I3" s="303"/>
      <c r="J3" s="305"/>
      <c r="K3" s="301"/>
      <c r="L3" s="297"/>
      <c r="M3" s="301"/>
      <c r="N3" s="301"/>
      <c r="O3" s="297"/>
      <c r="P3" s="301"/>
      <c r="Q3" s="148" t="s">
        <v>351</v>
      </c>
      <c r="R3" s="148" t="s">
        <v>352</v>
      </c>
      <c r="S3" s="303"/>
      <c r="T3" s="309"/>
      <c r="U3" s="311"/>
      <c r="V3" s="311"/>
    </row>
    <row r="4" spans="1:22" ht="18" thickTop="1" x14ac:dyDescent="0.4">
      <c r="A4" s="149">
        <v>20</v>
      </c>
      <c r="B4" s="150">
        <v>220</v>
      </c>
      <c r="C4" s="151">
        <f t="shared" ref="C4:C47" si="0">ROUNDUP(A4/(B4*0.9)/3^0.5*1000/0.9,0)</f>
        <v>65</v>
      </c>
      <c r="D4" s="151">
        <f t="shared" ref="D4:D47" si="1">ROUNDUP(B4*2^0.5*0.93,0)</f>
        <v>290</v>
      </c>
      <c r="E4" s="151">
        <f t="shared" ref="E4:E47" si="2">ROUNDUP(A4*1000/D4,0)</f>
        <v>69</v>
      </c>
      <c r="F4" s="152">
        <f t="shared" ref="F4:F47" si="3">30.8*100*C4/(1000*10)</f>
        <v>20.02</v>
      </c>
      <c r="G4" s="153">
        <f t="shared" ref="G4:G47" si="4">C4/(H4*I4)</f>
        <v>1.8571428571428572</v>
      </c>
      <c r="H4" s="150">
        <v>35</v>
      </c>
      <c r="I4" s="150">
        <v>1</v>
      </c>
      <c r="J4" s="150">
        <f t="shared" ref="J4:J47" si="5">L4*0.052</f>
        <v>3.9</v>
      </c>
      <c r="K4" s="150">
        <v>16</v>
      </c>
      <c r="L4" s="150">
        <v>75</v>
      </c>
      <c r="M4" s="150" t="s">
        <v>353</v>
      </c>
      <c r="N4" s="150" t="s">
        <v>354</v>
      </c>
      <c r="O4" s="154">
        <f t="shared" ref="O4:O47" si="6">SUM(C4*1.25)</f>
        <v>81.25</v>
      </c>
      <c r="P4" s="150" t="s">
        <v>355</v>
      </c>
      <c r="Q4" s="150" t="s">
        <v>356</v>
      </c>
      <c r="R4" s="150"/>
      <c r="S4" s="155" t="s">
        <v>357</v>
      </c>
      <c r="T4" s="155" t="s">
        <v>358</v>
      </c>
      <c r="U4" s="150" t="s">
        <v>359</v>
      </c>
      <c r="V4" s="156" t="s">
        <v>360</v>
      </c>
    </row>
    <row r="5" spans="1:22" ht="17.399999999999999" x14ac:dyDescent="0.4">
      <c r="A5" s="149">
        <v>20</v>
      </c>
      <c r="B5" s="150">
        <v>380</v>
      </c>
      <c r="C5" s="151">
        <f t="shared" si="0"/>
        <v>38</v>
      </c>
      <c r="D5" s="151">
        <f t="shared" si="1"/>
        <v>500</v>
      </c>
      <c r="E5" s="151">
        <f t="shared" si="2"/>
        <v>40</v>
      </c>
      <c r="F5" s="152">
        <f t="shared" si="3"/>
        <v>11.704000000000001</v>
      </c>
      <c r="G5" s="153">
        <f t="shared" si="4"/>
        <v>1.52</v>
      </c>
      <c r="H5" s="150">
        <v>25</v>
      </c>
      <c r="I5" s="150">
        <v>1</v>
      </c>
      <c r="J5" s="150">
        <f t="shared" si="5"/>
        <v>2.6</v>
      </c>
      <c r="K5" s="150">
        <v>16</v>
      </c>
      <c r="L5" s="150">
        <v>50</v>
      </c>
      <c r="M5" s="150" t="s">
        <v>361</v>
      </c>
      <c r="N5" s="150" t="s">
        <v>362</v>
      </c>
      <c r="O5" s="154">
        <f t="shared" si="6"/>
        <v>47.5</v>
      </c>
      <c r="P5" s="150" t="s">
        <v>363</v>
      </c>
      <c r="Q5" s="150" t="s">
        <v>356</v>
      </c>
      <c r="R5" s="150"/>
      <c r="S5" s="155" t="s">
        <v>357</v>
      </c>
      <c r="T5" s="155" t="s">
        <v>355</v>
      </c>
      <c r="U5" s="150" t="s">
        <v>364</v>
      </c>
      <c r="V5" s="156" t="s">
        <v>360</v>
      </c>
    </row>
    <row r="6" spans="1:22" ht="17.399999999999999" x14ac:dyDescent="0.4">
      <c r="A6" s="149">
        <v>20</v>
      </c>
      <c r="B6" s="150">
        <v>440</v>
      </c>
      <c r="C6" s="151">
        <f t="shared" si="0"/>
        <v>33</v>
      </c>
      <c r="D6" s="151">
        <f t="shared" si="1"/>
        <v>579</v>
      </c>
      <c r="E6" s="151">
        <f t="shared" si="2"/>
        <v>35</v>
      </c>
      <c r="F6" s="152">
        <f t="shared" si="3"/>
        <v>10.164</v>
      </c>
      <c r="G6" s="153">
        <f t="shared" si="4"/>
        <v>1.32</v>
      </c>
      <c r="H6" s="150">
        <v>25</v>
      </c>
      <c r="I6" s="150">
        <v>1</v>
      </c>
      <c r="J6" s="150">
        <f t="shared" si="5"/>
        <v>2.6</v>
      </c>
      <c r="K6" s="150">
        <v>16</v>
      </c>
      <c r="L6" s="150">
        <v>50</v>
      </c>
      <c r="M6" s="150" t="s">
        <v>361</v>
      </c>
      <c r="N6" s="150" t="s">
        <v>362</v>
      </c>
      <c r="O6" s="154">
        <f t="shared" si="6"/>
        <v>41.25</v>
      </c>
      <c r="P6" s="150" t="s">
        <v>363</v>
      </c>
      <c r="Q6" s="150" t="s">
        <v>356</v>
      </c>
      <c r="R6" s="150"/>
      <c r="S6" s="155" t="s">
        <v>357</v>
      </c>
      <c r="T6" s="155" t="s">
        <v>355</v>
      </c>
      <c r="U6" s="150" t="s">
        <v>364</v>
      </c>
      <c r="V6" s="156" t="s">
        <v>360</v>
      </c>
    </row>
    <row r="7" spans="1:22" ht="17.399999999999999" x14ac:dyDescent="0.4">
      <c r="A7" s="149">
        <v>30</v>
      </c>
      <c r="B7" s="150">
        <v>220</v>
      </c>
      <c r="C7" s="151">
        <f t="shared" si="0"/>
        <v>98</v>
      </c>
      <c r="D7" s="151">
        <f t="shared" si="1"/>
        <v>290</v>
      </c>
      <c r="E7" s="151">
        <f t="shared" si="2"/>
        <v>104</v>
      </c>
      <c r="F7" s="152">
        <f t="shared" si="3"/>
        <v>30.184000000000001</v>
      </c>
      <c r="G7" s="153">
        <f t="shared" si="4"/>
        <v>1.96</v>
      </c>
      <c r="H7" s="150">
        <v>50</v>
      </c>
      <c r="I7" s="150">
        <v>1</v>
      </c>
      <c r="J7" s="150">
        <f t="shared" si="5"/>
        <v>6.5</v>
      </c>
      <c r="K7" s="150">
        <v>16</v>
      </c>
      <c r="L7" s="150">
        <v>125</v>
      </c>
      <c r="M7" s="150" t="s">
        <v>365</v>
      </c>
      <c r="N7" s="150" t="s">
        <v>366</v>
      </c>
      <c r="O7" s="154">
        <f t="shared" si="6"/>
        <v>122.5</v>
      </c>
      <c r="P7" s="150" t="s">
        <v>367</v>
      </c>
      <c r="Q7" s="150" t="s">
        <v>356</v>
      </c>
      <c r="R7" s="157" t="s">
        <v>360</v>
      </c>
      <c r="S7" s="155" t="s">
        <v>357</v>
      </c>
      <c r="T7" s="155" t="s">
        <v>368</v>
      </c>
      <c r="U7" s="150" t="s">
        <v>364</v>
      </c>
      <c r="V7" s="156" t="s">
        <v>360</v>
      </c>
    </row>
    <row r="8" spans="1:22" ht="17.399999999999999" x14ac:dyDescent="0.4">
      <c r="A8" s="149">
        <v>30</v>
      </c>
      <c r="B8" s="150">
        <v>380</v>
      </c>
      <c r="C8" s="151">
        <f t="shared" si="0"/>
        <v>57</v>
      </c>
      <c r="D8" s="151">
        <f t="shared" si="1"/>
        <v>500</v>
      </c>
      <c r="E8" s="151">
        <f t="shared" si="2"/>
        <v>60</v>
      </c>
      <c r="F8" s="152">
        <f t="shared" si="3"/>
        <v>17.556000000000001</v>
      </c>
      <c r="G8" s="153">
        <f t="shared" si="4"/>
        <v>1.6285714285714286</v>
      </c>
      <c r="H8" s="150">
        <v>35</v>
      </c>
      <c r="I8" s="150">
        <v>1</v>
      </c>
      <c r="J8" s="150">
        <f t="shared" si="5"/>
        <v>3.9</v>
      </c>
      <c r="K8" s="150">
        <v>16</v>
      </c>
      <c r="L8" s="150">
        <v>75</v>
      </c>
      <c r="M8" s="150" t="s">
        <v>353</v>
      </c>
      <c r="N8" s="150" t="s">
        <v>354</v>
      </c>
      <c r="O8" s="154">
        <f t="shared" si="6"/>
        <v>71.25</v>
      </c>
      <c r="P8" s="150" t="s">
        <v>355</v>
      </c>
      <c r="Q8" s="150" t="s">
        <v>356</v>
      </c>
      <c r="R8" s="157" t="s">
        <v>360</v>
      </c>
      <c r="S8" s="155" t="s">
        <v>357</v>
      </c>
      <c r="T8" s="155" t="s">
        <v>355</v>
      </c>
      <c r="U8" s="150" t="s">
        <v>364</v>
      </c>
      <c r="V8" s="156" t="s">
        <v>360</v>
      </c>
    </row>
    <row r="9" spans="1:22" ht="17.399999999999999" x14ac:dyDescent="0.4">
      <c r="A9" s="149">
        <v>30</v>
      </c>
      <c r="B9" s="150">
        <v>440</v>
      </c>
      <c r="C9" s="151">
        <f t="shared" si="0"/>
        <v>49</v>
      </c>
      <c r="D9" s="151">
        <f t="shared" si="1"/>
        <v>579</v>
      </c>
      <c r="E9" s="151">
        <f t="shared" si="2"/>
        <v>52</v>
      </c>
      <c r="F9" s="152">
        <f t="shared" si="3"/>
        <v>15.092000000000001</v>
      </c>
      <c r="G9" s="153">
        <f t="shared" si="4"/>
        <v>1.4</v>
      </c>
      <c r="H9" s="150">
        <v>35</v>
      </c>
      <c r="I9" s="150">
        <v>1</v>
      </c>
      <c r="J9" s="150">
        <f t="shared" si="5"/>
        <v>3.9</v>
      </c>
      <c r="K9" s="150">
        <v>16</v>
      </c>
      <c r="L9" s="150">
        <v>75</v>
      </c>
      <c r="M9" s="150" t="s">
        <v>353</v>
      </c>
      <c r="N9" s="150" t="s">
        <v>354</v>
      </c>
      <c r="O9" s="154">
        <f t="shared" si="6"/>
        <v>61.25</v>
      </c>
      <c r="P9" s="150" t="s">
        <v>355</v>
      </c>
      <c r="Q9" s="150" t="s">
        <v>356</v>
      </c>
      <c r="R9" s="157" t="s">
        <v>360</v>
      </c>
      <c r="S9" s="155" t="s">
        <v>357</v>
      </c>
      <c r="T9" s="155" t="s">
        <v>355</v>
      </c>
      <c r="U9" s="150" t="s">
        <v>364</v>
      </c>
      <c r="V9" s="156" t="s">
        <v>360</v>
      </c>
    </row>
    <row r="10" spans="1:22" ht="17.399999999999999" x14ac:dyDescent="0.4">
      <c r="A10" s="149">
        <v>50</v>
      </c>
      <c r="B10" s="150">
        <v>220</v>
      </c>
      <c r="C10" s="151">
        <f t="shared" si="0"/>
        <v>162</v>
      </c>
      <c r="D10" s="151">
        <f t="shared" si="1"/>
        <v>290</v>
      </c>
      <c r="E10" s="151">
        <f t="shared" si="2"/>
        <v>173</v>
      </c>
      <c r="F10" s="152">
        <f t="shared" si="3"/>
        <v>49.896000000000001</v>
      </c>
      <c r="G10" s="153">
        <f t="shared" si="4"/>
        <v>2.3142857142857145</v>
      </c>
      <c r="H10" s="150">
        <v>70</v>
      </c>
      <c r="I10" s="150">
        <v>1</v>
      </c>
      <c r="J10" s="150">
        <f t="shared" si="5"/>
        <v>10.4</v>
      </c>
      <c r="K10" s="150">
        <v>16</v>
      </c>
      <c r="L10" s="150">
        <v>200</v>
      </c>
      <c r="M10" s="150" t="s">
        <v>369</v>
      </c>
      <c r="N10" s="150" t="s">
        <v>370</v>
      </c>
      <c r="O10" s="154">
        <f t="shared" si="6"/>
        <v>202.5</v>
      </c>
      <c r="P10" s="150" t="s">
        <v>371</v>
      </c>
      <c r="Q10" s="150" t="s">
        <v>372</v>
      </c>
      <c r="R10" s="157" t="s">
        <v>360</v>
      </c>
      <c r="S10" s="155" t="s">
        <v>373</v>
      </c>
      <c r="T10" s="155" t="s">
        <v>374</v>
      </c>
      <c r="U10" s="306" t="s">
        <v>375</v>
      </c>
      <c r="V10" s="307"/>
    </row>
    <row r="11" spans="1:22" ht="17.399999999999999" x14ac:dyDescent="0.4">
      <c r="A11" s="149">
        <v>50</v>
      </c>
      <c r="B11" s="150">
        <v>380</v>
      </c>
      <c r="C11" s="151">
        <f t="shared" si="0"/>
        <v>94</v>
      </c>
      <c r="D11" s="151">
        <f t="shared" si="1"/>
        <v>500</v>
      </c>
      <c r="E11" s="151">
        <f t="shared" si="2"/>
        <v>100</v>
      </c>
      <c r="F11" s="152">
        <f t="shared" si="3"/>
        <v>28.952000000000002</v>
      </c>
      <c r="G11" s="153">
        <f t="shared" si="4"/>
        <v>1.3428571428571427</v>
      </c>
      <c r="H11" s="150">
        <v>70</v>
      </c>
      <c r="I11" s="150">
        <v>1</v>
      </c>
      <c r="J11" s="150">
        <f t="shared" si="5"/>
        <v>6.5</v>
      </c>
      <c r="K11" s="150">
        <v>16</v>
      </c>
      <c r="L11" s="150">
        <v>125</v>
      </c>
      <c r="M11" s="150" t="s">
        <v>376</v>
      </c>
      <c r="N11" s="150" t="s">
        <v>366</v>
      </c>
      <c r="O11" s="154">
        <f t="shared" si="6"/>
        <v>117.5</v>
      </c>
      <c r="P11" s="150" t="s">
        <v>367</v>
      </c>
      <c r="Q11" s="150" t="s">
        <v>356</v>
      </c>
      <c r="R11" s="157" t="s">
        <v>360</v>
      </c>
      <c r="S11" s="155" t="s">
        <v>357</v>
      </c>
      <c r="T11" s="155" t="s">
        <v>368</v>
      </c>
      <c r="U11" s="150" t="s">
        <v>364</v>
      </c>
      <c r="V11" s="156" t="s">
        <v>360</v>
      </c>
    </row>
    <row r="12" spans="1:22" ht="17.399999999999999" x14ac:dyDescent="0.4">
      <c r="A12" s="149">
        <v>50</v>
      </c>
      <c r="B12" s="150">
        <v>440</v>
      </c>
      <c r="C12" s="151">
        <f t="shared" si="0"/>
        <v>81</v>
      </c>
      <c r="D12" s="151">
        <f t="shared" si="1"/>
        <v>579</v>
      </c>
      <c r="E12" s="151">
        <f t="shared" si="2"/>
        <v>87</v>
      </c>
      <c r="F12" s="152">
        <f t="shared" si="3"/>
        <v>24.948</v>
      </c>
      <c r="G12" s="153">
        <f t="shared" si="4"/>
        <v>1.1571428571428573</v>
      </c>
      <c r="H12" s="150">
        <v>70</v>
      </c>
      <c r="I12" s="150">
        <v>1</v>
      </c>
      <c r="J12" s="150">
        <f t="shared" si="5"/>
        <v>5.2</v>
      </c>
      <c r="K12" s="150">
        <v>16</v>
      </c>
      <c r="L12" s="150">
        <v>100</v>
      </c>
      <c r="M12" s="150" t="s">
        <v>376</v>
      </c>
      <c r="N12" s="150" t="s">
        <v>366</v>
      </c>
      <c r="O12" s="154">
        <f t="shared" si="6"/>
        <v>101.25</v>
      </c>
      <c r="P12" s="150" t="s">
        <v>367</v>
      </c>
      <c r="Q12" s="150" t="s">
        <v>356</v>
      </c>
      <c r="R12" s="157" t="s">
        <v>360</v>
      </c>
      <c r="S12" s="155" t="s">
        <v>357</v>
      </c>
      <c r="T12" s="155" t="s">
        <v>368</v>
      </c>
      <c r="U12" s="150" t="s">
        <v>364</v>
      </c>
      <c r="V12" s="156" t="s">
        <v>360</v>
      </c>
    </row>
    <row r="13" spans="1:22" ht="17.399999999999999" x14ac:dyDescent="0.4">
      <c r="A13" s="149">
        <v>75</v>
      </c>
      <c r="B13" s="150">
        <v>220</v>
      </c>
      <c r="C13" s="151">
        <f t="shared" si="0"/>
        <v>243</v>
      </c>
      <c r="D13" s="151">
        <f t="shared" si="1"/>
        <v>290</v>
      </c>
      <c r="E13" s="151">
        <f t="shared" si="2"/>
        <v>259</v>
      </c>
      <c r="F13" s="152">
        <f t="shared" si="3"/>
        <v>74.843999999999994</v>
      </c>
      <c r="G13" s="153">
        <f t="shared" si="4"/>
        <v>1.7357142857142858</v>
      </c>
      <c r="H13" s="150">
        <v>70</v>
      </c>
      <c r="I13" s="150">
        <v>2</v>
      </c>
      <c r="J13" s="150">
        <f t="shared" si="5"/>
        <v>15.6</v>
      </c>
      <c r="K13" s="150">
        <v>16</v>
      </c>
      <c r="L13" s="150">
        <v>300</v>
      </c>
      <c r="M13" s="150" t="s">
        <v>377</v>
      </c>
      <c r="N13" s="150" t="s">
        <v>378</v>
      </c>
      <c r="O13" s="154">
        <f t="shared" si="6"/>
        <v>303.75</v>
      </c>
      <c r="P13" s="150" t="s">
        <v>379</v>
      </c>
      <c r="Q13" s="150" t="s">
        <v>372</v>
      </c>
      <c r="R13" s="157" t="s">
        <v>360</v>
      </c>
      <c r="S13" s="155" t="s">
        <v>380</v>
      </c>
      <c r="T13" s="155" t="s">
        <v>379</v>
      </c>
      <c r="U13" s="306" t="s">
        <v>375</v>
      </c>
      <c r="V13" s="307"/>
    </row>
    <row r="14" spans="1:22" ht="17.399999999999999" x14ac:dyDescent="0.4">
      <c r="A14" s="149">
        <v>75</v>
      </c>
      <c r="B14" s="150">
        <v>380</v>
      </c>
      <c r="C14" s="151">
        <f t="shared" si="0"/>
        <v>141</v>
      </c>
      <c r="D14" s="151">
        <f t="shared" si="1"/>
        <v>500</v>
      </c>
      <c r="E14" s="151">
        <f t="shared" si="2"/>
        <v>150</v>
      </c>
      <c r="F14" s="152">
        <f t="shared" si="3"/>
        <v>43.427999999999997</v>
      </c>
      <c r="G14" s="153">
        <f t="shared" si="4"/>
        <v>2.0142857142857142</v>
      </c>
      <c r="H14" s="150">
        <v>70</v>
      </c>
      <c r="I14" s="150">
        <v>1</v>
      </c>
      <c r="J14" s="150">
        <f t="shared" si="5"/>
        <v>9.1</v>
      </c>
      <c r="K14" s="150">
        <v>16</v>
      </c>
      <c r="L14" s="150">
        <v>175</v>
      </c>
      <c r="M14" s="150" t="s">
        <v>369</v>
      </c>
      <c r="N14" s="150" t="s">
        <v>370</v>
      </c>
      <c r="O14" s="154">
        <f t="shared" si="6"/>
        <v>176.25</v>
      </c>
      <c r="P14" s="150" t="s">
        <v>371</v>
      </c>
      <c r="Q14" s="150" t="s">
        <v>372</v>
      </c>
      <c r="R14" s="157" t="s">
        <v>360</v>
      </c>
      <c r="S14" s="155" t="s">
        <v>380</v>
      </c>
      <c r="T14" s="155" t="s">
        <v>371</v>
      </c>
      <c r="U14" s="306" t="s">
        <v>375</v>
      </c>
      <c r="V14" s="307"/>
    </row>
    <row r="15" spans="1:22" ht="17.399999999999999" x14ac:dyDescent="0.4">
      <c r="A15" s="149">
        <v>75</v>
      </c>
      <c r="B15" s="150">
        <v>440</v>
      </c>
      <c r="C15" s="151">
        <f t="shared" si="0"/>
        <v>122</v>
      </c>
      <c r="D15" s="151">
        <f t="shared" si="1"/>
        <v>579</v>
      </c>
      <c r="E15" s="151">
        <f t="shared" si="2"/>
        <v>130</v>
      </c>
      <c r="F15" s="152">
        <f t="shared" si="3"/>
        <v>37.576000000000001</v>
      </c>
      <c r="G15" s="153">
        <f t="shared" si="4"/>
        <v>1.7428571428571429</v>
      </c>
      <c r="H15" s="150">
        <v>70</v>
      </c>
      <c r="I15" s="150">
        <v>1</v>
      </c>
      <c r="J15" s="150">
        <f t="shared" si="5"/>
        <v>7.8</v>
      </c>
      <c r="K15" s="150">
        <v>16</v>
      </c>
      <c r="L15" s="150">
        <v>150</v>
      </c>
      <c r="M15" s="150" t="s">
        <v>369</v>
      </c>
      <c r="N15" s="150" t="s">
        <v>370</v>
      </c>
      <c r="O15" s="154">
        <f t="shared" si="6"/>
        <v>152.5</v>
      </c>
      <c r="P15" s="150" t="s">
        <v>371</v>
      </c>
      <c r="Q15" s="150" t="s">
        <v>372</v>
      </c>
      <c r="R15" s="157" t="s">
        <v>360</v>
      </c>
      <c r="S15" s="155" t="s">
        <v>380</v>
      </c>
      <c r="T15" s="155" t="s">
        <v>371</v>
      </c>
      <c r="U15" s="306" t="s">
        <v>375</v>
      </c>
      <c r="V15" s="307"/>
    </row>
    <row r="16" spans="1:22" ht="17.399999999999999" x14ac:dyDescent="0.4">
      <c r="A16" s="149">
        <v>100</v>
      </c>
      <c r="B16" s="150">
        <v>380</v>
      </c>
      <c r="C16" s="151">
        <f t="shared" si="0"/>
        <v>188</v>
      </c>
      <c r="D16" s="151">
        <f t="shared" si="1"/>
        <v>500</v>
      </c>
      <c r="E16" s="151">
        <f t="shared" si="2"/>
        <v>200</v>
      </c>
      <c r="F16" s="152">
        <f t="shared" si="3"/>
        <v>57.904000000000003</v>
      </c>
      <c r="G16" s="153">
        <f t="shared" si="4"/>
        <v>1.9789473684210526</v>
      </c>
      <c r="H16" s="150">
        <v>95</v>
      </c>
      <c r="I16" s="150">
        <v>1</v>
      </c>
      <c r="J16" s="150">
        <f t="shared" si="5"/>
        <v>10.4</v>
      </c>
      <c r="K16" s="150">
        <v>16</v>
      </c>
      <c r="L16" s="150">
        <v>200</v>
      </c>
      <c r="M16" s="150" t="s">
        <v>369</v>
      </c>
      <c r="N16" s="150" t="s">
        <v>381</v>
      </c>
      <c r="O16" s="154">
        <f t="shared" si="6"/>
        <v>235</v>
      </c>
      <c r="P16" s="150" t="s">
        <v>382</v>
      </c>
      <c r="Q16" s="150" t="s">
        <v>372</v>
      </c>
      <c r="R16" s="157" t="s">
        <v>360</v>
      </c>
      <c r="S16" s="155" t="s">
        <v>380</v>
      </c>
      <c r="T16" s="155" t="s">
        <v>379</v>
      </c>
      <c r="U16" s="306" t="s">
        <v>375</v>
      </c>
      <c r="V16" s="307"/>
    </row>
    <row r="17" spans="1:22" ht="17.399999999999999" x14ac:dyDescent="0.4">
      <c r="A17" s="149">
        <v>100</v>
      </c>
      <c r="B17" s="150">
        <v>440</v>
      </c>
      <c r="C17" s="151">
        <f t="shared" si="0"/>
        <v>162</v>
      </c>
      <c r="D17" s="151">
        <f t="shared" si="1"/>
        <v>579</v>
      </c>
      <c r="E17" s="151">
        <f t="shared" si="2"/>
        <v>173</v>
      </c>
      <c r="F17" s="152">
        <f t="shared" si="3"/>
        <v>49.896000000000001</v>
      </c>
      <c r="G17" s="153">
        <f t="shared" si="4"/>
        <v>1.7052631578947368</v>
      </c>
      <c r="H17" s="150">
        <v>95</v>
      </c>
      <c r="I17" s="150">
        <v>1</v>
      </c>
      <c r="J17" s="150">
        <f t="shared" si="5"/>
        <v>10.4</v>
      </c>
      <c r="K17" s="150">
        <v>16</v>
      </c>
      <c r="L17" s="150">
        <v>200</v>
      </c>
      <c r="M17" s="150" t="s">
        <v>369</v>
      </c>
      <c r="N17" s="150" t="s">
        <v>381</v>
      </c>
      <c r="O17" s="154">
        <f t="shared" si="6"/>
        <v>202.5</v>
      </c>
      <c r="P17" s="150" t="s">
        <v>382</v>
      </c>
      <c r="Q17" s="150" t="s">
        <v>372</v>
      </c>
      <c r="R17" s="157" t="s">
        <v>360</v>
      </c>
      <c r="S17" s="155" t="s">
        <v>380</v>
      </c>
      <c r="T17" s="155" t="s">
        <v>379</v>
      </c>
      <c r="U17" s="306" t="s">
        <v>375</v>
      </c>
      <c r="V17" s="307"/>
    </row>
    <row r="18" spans="1:22" ht="17.399999999999999" x14ac:dyDescent="0.4">
      <c r="A18" s="149">
        <v>125</v>
      </c>
      <c r="B18" s="150">
        <v>380</v>
      </c>
      <c r="C18" s="151">
        <f t="shared" si="0"/>
        <v>235</v>
      </c>
      <c r="D18" s="151">
        <f t="shared" si="1"/>
        <v>500</v>
      </c>
      <c r="E18" s="151">
        <f t="shared" si="2"/>
        <v>250</v>
      </c>
      <c r="F18" s="152">
        <f t="shared" si="3"/>
        <v>72.38</v>
      </c>
      <c r="G18" s="153">
        <f t="shared" si="4"/>
        <v>1.6785714285714286</v>
      </c>
      <c r="H18" s="150">
        <v>70</v>
      </c>
      <c r="I18" s="150">
        <v>2</v>
      </c>
      <c r="J18" s="150">
        <f t="shared" si="5"/>
        <v>13</v>
      </c>
      <c r="K18" s="150">
        <v>16</v>
      </c>
      <c r="L18" s="150">
        <v>250</v>
      </c>
      <c r="M18" s="150" t="s">
        <v>377</v>
      </c>
      <c r="N18" s="150" t="s">
        <v>378</v>
      </c>
      <c r="O18" s="154">
        <f t="shared" si="6"/>
        <v>293.75</v>
      </c>
      <c r="P18" s="150" t="s">
        <v>379</v>
      </c>
      <c r="Q18" s="150" t="s">
        <v>372</v>
      </c>
      <c r="R18" s="157" t="s">
        <v>360</v>
      </c>
      <c r="S18" s="155" t="s">
        <v>383</v>
      </c>
      <c r="T18" s="155" t="s">
        <v>379</v>
      </c>
      <c r="U18" s="306" t="s">
        <v>375</v>
      </c>
      <c r="V18" s="307"/>
    </row>
    <row r="19" spans="1:22" ht="17.399999999999999" x14ac:dyDescent="0.4">
      <c r="A19" s="149">
        <v>125</v>
      </c>
      <c r="B19" s="150">
        <v>440</v>
      </c>
      <c r="C19" s="151">
        <f t="shared" si="0"/>
        <v>203</v>
      </c>
      <c r="D19" s="151">
        <f t="shared" si="1"/>
        <v>579</v>
      </c>
      <c r="E19" s="151">
        <f t="shared" si="2"/>
        <v>216</v>
      </c>
      <c r="F19" s="152">
        <f t="shared" si="3"/>
        <v>62.524000000000001</v>
      </c>
      <c r="G19" s="153">
        <f t="shared" si="4"/>
        <v>1.45</v>
      </c>
      <c r="H19" s="150">
        <v>70</v>
      </c>
      <c r="I19" s="150">
        <v>2</v>
      </c>
      <c r="J19" s="150">
        <f t="shared" si="5"/>
        <v>13</v>
      </c>
      <c r="K19" s="150">
        <v>16</v>
      </c>
      <c r="L19" s="150">
        <v>250</v>
      </c>
      <c r="M19" s="150" t="s">
        <v>384</v>
      </c>
      <c r="N19" s="150" t="s">
        <v>381</v>
      </c>
      <c r="O19" s="154">
        <f t="shared" si="6"/>
        <v>253.75</v>
      </c>
      <c r="P19" s="150" t="s">
        <v>379</v>
      </c>
      <c r="Q19" s="150" t="s">
        <v>372</v>
      </c>
      <c r="R19" s="157" t="s">
        <v>360</v>
      </c>
      <c r="S19" s="155" t="s">
        <v>383</v>
      </c>
      <c r="T19" s="155" t="s">
        <v>379</v>
      </c>
      <c r="U19" s="306" t="s">
        <v>375</v>
      </c>
      <c r="V19" s="307"/>
    </row>
    <row r="20" spans="1:22" ht="17.399999999999999" x14ac:dyDescent="0.4">
      <c r="A20" s="149">
        <v>150</v>
      </c>
      <c r="B20" s="150">
        <v>380</v>
      </c>
      <c r="C20" s="151">
        <f t="shared" si="0"/>
        <v>282</v>
      </c>
      <c r="D20" s="151">
        <f t="shared" si="1"/>
        <v>500</v>
      </c>
      <c r="E20" s="151">
        <f t="shared" si="2"/>
        <v>300</v>
      </c>
      <c r="F20" s="152">
        <f t="shared" si="3"/>
        <v>86.855999999999995</v>
      </c>
      <c r="G20" s="153">
        <f t="shared" si="4"/>
        <v>2.0142857142857142</v>
      </c>
      <c r="H20" s="150">
        <v>70</v>
      </c>
      <c r="I20" s="150">
        <v>2</v>
      </c>
      <c r="J20" s="150">
        <f t="shared" si="5"/>
        <v>15.6</v>
      </c>
      <c r="K20" s="150">
        <v>25</v>
      </c>
      <c r="L20" s="150">
        <v>300</v>
      </c>
      <c r="M20" s="150" t="s">
        <v>377</v>
      </c>
      <c r="N20" s="150" t="s">
        <v>378</v>
      </c>
      <c r="O20" s="154">
        <f t="shared" si="6"/>
        <v>352.5</v>
      </c>
      <c r="P20" s="150" t="s">
        <v>385</v>
      </c>
      <c r="Q20" s="150" t="s">
        <v>372</v>
      </c>
      <c r="R20" s="157" t="s">
        <v>360</v>
      </c>
      <c r="S20" s="155" t="s">
        <v>383</v>
      </c>
      <c r="T20" s="155" t="s">
        <v>385</v>
      </c>
      <c r="U20" s="306" t="s">
        <v>375</v>
      </c>
      <c r="V20" s="307"/>
    </row>
    <row r="21" spans="1:22" ht="17.399999999999999" x14ac:dyDescent="0.4">
      <c r="A21" s="149">
        <v>150</v>
      </c>
      <c r="B21" s="150">
        <v>440</v>
      </c>
      <c r="C21" s="151">
        <f t="shared" si="0"/>
        <v>243</v>
      </c>
      <c r="D21" s="151">
        <f t="shared" si="1"/>
        <v>579</v>
      </c>
      <c r="E21" s="151">
        <f t="shared" si="2"/>
        <v>260</v>
      </c>
      <c r="F21" s="152">
        <f t="shared" si="3"/>
        <v>74.843999999999994</v>
      </c>
      <c r="G21" s="153">
        <f t="shared" si="4"/>
        <v>1.7357142857142858</v>
      </c>
      <c r="H21" s="150">
        <v>70</v>
      </c>
      <c r="I21" s="150">
        <v>2</v>
      </c>
      <c r="J21" s="150">
        <f t="shared" si="5"/>
        <v>15.6</v>
      </c>
      <c r="K21" s="150">
        <v>25</v>
      </c>
      <c r="L21" s="150">
        <v>300</v>
      </c>
      <c r="M21" s="150" t="s">
        <v>377</v>
      </c>
      <c r="N21" s="150" t="s">
        <v>378</v>
      </c>
      <c r="O21" s="154">
        <f t="shared" si="6"/>
        <v>303.75</v>
      </c>
      <c r="P21" s="150" t="s">
        <v>379</v>
      </c>
      <c r="Q21" s="150" t="s">
        <v>372</v>
      </c>
      <c r="R21" s="157" t="s">
        <v>360</v>
      </c>
      <c r="S21" s="155" t="s">
        <v>383</v>
      </c>
      <c r="T21" s="155" t="s">
        <v>385</v>
      </c>
      <c r="U21" s="306" t="s">
        <v>375</v>
      </c>
      <c r="V21" s="307"/>
    </row>
    <row r="22" spans="1:22" ht="17.399999999999999" x14ac:dyDescent="0.4">
      <c r="A22" s="149">
        <v>200</v>
      </c>
      <c r="B22" s="150">
        <v>380</v>
      </c>
      <c r="C22" s="151">
        <f t="shared" si="0"/>
        <v>376</v>
      </c>
      <c r="D22" s="151">
        <f t="shared" si="1"/>
        <v>500</v>
      </c>
      <c r="E22" s="151">
        <f t="shared" si="2"/>
        <v>400</v>
      </c>
      <c r="F22" s="152">
        <f t="shared" si="3"/>
        <v>115.80800000000001</v>
      </c>
      <c r="G22" s="153">
        <f t="shared" si="4"/>
        <v>1.9789473684210526</v>
      </c>
      <c r="H22" s="150">
        <v>95</v>
      </c>
      <c r="I22" s="150">
        <v>2</v>
      </c>
      <c r="J22" s="150">
        <f t="shared" si="5"/>
        <v>20.8</v>
      </c>
      <c r="K22" s="150">
        <v>25</v>
      </c>
      <c r="L22" s="150">
        <v>400</v>
      </c>
      <c r="M22" s="150" t="s">
        <v>386</v>
      </c>
      <c r="N22" s="150" t="s">
        <v>378</v>
      </c>
      <c r="O22" s="154">
        <f t="shared" si="6"/>
        <v>470</v>
      </c>
      <c r="P22" s="150" t="s">
        <v>387</v>
      </c>
      <c r="Q22" s="150" t="s">
        <v>388</v>
      </c>
      <c r="R22" s="157" t="s">
        <v>360</v>
      </c>
      <c r="S22" s="155" t="s">
        <v>383</v>
      </c>
      <c r="T22" s="155" t="s">
        <v>387</v>
      </c>
      <c r="U22" s="306" t="s">
        <v>375</v>
      </c>
      <c r="V22" s="307"/>
    </row>
    <row r="23" spans="1:22" ht="17.399999999999999" x14ac:dyDescent="0.4">
      <c r="A23" s="149">
        <v>200</v>
      </c>
      <c r="B23" s="150">
        <v>440</v>
      </c>
      <c r="C23" s="151">
        <f t="shared" si="0"/>
        <v>324</v>
      </c>
      <c r="D23" s="151">
        <f t="shared" si="1"/>
        <v>579</v>
      </c>
      <c r="E23" s="151">
        <f t="shared" si="2"/>
        <v>346</v>
      </c>
      <c r="F23" s="152">
        <f t="shared" si="3"/>
        <v>99.792000000000002</v>
      </c>
      <c r="G23" s="153">
        <f t="shared" si="4"/>
        <v>1.7052631578947368</v>
      </c>
      <c r="H23" s="150">
        <v>95</v>
      </c>
      <c r="I23" s="150">
        <v>2</v>
      </c>
      <c r="J23" s="150">
        <f t="shared" si="5"/>
        <v>20.8</v>
      </c>
      <c r="K23" s="150">
        <v>25</v>
      </c>
      <c r="L23" s="150">
        <v>400</v>
      </c>
      <c r="M23" s="150" t="s">
        <v>386</v>
      </c>
      <c r="N23" s="150" t="s">
        <v>378</v>
      </c>
      <c r="O23" s="154">
        <f t="shared" si="6"/>
        <v>405</v>
      </c>
      <c r="P23" s="150" t="s">
        <v>385</v>
      </c>
      <c r="Q23" s="150" t="s">
        <v>388</v>
      </c>
      <c r="R23" s="157" t="s">
        <v>360</v>
      </c>
      <c r="S23" s="155" t="s">
        <v>383</v>
      </c>
      <c r="T23" s="155" t="s">
        <v>387</v>
      </c>
      <c r="U23" s="306" t="s">
        <v>375</v>
      </c>
      <c r="V23" s="307"/>
    </row>
    <row r="24" spans="1:22" ht="17.399999999999999" x14ac:dyDescent="0.4">
      <c r="A24" s="149">
        <v>250</v>
      </c>
      <c r="B24" s="150">
        <v>380</v>
      </c>
      <c r="C24" s="151">
        <f t="shared" si="0"/>
        <v>469</v>
      </c>
      <c r="D24" s="151">
        <f t="shared" si="1"/>
        <v>500</v>
      </c>
      <c r="E24" s="151">
        <f t="shared" si="2"/>
        <v>500</v>
      </c>
      <c r="F24" s="152">
        <f t="shared" si="3"/>
        <v>144.452</v>
      </c>
      <c r="G24" s="153">
        <f t="shared" si="4"/>
        <v>1.9541666666666666</v>
      </c>
      <c r="H24" s="150">
        <v>120</v>
      </c>
      <c r="I24" s="150">
        <v>2</v>
      </c>
      <c r="J24" s="150">
        <f t="shared" si="5"/>
        <v>26</v>
      </c>
      <c r="K24" s="150">
        <v>35</v>
      </c>
      <c r="L24" s="150">
        <v>500</v>
      </c>
      <c r="M24" s="150" t="s">
        <v>389</v>
      </c>
      <c r="N24" s="150" t="s">
        <v>390</v>
      </c>
      <c r="O24" s="154">
        <f t="shared" si="6"/>
        <v>586.25</v>
      </c>
      <c r="P24" s="150" t="s">
        <v>391</v>
      </c>
      <c r="Q24" s="150" t="s">
        <v>388</v>
      </c>
      <c r="R24" s="157" t="s">
        <v>360</v>
      </c>
      <c r="S24" s="155" t="s">
        <v>392</v>
      </c>
      <c r="T24" s="155" t="s">
        <v>391</v>
      </c>
      <c r="U24" s="306" t="s">
        <v>375</v>
      </c>
      <c r="V24" s="307"/>
    </row>
    <row r="25" spans="1:22" ht="17.399999999999999" x14ac:dyDescent="0.4">
      <c r="A25" s="149">
        <v>250</v>
      </c>
      <c r="B25" s="150">
        <v>440</v>
      </c>
      <c r="C25" s="151">
        <f t="shared" si="0"/>
        <v>405</v>
      </c>
      <c r="D25" s="151">
        <f t="shared" si="1"/>
        <v>579</v>
      </c>
      <c r="E25" s="151">
        <f t="shared" si="2"/>
        <v>432</v>
      </c>
      <c r="F25" s="152">
        <f t="shared" si="3"/>
        <v>124.74</v>
      </c>
      <c r="G25" s="153">
        <f t="shared" si="4"/>
        <v>1.6875</v>
      </c>
      <c r="H25" s="150">
        <v>120</v>
      </c>
      <c r="I25" s="150">
        <v>2</v>
      </c>
      <c r="J25" s="150">
        <f t="shared" si="5"/>
        <v>26</v>
      </c>
      <c r="K25" s="150">
        <v>35</v>
      </c>
      <c r="L25" s="150">
        <v>500</v>
      </c>
      <c r="M25" s="150" t="s">
        <v>386</v>
      </c>
      <c r="N25" s="150" t="s">
        <v>393</v>
      </c>
      <c r="O25" s="154">
        <f t="shared" si="6"/>
        <v>506.25</v>
      </c>
      <c r="P25" s="150" t="s">
        <v>387</v>
      </c>
      <c r="Q25" s="150" t="s">
        <v>388</v>
      </c>
      <c r="R25" s="157" t="s">
        <v>360</v>
      </c>
      <c r="S25" s="155" t="s">
        <v>392</v>
      </c>
      <c r="T25" s="155" t="s">
        <v>391</v>
      </c>
      <c r="U25" s="306" t="s">
        <v>375</v>
      </c>
      <c r="V25" s="307"/>
    </row>
    <row r="26" spans="1:22" ht="17.399999999999999" x14ac:dyDescent="0.4">
      <c r="A26" s="149">
        <v>300</v>
      </c>
      <c r="B26" s="150">
        <v>380</v>
      </c>
      <c r="C26" s="151">
        <f t="shared" si="0"/>
        <v>563</v>
      </c>
      <c r="D26" s="151">
        <f t="shared" si="1"/>
        <v>500</v>
      </c>
      <c r="E26" s="151">
        <f t="shared" si="2"/>
        <v>600</v>
      </c>
      <c r="F26" s="152">
        <f t="shared" si="3"/>
        <v>173.404</v>
      </c>
      <c r="G26" s="153">
        <f t="shared" si="4"/>
        <v>1.8766666666666667</v>
      </c>
      <c r="H26" s="150">
        <v>150</v>
      </c>
      <c r="I26" s="150">
        <v>2</v>
      </c>
      <c r="J26" s="150">
        <f t="shared" si="5"/>
        <v>32.76</v>
      </c>
      <c r="K26" s="150">
        <v>35</v>
      </c>
      <c r="L26" s="150">
        <v>630</v>
      </c>
      <c r="M26" s="150" t="s">
        <v>394</v>
      </c>
      <c r="N26" s="150" t="s">
        <v>390</v>
      </c>
      <c r="O26" s="154">
        <f t="shared" si="6"/>
        <v>703.75</v>
      </c>
      <c r="P26" s="150" t="s">
        <v>395</v>
      </c>
      <c r="Q26" s="150" t="s">
        <v>388</v>
      </c>
      <c r="R26" s="157" t="s">
        <v>360</v>
      </c>
      <c r="S26" s="155" t="s">
        <v>392</v>
      </c>
      <c r="T26" s="155" t="s">
        <v>395</v>
      </c>
      <c r="U26" s="306" t="s">
        <v>375</v>
      </c>
      <c r="V26" s="307"/>
    </row>
    <row r="27" spans="1:22" ht="17.399999999999999" x14ac:dyDescent="0.4">
      <c r="A27" s="149">
        <v>300</v>
      </c>
      <c r="B27" s="150">
        <v>440</v>
      </c>
      <c r="C27" s="151">
        <f t="shared" si="0"/>
        <v>486</v>
      </c>
      <c r="D27" s="151">
        <f t="shared" si="1"/>
        <v>579</v>
      </c>
      <c r="E27" s="151">
        <f t="shared" si="2"/>
        <v>519</v>
      </c>
      <c r="F27" s="152">
        <f t="shared" si="3"/>
        <v>149.68799999999999</v>
      </c>
      <c r="G27" s="153">
        <f t="shared" si="4"/>
        <v>1.62</v>
      </c>
      <c r="H27" s="150">
        <v>150</v>
      </c>
      <c r="I27" s="150">
        <v>2</v>
      </c>
      <c r="J27" s="150">
        <f t="shared" si="5"/>
        <v>32.76</v>
      </c>
      <c r="K27" s="150">
        <v>35</v>
      </c>
      <c r="L27" s="150">
        <v>630</v>
      </c>
      <c r="M27" s="150" t="s">
        <v>394</v>
      </c>
      <c r="N27" s="150" t="s">
        <v>390</v>
      </c>
      <c r="O27" s="154">
        <f t="shared" si="6"/>
        <v>607.5</v>
      </c>
      <c r="P27" s="150" t="s">
        <v>391</v>
      </c>
      <c r="Q27" s="150" t="s">
        <v>388</v>
      </c>
      <c r="R27" s="157" t="s">
        <v>360</v>
      </c>
      <c r="S27" s="155" t="s">
        <v>392</v>
      </c>
      <c r="T27" s="155" t="s">
        <v>395</v>
      </c>
      <c r="U27" s="306" t="s">
        <v>375</v>
      </c>
      <c r="V27" s="307"/>
    </row>
    <row r="28" spans="1:22" ht="17.399999999999999" x14ac:dyDescent="0.4">
      <c r="A28" s="149">
        <v>350</v>
      </c>
      <c r="B28" s="150">
        <v>440</v>
      </c>
      <c r="C28" s="151">
        <f t="shared" si="0"/>
        <v>567</v>
      </c>
      <c r="D28" s="151">
        <f t="shared" si="1"/>
        <v>579</v>
      </c>
      <c r="E28" s="151">
        <f t="shared" si="2"/>
        <v>605</v>
      </c>
      <c r="F28" s="152">
        <f t="shared" si="3"/>
        <v>174.636</v>
      </c>
      <c r="G28" s="153">
        <f t="shared" si="4"/>
        <v>1.89</v>
      </c>
      <c r="H28" s="150">
        <v>150</v>
      </c>
      <c r="I28" s="150">
        <v>2</v>
      </c>
      <c r="J28" s="150">
        <f t="shared" si="5"/>
        <v>36.4</v>
      </c>
      <c r="K28" s="150">
        <v>50</v>
      </c>
      <c r="L28" s="150">
        <v>700</v>
      </c>
      <c r="M28" s="150" t="s">
        <v>396</v>
      </c>
      <c r="N28" s="150" t="s">
        <v>397</v>
      </c>
      <c r="O28" s="154">
        <f t="shared" si="6"/>
        <v>708.75</v>
      </c>
      <c r="P28" s="150" t="s">
        <v>395</v>
      </c>
      <c r="Q28" s="150" t="s">
        <v>388</v>
      </c>
      <c r="R28" s="157" t="s">
        <v>360</v>
      </c>
      <c r="S28" s="155" t="s">
        <v>392</v>
      </c>
      <c r="T28" s="155" t="s">
        <v>395</v>
      </c>
      <c r="U28" s="306" t="s">
        <v>375</v>
      </c>
      <c r="V28" s="307"/>
    </row>
    <row r="29" spans="1:22" ht="17.399999999999999" x14ac:dyDescent="0.4">
      <c r="A29" s="149">
        <v>400</v>
      </c>
      <c r="B29" s="150">
        <v>440</v>
      </c>
      <c r="C29" s="151">
        <f t="shared" si="0"/>
        <v>648</v>
      </c>
      <c r="D29" s="151">
        <f t="shared" si="1"/>
        <v>579</v>
      </c>
      <c r="E29" s="151">
        <f t="shared" si="2"/>
        <v>691</v>
      </c>
      <c r="F29" s="152">
        <f t="shared" si="3"/>
        <v>199.584</v>
      </c>
      <c r="G29" s="153">
        <f t="shared" si="4"/>
        <v>2.16</v>
      </c>
      <c r="H29" s="150">
        <v>150</v>
      </c>
      <c r="I29" s="150">
        <v>2</v>
      </c>
      <c r="J29" s="150">
        <f t="shared" si="5"/>
        <v>41.6</v>
      </c>
      <c r="K29" s="150">
        <v>50</v>
      </c>
      <c r="L29" s="150">
        <v>800</v>
      </c>
      <c r="M29" s="150" t="s">
        <v>396</v>
      </c>
      <c r="N29" s="150" t="s">
        <v>397</v>
      </c>
      <c r="O29" s="154">
        <f t="shared" si="6"/>
        <v>810</v>
      </c>
      <c r="P29" s="150" t="s">
        <v>395</v>
      </c>
      <c r="Q29" s="150" t="s">
        <v>398</v>
      </c>
      <c r="R29" s="157" t="s">
        <v>360</v>
      </c>
      <c r="S29" s="155" t="s">
        <v>392</v>
      </c>
      <c r="T29" s="155" t="s">
        <v>399</v>
      </c>
      <c r="U29" s="306" t="s">
        <v>375</v>
      </c>
      <c r="V29" s="307"/>
    </row>
    <row r="30" spans="1:22" ht="17.399999999999999" x14ac:dyDescent="0.4">
      <c r="A30" s="149">
        <v>450</v>
      </c>
      <c r="B30" s="150">
        <v>440</v>
      </c>
      <c r="C30" s="151">
        <f t="shared" si="0"/>
        <v>729</v>
      </c>
      <c r="D30" s="151">
        <f t="shared" si="1"/>
        <v>579</v>
      </c>
      <c r="E30" s="151">
        <f t="shared" si="2"/>
        <v>778</v>
      </c>
      <c r="F30" s="152"/>
      <c r="G30" s="153">
        <f t="shared" si="4"/>
        <v>1.9702702702702704</v>
      </c>
      <c r="H30" s="150">
        <v>185</v>
      </c>
      <c r="I30" s="150">
        <v>2</v>
      </c>
      <c r="J30" s="150">
        <f t="shared" si="5"/>
        <v>41.6</v>
      </c>
      <c r="K30" s="150">
        <v>50</v>
      </c>
      <c r="L30" s="150">
        <v>800</v>
      </c>
      <c r="M30" s="150" t="s">
        <v>396</v>
      </c>
      <c r="N30" s="150" t="s">
        <v>400</v>
      </c>
      <c r="O30" s="154">
        <f t="shared" si="6"/>
        <v>911.25</v>
      </c>
      <c r="P30" s="150" t="s">
        <v>401</v>
      </c>
      <c r="Q30" s="150" t="s">
        <v>398</v>
      </c>
      <c r="R30" s="157" t="s">
        <v>360</v>
      </c>
      <c r="S30" s="155" t="s">
        <v>392</v>
      </c>
      <c r="T30" s="155" t="s">
        <v>399</v>
      </c>
      <c r="U30" s="306" t="s">
        <v>375</v>
      </c>
      <c r="V30" s="307"/>
    </row>
    <row r="31" spans="1:22" ht="17.399999999999999" x14ac:dyDescent="0.4">
      <c r="A31" s="149">
        <v>500</v>
      </c>
      <c r="B31" s="150">
        <v>440</v>
      </c>
      <c r="C31" s="151">
        <f t="shared" si="0"/>
        <v>810</v>
      </c>
      <c r="D31" s="151">
        <f t="shared" si="1"/>
        <v>579</v>
      </c>
      <c r="E31" s="151">
        <f t="shared" si="2"/>
        <v>864</v>
      </c>
      <c r="F31" s="152">
        <f t="shared" si="3"/>
        <v>249.48</v>
      </c>
      <c r="G31" s="153">
        <f t="shared" si="4"/>
        <v>2.189189189189189</v>
      </c>
      <c r="H31" s="150">
        <v>185</v>
      </c>
      <c r="I31" s="150">
        <v>2</v>
      </c>
      <c r="J31" s="150">
        <f t="shared" si="5"/>
        <v>52</v>
      </c>
      <c r="K31" s="150">
        <v>70</v>
      </c>
      <c r="L31" s="150">
        <v>1000</v>
      </c>
      <c r="M31" s="150" t="s">
        <v>402</v>
      </c>
      <c r="N31" s="150" t="s">
        <v>403</v>
      </c>
      <c r="O31" s="154">
        <f t="shared" si="6"/>
        <v>1012.5</v>
      </c>
      <c r="P31" s="150" t="s">
        <v>399</v>
      </c>
      <c r="Q31" s="150" t="s">
        <v>398</v>
      </c>
      <c r="R31" s="157" t="s">
        <v>360</v>
      </c>
      <c r="S31" s="155" t="s">
        <v>404</v>
      </c>
      <c r="T31" s="155" t="s">
        <v>405</v>
      </c>
      <c r="U31" s="306" t="s">
        <v>375</v>
      </c>
      <c r="V31" s="307"/>
    </row>
    <row r="32" spans="1:22" ht="17.399999999999999" x14ac:dyDescent="0.4">
      <c r="A32" s="149">
        <v>600</v>
      </c>
      <c r="B32" s="150">
        <v>460</v>
      </c>
      <c r="C32" s="151">
        <f t="shared" si="0"/>
        <v>930</v>
      </c>
      <c r="D32" s="151">
        <f t="shared" si="1"/>
        <v>606</v>
      </c>
      <c r="E32" s="151">
        <f t="shared" si="2"/>
        <v>991</v>
      </c>
      <c r="F32" s="152">
        <f t="shared" si="3"/>
        <v>286.44</v>
      </c>
      <c r="G32" s="153">
        <f t="shared" si="4"/>
        <v>1.6756756756756757</v>
      </c>
      <c r="H32" s="150">
        <v>185</v>
      </c>
      <c r="I32" s="150">
        <v>3</v>
      </c>
      <c r="J32" s="150">
        <f t="shared" si="5"/>
        <v>62.4</v>
      </c>
      <c r="K32" s="150">
        <v>70</v>
      </c>
      <c r="L32" s="150">
        <v>1200</v>
      </c>
      <c r="M32" s="150" t="s">
        <v>406</v>
      </c>
      <c r="N32" s="150" t="s">
        <v>403</v>
      </c>
      <c r="O32" s="154">
        <f t="shared" si="6"/>
        <v>1162.5</v>
      </c>
      <c r="P32" s="150" t="s">
        <v>407</v>
      </c>
      <c r="Q32" s="150" t="s">
        <v>398</v>
      </c>
      <c r="R32" s="157" t="s">
        <v>360</v>
      </c>
      <c r="S32" s="155" t="s">
        <v>408</v>
      </c>
      <c r="T32" s="155" t="s">
        <v>405</v>
      </c>
      <c r="U32" s="150" t="s">
        <v>409</v>
      </c>
      <c r="V32" s="158" t="s">
        <v>410</v>
      </c>
    </row>
    <row r="33" spans="1:22" ht="17.399999999999999" x14ac:dyDescent="0.4">
      <c r="A33" s="149">
        <v>700</v>
      </c>
      <c r="B33" s="150">
        <v>460</v>
      </c>
      <c r="C33" s="151">
        <f t="shared" si="0"/>
        <v>1085</v>
      </c>
      <c r="D33" s="151">
        <f t="shared" si="1"/>
        <v>606</v>
      </c>
      <c r="E33" s="151">
        <f t="shared" si="2"/>
        <v>1156</v>
      </c>
      <c r="F33" s="152">
        <f t="shared" si="3"/>
        <v>334.18</v>
      </c>
      <c r="G33" s="153">
        <f t="shared" si="4"/>
        <v>1.4662162162162162</v>
      </c>
      <c r="H33" s="150">
        <v>185</v>
      </c>
      <c r="I33" s="150">
        <v>4</v>
      </c>
      <c r="J33" s="150">
        <f t="shared" si="5"/>
        <v>65</v>
      </c>
      <c r="K33" s="150">
        <v>70</v>
      </c>
      <c r="L33" s="150">
        <v>1250</v>
      </c>
      <c r="M33" s="150" t="s">
        <v>411</v>
      </c>
      <c r="N33" s="150" t="s">
        <v>412</v>
      </c>
      <c r="O33" s="154">
        <f t="shared" si="6"/>
        <v>1356.25</v>
      </c>
      <c r="P33" s="157" t="s">
        <v>413</v>
      </c>
      <c r="Q33" s="150" t="s">
        <v>414</v>
      </c>
      <c r="R33" s="157" t="s">
        <v>413</v>
      </c>
      <c r="S33" s="155" t="s">
        <v>415</v>
      </c>
      <c r="T33" s="155" t="s">
        <v>416</v>
      </c>
      <c r="U33" s="150" t="s">
        <v>417</v>
      </c>
      <c r="V33" s="158" t="s">
        <v>418</v>
      </c>
    </row>
    <row r="34" spans="1:22" ht="17.399999999999999" x14ac:dyDescent="0.4">
      <c r="A34" s="149">
        <v>750</v>
      </c>
      <c r="B34" s="150">
        <v>460</v>
      </c>
      <c r="C34" s="151">
        <f t="shared" si="0"/>
        <v>1163</v>
      </c>
      <c r="D34" s="151">
        <f t="shared" si="1"/>
        <v>606</v>
      </c>
      <c r="E34" s="151">
        <f t="shared" si="2"/>
        <v>1238</v>
      </c>
      <c r="F34" s="152">
        <f t="shared" si="3"/>
        <v>358.20400000000001</v>
      </c>
      <c r="G34" s="153">
        <f t="shared" si="4"/>
        <v>1.5716216216216217</v>
      </c>
      <c r="H34" s="150">
        <v>185</v>
      </c>
      <c r="I34" s="150">
        <v>4</v>
      </c>
      <c r="J34" s="150">
        <f t="shared" si="5"/>
        <v>65</v>
      </c>
      <c r="K34" s="150">
        <v>70</v>
      </c>
      <c r="L34" s="150">
        <v>1250</v>
      </c>
      <c r="M34" s="150" t="s">
        <v>411</v>
      </c>
      <c r="N34" s="150" t="s">
        <v>412</v>
      </c>
      <c r="O34" s="154">
        <f t="shared" si="6"/>
        <v>1453.75</v>
      </c>
      <c r="P34" s="157" t="s">
        <v>413</v>
      </c>
      <c r="Q34" s="150" t="s">
        <v>414</v>
      </c>
      <c r="R34" s="157" t="s">
        <v>413</v>
      </c>
      <c r="S34" s="155" t="s">
        <v>415</v>
      </c>
      <c r="T34" s="155" t="s">
        <v>419</v>
      </c>
      <c r="U34" s="150" t="s">
        <v>417</v>
      </c>
      <c r="V34" s="158" t="s">
        <v>418</v>
      </c>
    </row>
    <row r="35" spans="1:22" ht="17.399999999999999" x14ac:dyDescent="0.4">
      <c r="A35" s="149">
        <v>800</v>
      </c>
      <c r="B35" s="150">
        <v>460</v>
      </c>
      <c r="C35" s="151">
        <f t="shared" si="0"/>
        <v>1240</v>
      </c>
      <c r="D35" s="151">
        <f t="shared" si="1"/>
        <v>606</v>
      </c>
      <c r="E35" s="151">
        <f t="shared" si="2"/>
        <v>1321</v>
      </c>
      <c r="F35" s="152">
        <f t="shared" si="3"/>
        <v>381.92</v>
      </c>
      <c r="G35" s="153">
        <f t="shared" si="4"/>
        <v>1.6756756756756757</v>
      </c>
      <c r="H35" s="150">
        <v>185</v>
      </c>
      <c r="I35" s="150">
        <v>4</v>
      </c>
      <c r="J35" s="150">
        <f t="shared" si="5"/>
        <v>83.2</v>
      </c>
      <c r="K35" s="150">
        <v>95</v>
      </c>
      <c r="L35" s="150">
        <v>1600</v>
      </c>
      <c r="M35" s="150" t="s">
        <v>420</v>
      </c>
      <c r="N35" s="150" t="s">
        <v>421</v>
      </c>
      <c r="O35" s="154">
        <f t="shared" si="6"/>
        <v>1550</v>
      </c>
      <c r="P35" s="157" t="s">
        <v>413</v>
      </c>
      <c r="Q35" s="150" t="s">
        <v>414</v>
      </c>
      <c r="R35" s="157" t="s">
        <v>413</v>
      </c>
      <c r="S35" s="155" t="s">
        <v>415</v>
      </c>
      <c r="T35" s="155" t="s">
        <v>419</v>
      </c>
      <c r="U35" s="150" t="s">
        <v>417</v>
      </c>
      <c r="V35" s="158" t="s">
        <v>418</v>
      </c>
    </row>
    <row r="36" spans="1:22" ht="17.399999999999999" x14ac:dyDescent="0.4">
      <c r="A36" s="149">
        <v>1000</v>
      </c>
      <c r="B36" s="150">
        <v>460</v>
      </c>
      <c r="C36" s="151">
        <f t="shared" si="0"/>
        <v>1550</v>
      </c>
      <c r="D36" s="151">
        <f t="shared" si="1"/>
        <v>606</v>
      </c>
      <c r="E36" s="151">
        <f t="shared" si="2"/>
        <v>1651</v>
      </c>
      <c r="F36" s="152">
        <f t="shared" si="3"/>
        <v>477.4</v>
      </c>
      <c r="G36" s="153">
        <f t="shared" si="4"/>
        <v>1.6145833333333333</v>
      </c>
      <c r="H36" s="150">
        <v>240</v>
      </c>
      <c r="I36" s="150">
        <v>4</v>
      </c>
      <c r="J36" s="150">
        <f t="shared" si="5"/>
        <v>104</v>
      </c>
      <c r="K36" s="150">
        <v>120</v>
      </c>
      <c r="L36" s="150">
        <v>2000</v>
      </c>
      <c r="M36" s="150" t="s">
        <v>422</v>
      </c>
      <c r="N36" s="150" t="s">
        <v>423</v>
      </c>
      <c r="O36" s="154">
        <f t="shared" si="6"/>
        <v>1937.5</v>
      </c>
      <c r="P36" s="157" t="s">
        <v>413</v>
      </c>
      <c r="Q36" s="150" t="s">
        <v>424</v>
      </c>
      <c r="R36" s="150" t="s">
        <v>425</v>
      </c>
      <c r="S36" s="155" t="s">
        <v>415</v>
      </c>
      <c r="T36" s="155" t="s">
        <v>426</v>
      </c>
      <c r="U36" s="150" t="s">
        <v>417</v>
      </c>
      <c r="V36" s="158" t="s">
        <v>418</v>
      </c>
    </row>
    <row r="37" spans="1:22" ht="17.399999999999999" x14ac:dyDescent="0.4">
      <c r="A37" s="149">
        <v>1200</v>
      </c>
      <c r="B37" s="150">
        <v>460</v>
      </c>
      <c r="C37" s="151">
        <f t="shared" si="0"/>
        <v>1860</v>
      </c>
      <c r="D37" s="151">
        <f t="shared" si="1"/>
        <v>606</v>
      </c>
      <c r="E37" s="151">
        <f t="shared" si="2"/>
        <v>1981</v>
      </c>
      <c r="F37" s="152">
        <f t="shared" si="3"/>
        <v>572.88</v>
      </c>
      <c r="G37" s="153">
        <f t="shared" si="4"/>
        <v>1.55</v>
      </c>
      <c r="H37" s="150">
        <v>300</v>
      </c>
      <c r="I37" s="150">
        <v>4</v>
      </c>
      <c r="J37" s="150">
        <f t="shared" si="5"/>
        <v>130</v>
      </c>
      <c r="K37" s="150">
        <v>150</v>
      </c>
      <c r="L37" s="150">
        <v>2500</v>
      </c>
      <c r="M37" s="150" t="s">
        <v>427</v>
      </c>
      <c r="N37" s="150" t="s">
        <v>428</v>
      </c>
      <c r="O37" s="154">
        <f t="shared" si="6"/>
        <v>2325</v>
      </c>
      <c r="P37" s="157" t="s">
        <v>413</v>
      </c>
      <c r="Q37" s="150"/>
      <c r="R37" s="150" t="s">
        <v>425</v>
      </c>
      <c r="S37" s="155" t="s">
        <v>415</v>
      </c>
      <c r="T37" s="155" t="s">
        <v>426</v>
      </c>
      <c r="U37" s="150" t="s">
        <v>417</v>
      </c>
      <c r="V37" s="158" t="s">
        <v>429</v>
      </c>
    </row>
    <row r="38" spans="1:22" ht="17.399999999999999" x14ac:dyDescent="0.4">
      <c r="A38" s="149">
        <v>1250</v>
      </c>
      <c r="B38" s="150">
        <v>460</v>
      </c>
      <c r="C38" s="151">
        <f t="shared" si="0"/>
        <v>1937</v>
      </c>
      <c r="D38" s="151">
        <f t="shared" si="1"/>
        <v>606</v>
      </c>
      <c r="E38" s="151">
        <f t="shared" si="2"/>
        <v>2063</v>
      </c>
      <c r="F38" s="152">
        <f t="shared" si="3"/>
        <v>596.596</v>
      </c>
      <c r="G38" s="153">
        <f t="shared" si="4"/>
        <v>1.6141666666666667</v>
      </c>
      <c r="H38" s="150">
        <v>300</v>
      </c>
      <c r="I38" s="150">
        <v>4</v>
      </c>
      <c r="J38" s="150">
        <f t="shared" si="5"/>
        <v>130</v>
      </c>
      <c r="K38" s="150">
        <v>150</v>
      </c>
      <c r="L38" s="150">
        <v>2500</v>
      </c>
      <c r="M38" s="150" t="s">
        <v>430</v>
      </c>
      <c r="N38" s="150" t="s">
        <v>431</v>
      </c>
      <c r="O38" s="154">
        <f t="shared" si="6"/>
        <v>2421.25</v>
      </c>
      <c r="P38" s="157" t="s">
        <v>432</v>
      </c>
      <c r="Q38" s="150"/>
      <c r="R38" s="150" t="s">
        <v>433</v>
      </c>
      <c r="S38" s="155" t="s">
        <v>434</v>
      </c>
      <c r="T38" s="155" t="s">
        <v>435</v>
      </c>
      <c r="U38" s="150" t="s">
        <v>436</v>
      </c>
      <c r="V38" s="158" t="s">
        <v>429</v>
      </c>
    </row>
    <row r="39" spans="1:22" ht="17.399999999999999" x14ac:dyDescent="0.4">
      <c r="A39" s="149">
        <v>1500</v>
      </c>
      <c r="B39" s="150">
        <v>460</v>
      </c>
      <c r="C39" s="151">
        <f t="shared" si="0"/>
        <v>2325</v>
      </c>
      <c r="D39" s="151">
        <f t="shared" si="1"/>
        <v>606</v>
      </c>
      <c r="E39" s="151">
        <f t="shared" si="2"/>
        <v>2476</v>
      </c>
      <c r="F39" s="152">
        <f t="shared" si="3"/>
        <v>716.1</v>
      </c>
      <c r="G39" s="153">
        <f t="shared" si="4"/>
        <v>1.55</v>
      </c>
      <c r="H39" s="150">
        <v>300</v>
      </c>
      <c r="I39" s="150">
        <v>5</v>
      </c>
      <c r="J39" s="150">
        <f t="shared" si="5"/>
        <v>130</v>
      </c>
      <c r="K39" s="150">
        <v>150</v>
      </c>
      <c r="L39" s="150">
        <v>2500</v>
      </c>
      <c r="M39" s="150" t="s">
        <v>430</v>
      </c>
      <c r="N39" s="150" t="s">
        <v>431</v>
      </c>
      <c r="O39" s="154">
        <f t="shared" si="6"/>
        <v>2906.25</v>
      </c>
      <c r="P39" s="157" t="s">
        <v>432</v>
      </c>
      <c r="Q39" s="150" t="s">
        <v>437</v>
      </c>
      <c r="R39" s="150" t="s">
        <v>433</v>
      </c>
      <c r="S39" s="155" t="s">
        <v>434</v>
      </c>
      <c r="T39" s="155" t="s">
        <v>438</v>
      </c>
      <c r="U39" s="150" t="s">
        <v>417</v>
      </c>
      <c r="V39" s="158" t="s">
        <v>439</v>
      </c>
    </row>
    <row r="40" spans="1:22" ht="17.399999999999999" x14ac:dyDescent="0.4">
      <c r="A40" s="149">
        <v>1500</v>
      </c>
      <c r="B40" s="150">
        <v>650</v>
      </c>
      <c r="C40" s="151">
        <f t="shared" si="0"/>
        <v>1645</v>
      </c>
      <c r="D40" s="151">
        <f t="shared" si="1"/>
        <v>855</v>
      </c>
      <c r="E40" s="151">
        <f t="shared" si="2"/>
        <v>1755</v>
      </c>
      <c r="F40" s="152">
        <f t="shared" si="3"/>
        <v>506.66</v>
      </c>
      <c r="G40" s="153">
        <f t="shared" si="4"/>
        <v>1.7135416666666667</v>
      </c>
      <c r="H40" s="150">
        <v>240</v>
      </c>
      <c r="I40" s="150">
        <v>4</v>
      </c>
      <c r="J40" s="150">
        <f t="shared" si="5"/>
        <v>104</v>
      </c>
      <c r="K40" s="150">
        <v>120</v>
      </c>
      <c r="L40" s="150">
        <v>2000</v>
      </c>
      <c r="M40" s="150" t="s">
        <v>422</v>
      </c>
      <c r="N40" s="150" t="s">
        <v>423</v>
      </c>
      <c r="O40" s="154">
        <f t="shared" si="6"/>
        <v>2056.25</v>
      </c>
      <c r="P40" s="157" t="s">
        <v>413</v>
      </c>
      <c r="Q40" s="150"/>
      <c r="R40" s="150" t="s">
        <v>425</v>
      </c>
      <c r="S40" s="155" t="s">
        <v>415</v>
      </c>
      <c r="T40" s="155" t="s">
        <v>426</v>
      </c>
      <c r="U40" s="150" t="s">
        <v>417</v>
      </c>
      <c r="V40" s="158" t="s">
        <v>439</v>
      </c>
    </row>
    <row r="41" spans="1:22" ht="17.399999999999999" x14ac:dyDescent="0.4">
      <c r="A41" s="149">
        <v>1600</v>
      </c>
      <c r="B41" s="150">
        <v>690</v>
      </c>
      <c r="C41" s="151">
        <f>ROUNDUP(A41/(B41*0.9)/3^0.5*1000/0.9,0)</f>
        <v>1653</v>
      </c>
      <c r="D41" s="151">
        <f>ROUNDUP(B41*2^0.5*0.93,0)</f>
        <v>908</v>
      </c>
      <c r="E41" s="151">
        <f>ROUNDUP(A41*1000/D41,0)</f>
        <v>1763</v>
      </c>
      <c r="F41" s="152">
        <f>30.8*100*C41/(1000*10)</f>
        <v>509.12400000000002</v>
      </c>
      <c r="G41" s="153">
        <f>C41/(H41*I41)</f>
        <v>1.721875</v>
      </c>
      <c r="H41" s="150">
        <v>240</v>
      </c>
      <c r="I41" s="150">
        <v>4</v>
      </c>
      <c r="J41" s="150">
        <f>L41*0.052</f>
        <v>104</v>
      </c>
      <c r="K41" s="150">
        <v>120</v>
      </c>
      <c r="L41" s="150">
        <v>2000</v>
      </c>
      <c r="M41" s="150" t="s">
        <v>422</v>
      </c>
      <c r="N41" s="150" t="s">
        <v>423</v>
      </c>
      <c r="O41" s="154">
        <f>SUM(C41*1.25)</f>
        <v>2066.25</v>
      </c>
      <c r="P41" s="157" t="s">
        <v>360</v>
      </c>
      <c r="Q41" s="150"/>
      <c r="R41" s="150" t="s">
        <v>425</v>
      </c>
      <c r="S41" s="155" t="s">
        <v>415</v>
      </c>
      <c r="T41" s="155" t="s">
        <v>426</v>
      </c>
      <c r="U41" s="150" t="s">
        <v>409</v>
      </c>
      <c r="V41" s="158" t="s">
        <v>518</v>
      </c>
    </row>
    <row r="42" spans="1:22" ht="17.399999999999999" x14ac:dyDescent="0.4">
      <c r="A42" s="149">
        <v>2000</v>
      </c>
      <c r="B42" s="150">
        <v>460</v>
      </c>
      <c r="C42" s="151">
        <f t="shared" si="0"/>
        <v>3100</v>
      </c>
      <c r="D42" s="151">
        <f t="shared" si="1"/>
        <v>606</v>
      </c>
      <c r="E42" s="151">
        <f t="shared" si="2"/>
        <v>3301</v>
      </c>
      <c r="F42" s="152">
        <f t="shared" si="3"/>
        <v>954.8</v>
      </c>
      <c r="G42" s="153">
        <f t="shared" si="4"/>
        <v>1.2916666666666667</v>
      </c>
      <c r="H42" s="150">
        <v>400</v>
      </c>
      <c r="I42" s="150">
        <v>6</v>
      </c>
      <c r="J42" s="150">
        <f t="shared" si="5"/>
        <v>166.4</v>
      </c>
      <c r="K42" s="150">
        <v>185</v>
      </c>
      <c r="L42" s="150">
        <v>3200</v>
      </c>
      <c r="M42" s="150" t="s">
        <v>440</v>
      </c>
      <c r="N42" s="150" t="s">
        <v>441</v>
      </c>
      <c r="O42" s="154">
        <f t="shared" si="6"/>
        <v>3875</v>
      </c>
      <c r="P42" s="157" t="s">
        <v>413</v>
      </c>
      <c r="Q42" s="150" t="s">
        <v>442</v>
      </c>
      <c r="R42" s="150" t="s">
        <v>443</v>
      </c>
      <c r="S42" s="155" t="s">
        <v>415</v>
      </c>
      <c r="T42" s="155" t="s">
        <v>444</v>
      </c>
      <c r="U42" s="150" t="s">
        <v>417</v>
      </c>
      <c r="V42" s="158" t="s">
        <v>445</v>
      </c>
    </row>
    <row r="43" spans="1:22" ht="17.399999999999999" x14ac:dyDescent="0.4">
      <c r="A43" s="149">
        <v>2000</v>
      </c>
      <c r="B43" s="150">
        <v>650</v>
      </c>
      <c r="C43" s="151">
        <f t="shared" si="0"/>
        <v>2194</v>
      </c>
      <c r="D43" s="151">
        <f t="shared" si="1"/>
        <v>855</v>
      </c>
      <c r="E43" s="151">
        <f t="shared" si="2"/>
        <v>2340</v>
      </c>
      <c r="F43" s="152">
        <f t="shared" si="3"/>
        <v>675.75199999999995</v>
      </c>
      <c r="G43" s="153">
        <f t="shared" si="4"/>
        <v>1.4626666666666666</v>
      </c>
      <c r="H43" s="150">
        <v>300</v>
      </c>
      <c r="I43" s="150">
        <v>5</v>
      </c>
      <c r="J43" s="150">
        <f t="shared" si="5"/>
        <v>130</v>
      </c>
      <c r="K43" s="150">
        <v>150</v>
      </c>
      <c r="L43" s="150">
        <v>2500</v>
      </c>
      <c r="M43" s="150" t="s">
        <v>427</v>
      </c>
      <c r="N43" s="150" t="s">
        <v>428</v>
      </c>
      <c r="O43" s="154">
        <f t="shared" si="6"/>
        <v>2742.5</v>
      </c>
      <c r="P43" s="157" t="s">
        <v>413</v>
      </c>
      <c r="Q43" s="150" t="s">
        <v>446</v>
      </c>
      <c r="R43" s="150" t="s">
        <v>425</v>
      </c>
      <c r="S43" s="155" t="s">
        <v>415</v>
      </c>
      <c r="T43" s="155" t="s">
        <v>438</v>
      </c>
      <c r="U43" s="150" t="s">
        <v>417</v>
      </c>
      <c r="V43" s="158" t="s">
        <v>439</v>
      </c>
    </row>
    <row r="44" spans="1:22" ht="17.399999999999999" x14ac:dyDescent="0.4">
      <c r="A44" s="149">
        <v>2500</v>
      </c>
      <c r="B44" s="150">
        <v>460</v>
      </c>
      <c r="C44" s="151">
        <f t="shared" si="0"/>
        <v>3874</v>
      </c>
      <c r="D44" s="151">
        <f t="shared" si="1"/>
        <v>606</v>
      </c>
      <c r="E44" s="151">
        <f t="shared" si="2"/>
        <v>4126</v>
      </c>
      <c r="F44" s="152">
        <f t="shared" si="3"/>
        <v>1193.192</v>
      </c>
      <c r="G44" s="153">
        <f t="shared" si="4"/>
        <v>1.6141666666666667</v>
      </c>
      <c r="H44" s="150">
        <v>400</v>
      </c>
      <c r="I44" s="150">
        <v>6</v>
      </c>
      <c r="J44" s="150">
        <f t="shared" si="5"/>
        <v>208</v>
      </c>
      <c r="K44" s="150">
        <v>240</v>
      </c>
      <c r="L44" s="150">
        <v>4000</v>
      </c>
      <c r="M44" s="150" t="s">
        <v>447</v>
      </c>
      <c r="N44" s="150" t="s">
        <v>441</v>
      </c>
      <c r="O44" s="154">
        <f t="shared" si="6"/>
        <v>4842.5</v>
      </c>
      <c r="P44" s="157" t="s">
        <v>413</v>
      </c>
      <c r="Q44" s="150" t="s">
        <v>442</v>
      </c>
      <c r="R44" s="150" t="s">
        <v>443</v>
      </c>
      <c r="S44" s="155" t="s">
        <v>415</v>
      </c>
      <c r="T44" s="155" t="s">
        <v>448</v>
      </c>
      <c r="U44" s="150" t="s">
        <v>417</v>
      </c>
      <c r="V44" s="158" t="s">
        <v>445</v>
      </c>
    </row>
    <row r="45" spans="1:22" ht="17.399999999999999" x14ac:dyDescent="0.4">
      <c r="A45" s="159">
        <v>2500</v>
      </c>
      <c r="B45" s="150">
        <v>650</v>
      </c>
      <c r="C45" s="151">
        <f t="shared" si="0"/>
        <v>2742</v>
      </c>
      <c r="D45" s="151">
        <f t="shared" si="1"/>
        <v>855</v>
      </c>
      <c r="E45" s="151">
        <f t="shared" si="2"/>
        <v>2924</v>
      </c>
      <c r="F45" s="160"/>
      <c r="G45" s="153">
        <f t="shared" si="4"/>
        <v>1.1425000000000001</v>
      </c>
      <c r="H45" s="150">
        <v>400</v>
      </c>
      <c r="I45" s="150">
        <v>6</v>
      </c>
      <c r="J45" s="150">
        <f t="shared" si="5"/>
        <v>166.4</v>
      </c>
      <c r="K45" s="150">
        <v>185</v>
      </c>
      <c r="L45" s="150">
        <v>3200</v>
      </c>
      <c r="M45" s="150" t="s">
        <v>440</v>
      </c>
      <c r="N45" s="150" t="s">
        <v>441</v>
      </c>
      <c r="O45" s="154">
        <f t="shared" si="6"/>
        <v>3427.5</v>
      </c>
      <c r="P45" s="157" t="s">
        <v>413</v>
      </c>
      <c r="Q45" s="150" t="s">
        <v>442</v>
      </c>
      <c r="R45" s="150" t="s">
        <v>443</v>
      </c>
      <c r="S45" s="155" t="s">
        <v>415</v>
      </c>
      <c r="T45" s="155" t="s">
        <v>444</v>
      </c>
      <c r="U45" s="150" t="s">
        <v>417</v>
      </c>
      <c r="V45" s="158" t="s">
        <v>445</v>
      </c>
    </row>
    <row r="46" spans="1:22" ht="17.399999999999999" x14ac:dyDescent="0.4">
      <c r="A46" s="159">
        <v>3000</v>
      </c>
      <c r="B46" s="161">
        <v>460</v>
      </c>
      <c r="C46" s="162">
        <f>ROUNDUP(A46/(B46*0.9)/3^0.5*1000/0.9,0)</f>
        <v>4649</v>
      </c>
      <c r="D46" s="162">
        <f t="shared" si="1"/>
        <v>606</v>
      </c>
      <c r="E46" s="162">
        <f t="shared" si="2"/>
        <v>4951</v>
      </c>
      <c r="F46" s="160">
        <f>30.8*100*C46/(1000*10)</f>
        <v>1431.8920000000001</v>
      </c>
      <c r="G46" s="163">
        <f t="shared" si="4"/>
        <v>1.5496666666666667</v>
      </c>
      <c r="H46" s="161">
        <v>500</v>
      </c>
      <c r="I46" s="161">
        <v>6</v>
      </c>
      <c r="J46" s="161">
        <f t="shared" si="5"/>
        <v>208</v>
      </c>
      <c r="K46" s="161">
        <v>240</v>
      </c>
      <c r="L46" s="161">
        <v>4000</v>
      </c>
      <c r="M46" s="161" t="s">
        <v>447</v>
      </c>
      <c r="N46" s="161" t="s">
        <v>441</v>
      </c>
      <c r="O46" s="164">
        <f t="shared" si="6"/>
        <v>5811.25</v>
      </c>
      <c r="P46" s="165" t="s">
        <v>413</v>
      </c>
      <c r="Q46" s="161" t="s">
        <v>442</v>
      </c>
      <c r="R46" s="161" t="s">
        <v>443</v>
      </c>
      <c r="S46" s="155" t="s">
        <v>415</v>
      </c>
      <c r="T46" s="166" t="s">
        <v>449</v>
      </c>
      <c r="U46" s="161" t="s">
        <v>436</v>
      </c>
      <c r="V46" s="167" t="s">
        <v>450</v>
      </c>
    </row>
    <row r="47" spans="1:22" ht="18" thickBot="1" x14ac:dyDescent="0.45">
      <c r="A47" s="168">
        <v>3000</v>
      </c>
      <c r="B47" s="169">
        <v>650</v>
      </c>
      <c r="C47" s="170">
        <f t="shared" si="0"/>
        <v>3290</v>
      </c>
      <c r="D47" s="170">
        <f t="shared" si="1"/>
        <v>855</v>
      </c>
      <c r="E47" s="170">
        <f t="shared" si="2"/>
        <v>3509</v>
      </c>
      <c r="F47" s="171">
        <f t="shared" si="3"/>
        <v>1013.32</v>
      </c>
      <c r="G47" s="172">
        <f t="shared" si="4"/>
        <v>1.3708333333333333</v>
      </c>
      <c r="H47" s="169">
        <v>400</v>
      </c>
      <c r="I47" s="169">
        <v>6</v>
      </c>
      <c r="J47" s="169">
        <f t="shared" si="5"/>
        <v>166.4</v>
      </c>
      <c r="K47" s="169">
        <v>185</v>
      </c>
      <c r="L47" s="169">
        <v>3200</v>
      </c>
      <c r="M47" s="169" t="s">
        <v>451</v>
      </c>
      <c r="N47" s="169" t="s">
        <v>452</v>
      </c>
      <c r="O47" s="173">
        <f t="shared" si="6"/>
        <v>4112.5</v>
      </c>
      <c r="P47" s="174" t="s">
        <v>453</v>
      </c>
      <c r="Q47" s="169" t="s">
        <v>442</v>
      </c>
      <c r="R47" s="169" t="s">
        <v>454</v>
      </c>
      <c r="S47" s="175" t="s">
        <v>455</v>
      </c>
      <c r="T47" s="169" t="s">
        <v>456</v>
      </c>
      <c r="U47" s="169" t="s">
        <v>409</v>
      </c>
      <c r="V47" s="176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J34" sqref="J34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12" t="s">
        <v>189</v>
      </c>
      <c r="C2" s="314" t="s">
        <v>190</v>
      </c>
      <c r="D2" s="314"/>
      <c r="E2" s="314"/>
      <c r="F2" s="314"/>
      <c r="G2" s="314"/>
      <c r="H2" s="314"/>
      <c r="I2" s="314"/>
      <c r="J2" s="314"/>
      <c r="K2" s="314"/>
      <c r="L2" s="315" t="s">
        <v>191</v>
      </c>
      <c r="M2" s="315"/>
      <c r="N2" s="315"/>
      <c r="O2" s="316" t="s">
        <v>192</v>
      </c>
      <c r="P2" s="316"/>
      <c r="Q2" s="316"/>
      <c r="R2" s="317" t="s">
        <v>193</v>
      </c>
      <c r="S2" s="317"/>
      <c r="T2" s="318"/>
    </row>
    <row r="3" spans="2:20" ht="17.399999999999999" x14ac:dyDescent="0.25">
      <c r="B3" s="313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2021-05-25T05:18:55Z</dcterms:modified>
</cp:coreProperties>
</file>