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4_PSA03Y21-0014R1_삼한진공_현대자동차의왕_진공용해용_전원장치_15kW_36kHz\전장설계\"/>
    </mc:Choice>
  </mc:AlternateContent>
  <bookViews>
    <workbookView xWindow="0" yWindow="0" windowWidth="20055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M9" i="37" l="1"/>
  <c r="M11" i="37"/>
  <c r="C32" i="37" l="1"/>
  <c r="C18" i="37"/>
  <c r="C16" i="37"/>
  <c r="C22" i="37" s="1"/>
  <c r="C25" i="37" s="1"/>
  <c r="C10" i="37"/>
  <c r="C37" i="37" s="1"/>
  <c r="C39" i="37" s="1"/>
  <c r="C6" i="37"/>
  <c r="C8" i="37" s="1"/>
  <c r="C28" i="37" l="1"/>
  <c r="C21" i="37"/>
  <c r="C11" i="37"/>
  <c r="C24" i="37" l="1"/>
  <c r="C23" i="37"/>
  <c r="C26" i="37" s="1"/>
  <c r="C31" i="37" s="1"/>
  <c r="C41" i="37" s="1"/>
  <c r="C29" i="37"/>
  <c r="C43" i="37"/>
  <c r="C44" i="37" s="1"/>
  <c r="C45" i="37" s="1"/>
  <c r="C46" i="37" s="1"/>
  <c r="C30" i="37"/>
  <c r="C33" i="37" l="1"/>
  <c r="C34" i="37"/>
  <c r="E67" i="37"/>
  <c r="D67" i="37"/>
  <c r="E32" i="37"/>
  <c r="D32" i="37"/>
  <c r="E18" i="37"/>
  <c r="D18" i="37"/>
  <c r="E16" i="37"/>
  <c r="E21" i="37" s="1"/>
  <c r="E54" i="37" s="1"/>
  <c r="D16" i="37"/>
  <c r="D22" i="37" s="1"/>
  <c r="D25" i="37" s="1"/>
  <c r="D28" i="37" s="1"/>
  <c r="E10" i="37"/>
  <c r="E37" i="37" s="1"/>
  <c r="E39" i="37" s="1"/>
  <c r="D10" i="37"/>
  <c r="D37" i="37" s="1"/>
  <c r="D39" i="37" s="1"/>
  <c r="E6" i="37"/>
  <c r="E8" i="37" s="1"/>
  <c r="D6" i="37"/>
  <c r="D8" i="37" s="1"/>
  <c r="F25" i="46"/>
  <c r="F26" i="46" s="1"/>
  <c r="G11" i="46"/>
  <c r="G12" i="46"/>
  <c r="F11" i="46"/>
  <c r="F12" i="46"/>
  <c r="F9" i="46"/>
  <c r="W41" i="37"/>
  <c r="W36" i="37"/>
  <c r="W35" i="37"/>
  <c r="J41" i="45"/>
  <c r="D41" i="45"/>
  <c r="E41" i="45"/>
  <c r="C41" i="45"/>
  <c r="F41" i="45"/>
  <c r="W30" i="37"/>
  <c r="W26" i="37"/>
  <c r="W22" i="37"/>
  <c r="S72" i="37"/>
  <c r="S74" i="37" s="1"/>
  <c r="S66" i="37"/>
  <c r="S67" i="37" s="1"/>
  <c r="S46" i="37"/>
  <c r="S50" i="37" s="1"/>
  <c r="S53" i="37" s="1"/>
  <c r="S56" i="37" s="1"/>
  <c r="S27" i="37"/>
  <c r="S28" i="37" s="1"/>
  <c r="S8" i="37"/>
  <c r="S12" i="37" s="1"/>
  <c r="S15" i="37" s="1"/>
  <c r="S17" i="37" s="1"/>
  <c r="G41" i="45"/>
  <c r="O41" i="45"/>
  <c r="W15" i="37"/>
  <c r="W16" i="37" s="1"/>
  <c r="W17" i="37" s="1"/>
  <c r="W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O53" i="37"/>
  <c r="O56" i="37" s="1"/>
  <c r="O58" i="37" s="1"/>
  <c r="K59" i="37"/>
  <c r="K53" i="37"/>
  <c r="O48" i="37"/>
  <c r="K46" i="37"/>
  <c r="K47" i="37" s="1"/>
  <c r="K45" i="37"/>
  <c r="K36" i="37"/>
  <c r="K35" i="37"/>
  <c r="O34" i="37"/>
  <c r="O30" i="37"/>
  <c r="O26" i="37"/>
  <c r="O38" i="37" s="1"/>
  <c r="O39" i="37" s="1"/>
  <c r="O40" i="37" s="1"/>
  <c r="K26" i="37"/>
  <c r="K25" i="37"/>
  <c r="K27" i="37" s="1"/>
  <c r="K24" i="37"/>
  <c r="O19" i="37"/>
  <c r="O13" i="37"/>
  <c r="O8" i="37"/>
  <c r="K7" i="37"/>
  <c r="K9" i="37" s="1"/>
  <c r="K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S47" i="37"/>
  <c r="S31" i="37"/>
  <c r="S34" i="37" s="1"/>
  <c r="S36" i="37" s="1"/>
  <c r="O35" i="37" l="1"/>
  <c r="O41" i="37"/>
  <c r="O42" i="37" s="1"/>
  <c r="K37" i="37"/>
  <c r="K38" i="37" s="1"/>
  <c r="E22" i="37"/>
  <c r="E25" i="37" s="1"/>
  <c r="E28" i="37" s="1"/>
  <c r="E43" i="37" s="1"/>
  <c r="D21" i="37"/>
  <c r="D23" i="37" s="1"/>
  <c r="S9" i="37"/>
  <c r="S75" i="37"/>
  <c r="S38" i="37"/>
  <c r="S39" i="37"/>
  <c r="S20" i="37"/>
  <c r="S19" i="37"/>
  <c r="D11" i="37"/>
  <c r="E11" i="37"/>
  <c r="S59" i="37"/>
  <c r="S58" i="37"/>
  <c r="E24" i="37"/>
  <c r="E23" i="37"/>
  <c r="E59" i="37"/>
  <c r="E62" i="37" s="1"/>
  <c r="E60" i="37"/>
  <c r="E53" i="37"/>
  <c r="D29" i="37"/>
  <c r="D43" i="37"/>
  <c r="D50" i="37" s="1"/>
  <c r="D55" i="37" s="1"/>
  <c r="D24" i="37" l="1"/>
  <c r="D26" i="37" s="1"/>
  <c r="D31" i="37" s="1"/>
  <c r="D41" i="37" s="1"/>
  <c r="D66" i="37" s="1"/>
  <c r="E29" i="37"/>
  <c r="D54" i="37"/>
  <c r="D53" i="37" s="1"/>
  <c r="D30" i="37"/>
  <c r="D34" i="37" s="1"/>
  <c r="E30" i="37"/>
  <c r="E33" i="37" s="1"/>
  <c r="E26" i="37"/>
  <c r="E31" i="37" s="1"/>
  <c r="E41" i="37" s="1"/>
  <c r="E66" i="37" s="1"/>
  <c r="D63" i="37"/>
  <c r="E50" i="37"/>
  <c r="E44" i="37"/>
  <c r="E45" i="37" s="1"/>
  <c r="E46" i="37" s="1"/>
  <c r="D44" i="37"/>
  <c r="D45" i="37" s="1"/>
  <c r="D46" i="37" s="1"/>
  <c r="D60" i="37"/>
  <c r="D59" i="37"/>
  <c r="D62" i="37" s="1"/>
  <c r="E34" i="37" l="1"/>
  <c r="D33" i="37"/>
  <c r="D69" i="37"/>
  <c r="D72" i="37" s="1"/>
  <c r="D68" i="37"/>
  <c r="D71" i="37" s="1"/>
  <c r="D88" i="37" s="1"/>
  <c r="D70" i="37"/>
  <c r="D73" i="37" s="1"/>
  <c r="D75" i="37" s="1"/>
  <c r="D77" i="37" s="1"/>
  <c r="E63" i="37"/>
  <c r="E55" i="37"/>
  <c r="D92" i="37" l="1"/>
  <c r="D82" i="37"/>
  <c r="E69" i="37"/>
  <c r="E72" i="37" s="1"/>
  <c r="E70" i="37"/>
  <c r="E73" i="37" s="1"/>
  <c r="E75" i="37" s="1"/>
  <c r="E68" i="37"/>
  <c r="E71" i="37" s="1"/>
  <c r="D80" i="37"/>
  <c r="D86" i="37" s="1"/>
  <c r="D81" i="37"/>
  <c r="D87" i="37" s="1"/>
  <c r="D83" i="37"/>
  <c r="D89" i="37"/>
  <c r="E82" i="37" l="1"/>
  <c r="E88" i="37"/>
  <c r="E80" i="37"/>
  <c r="E86" i="37" s="1"/>
  <c r="E77" i="37"/>
  <c r="E92" i="37"/>
  <c r="E83" i="37"/>
  <c r="E81" i="37"/>
  <c r="E87" i="37" s="1"/>
  <c r="E89" i="37"/>
</calcChain>
</file>

<file path=xl/sharedStrings.xml><?xml version="1.0" encoding="utf-8"?>
<sst xmlns="http://schemas.openxmlformats.org/spreadsheetml/2006/main" count="1219" uniqueCount="658">
  <si>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</si>
  <si>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</si>
  <si>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</si>
  <si>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</si>
  <si>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</si>
  <si>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</si>
  <si>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</si>
  <si>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</si>
  <si>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</si>
  <si>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</si>
  <si>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</si>
  <si>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</si>
  <si>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</si>
  <si>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</si>
  <si>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</si>
  <si>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</si>
  <si>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</si>
  <si>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</si>
  <si>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</si>
  <si>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</si>
  <si>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</si>
  <si>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</si>
  <si>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</si>
  <si>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</si>
  <si>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</si>
  <si>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</si>
  <si>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</si>
  <si>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</si>
  <si>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</si>
  <si>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</si>
  <si>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</si>
  <si>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</si>
  <si>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</si>
  <si>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</si>
  <si>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</si>
  <si>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</si>
  <si>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</si>
  <si>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</si>
  <si>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</si>
  <si>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</si>
  <si>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</si>
  <si>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</si>
  <si>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</si>
  <si>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</si>
  <si>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</si>
  <si>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</si>
  <si>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</si>
  <si>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</si>
  <si>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</si>
  <si>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</si>
  <si>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</si>
  <si>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</si>
  <si>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</si>
  <si>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</si>
  <si>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</si>
  <si>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</si>
  <si>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</si>
  <si>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</si>
  <si>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</si>
  <si>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</si>
  <si>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</si>
  <si>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</si>
  <si>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</si>
  <si>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</si>
  <si>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</si>
  <si>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</si>
  <si>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</si>
  <si>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</si>
  <si>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</si>
  <si>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</si>
  <si>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</si>
  <si>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</si>
  <si>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</si>
  <si>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</si>
  <si>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</si>
  <si>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</si>
  <si>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</si>
  <si>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</si>
  <si>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</si>
  <si>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</si>
  <si>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</si>
  <si>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</si>
  <si>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</si>
  <si>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</si>
  <si>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</si>
  <si>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</si>
  <si>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</si>
  <si>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</si>
  <si>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</si>
  <si>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</si>
  <si>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</si>
  <si>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</si>
  <si>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</si>
  <si>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</si>
  <si>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</si>
  <si>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</si>
  <si>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</si>
  <si>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</si>
  <si>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</si>
  <si>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</si>
  <si>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</si>
  <si>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</si>
  <si>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</si>
  <si>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</si>
  <si>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</si>
  <si>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</si>
  <si>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</si>
  <si>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</si>
  <si>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</si>
  <si>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</si>
  <si>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</si>
  <si>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</si>
  <si>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</si>
  <si>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</si>
  <si>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</si>
  <si>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</si>
  <si>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</si>
  <si>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</si>
  <si>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</si>
  <si>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</si>
  <si>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</si>
  <si>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</si>
  <si>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</si>
  <si>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</si>
  <si>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</si>
  <si>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</si>
  <si>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</si>
  <si>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</si>
  <si>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</si>
  <si>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</si>
  <si>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</si>
  <si>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</si>
  <si>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</si>
  <si>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</si>
  <si>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</si>
  <si>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</si>
  <si>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</si>
  <si>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</si>
  <si>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</si>
  <si>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</si>
  <si>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</si>
  <si>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</si>
  <si>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</si>
  <si>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</si>
  <si>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</si>
  <si>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</si>
  <si>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</si>
  <si>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</si>
  <si>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</si>
  <si>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</si>
  <si>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</si>
  <si>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</si>
  <si>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</si>
  <si>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</si>
  <si>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</si>
  <si>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</si>
  <si>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</si>
  <si>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</si>
  <si>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</si>
  <si>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</si>
  <si>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</si>
  <si>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</si>
  <si>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</si>
  <si>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</si>
  <si>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</si>
  <si>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</si>
  <si>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</si>
  <si>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</si>
  <si>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</si>
  <si>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</si>
  <si>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</si>
  <si>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</si>
  <si>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</si>
  <si>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</si>
  <si>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</si>
  <si>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</si>
  <si>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</si>
  <si>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</si>
  <si>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</si>
  <si>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</si>
  <si>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</si>
  <si>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</si>
  <si>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</si>
  <si>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</si>
  <si>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</si>
  <si>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</si>
  <si>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</si>
  <si>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</si>
  <si>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</si>
  <si>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</si>
  <si>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</si>
  <si>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</si>
  <si>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</si>
  <si>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</si>
  <si>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</si>
  <si>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</si>
  <si>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</si>
  <si>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</si>
  <si>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</si>
  <si>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</si>
  <si>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</si>
  <si>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</si>
  <si>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</si>
  <si>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</si>
  <si>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</si>
  <si>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</si>
  <si>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</si>
  <si>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</si>
  <si>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</si>
  <si>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</si>
  <si>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</si>
  <si>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</si>
  <si>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</si>
  <si>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</si>
  <si>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</si>
  <si>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</si>
  <si>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</si>
  <si>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</si>
  <si>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</si>
  <si>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</si>
  <si>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</si>
  <si>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</si>
  <si>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</si>
  <si>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</si>
  <si>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</si>
  <si>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</si>
  <si>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</si>
  <si>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</si>
  <si>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</si>
  <si>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</si>
  <si>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</si>
  <si>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</si>
  <si>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</si>
  <si>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</si>
  <si>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</si>
  <si>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</si>
  <si>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</si>
  <si>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</si>
  <si>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</si>
  <si>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</si>
  <si>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</si>
  <si>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</si>
  <si>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</si>
  <si>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</si>
  <si>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</si>
  <si>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</si>
  <si>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</si>
  <si>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</si>
  <si>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</si>
  <si>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</si>
  <si>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</si>
  <si>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</si>
  <si>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</si>
  <si>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</si>
  <si>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</si>
  <si>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</si>
  <si>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</si>
  <si>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</si>
  <si>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</si>
  <si>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</si>
  <si>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</si>
  <si>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</si>
  <si>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</si>
  <si>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</si>
  <si>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</si>
  <si>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</si>
  <si>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</si>
  <si>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</si>
  <si>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</si>
  <si>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</si>
  <si>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</si>
  <si>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</si>
  <si>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</si>
  <si>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</si>
  <si>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</si>
  <si>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</si>
  <si>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</si>
  <si>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</si>
  <si>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</si>
  <si>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</si>
  <si>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</si>
  <si>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</si>
  <si>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</si>
  <si>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</si>
  <si>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</si>
  <si>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</si>
  <si>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</si>
  <si>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</si>
  <si>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</si>
  <si>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</si>
  <si>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</si>
  <si>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</si>
  <si>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</si>
  <si>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</si>
  <si>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</si>
  <si>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</si>
  <si>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</si>
  <si>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</si>
  <si>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</si>
  <si>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</si>
  <si>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</si>
  <si>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</si>
  <si>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</si>
  <si>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</si>
  <si>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</si>
  <si>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</si>
  <si>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</si>
  <si>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</si>
  <si>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</si>
  <si>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</si>
  <si>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</si>
  <si>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</si>
  <si>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</si>
  <si>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</si>
  <si>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</si>
  <si>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</si>
  <si>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</si>
  <si>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</si>
  <si>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</si>
  <si>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</si>
  <si>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</si>
  <si>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</si>
  <si>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</si>
  <si>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</si>
  <si>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</si>
  <si>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</si>
  <si>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</si>
  <si>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</si>
  <si>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</si>
  <si>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</si>
  <si>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</si>
  <si>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</si>
  <si>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</si>
  <si>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</si>
  <si>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</si>
  <si>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</si>
  <si>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</si>
  <si>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</si>
  <si>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</si>
  <si>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</si>
  <si>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</si>
  <si>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</si>
  <si>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</si>
  <si>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</si>
  <si>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</si>
  <si>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</si>
  <si>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</si>
  <si>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</si>
  <si>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</si>
  <si>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</si>
  <si>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</si>
  <si>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</si>
  <si>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</si>
  <si>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</si>
  <si>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</si>
  <si>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</si>
  <si>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</si>
  <si>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</si>
  <si>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</si>
  <si>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</si>
  <si>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</si>
  <si>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</si>
  <si>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</si>
  <si>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</si>
  <si>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</si>
  <si>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</si>
  <si>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</si>
  <si>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</si>
  <si>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</si>
  <si>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</si>
  <si>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</si>
  <si>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</si>
  <si>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</si>
  <si>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</si>
  <si>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</si>
  <si>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</si>
  <si>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</si>
  <si>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</si>
  <si>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</si>
  <si>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</si>
  <si>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</si>
  <si>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</si>
  <si>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</si>
  <si>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</si>
  <si>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</si>
  <si>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</si>
  <si>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</si>
  <si>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</si>
  <si>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</si>
  <si>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</si>
  <si>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</si>
  <si>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</si>
  <si>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</si>
  <si>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</si>
  <si>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</si>
  <si>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</si>
  <si>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</si>
  <si>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</si>
  <si>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</si>
  <si>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</si>
  <si>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</si>
  <si>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</si>
  <si>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</si>
  <si>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</si>
  <si>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</si>
  <si>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</si>
  <si>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</si>
  <si>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</si>
  <si>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</si>
  <si>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</si>
  <si>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</si>
  <si>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</si>
  <si>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</si>
  <si>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</si>
  <si>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</si>
  <si>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</si>
  <si>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</si>
  <si>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</si>
  <si>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</si>
  <si>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</si>
  <si>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</si>
  <si>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</si>
  <si>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</si>
  <si>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</si>
  <si>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</si>
  <si>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</si>
  <si>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</si>
  <si>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</si>
  <si>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</si>
  <si>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</si>
  <si>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</si>
  <si>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</si>
  <si>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</si>
  <si>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</si>
  <si>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</si>
  <si>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</si>
  <si>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</si>
  <si>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</si>
  <si>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</si>
  <si>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</si>
  <si>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</si>
  <si>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</si>
  <si>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</si>
  <si>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</si>
  <si>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</si>
  <si>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</si>
  <si>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</si>
  <si>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</si>
  <si>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</si>
  <si>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</si>
  <si>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</si>
  <si>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</si>
  <si>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</si>
  <si>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</si>
  <si>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</si>
  <si>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</si>
  <si>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</si>
  <si>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</si>
  <si>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</si>
  <si>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</si>
  <si>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</si>
  <si>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</si>
  <si>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</si>
  <si>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</si>
  <si>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</si>
  <si>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</si>
  <si>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</si>
  <si>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</si>
  <si>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</si>
  <si>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</si>
  <si>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</si>
  <si>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</si>
  <si>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</si>
  <si>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</si>
  <si>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</si>
  <si>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코일 연결 구조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</si>
  <si>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</si>
  <si>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</si>
  <si>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</si>
  <si>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</si>
  <si>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</si>
  <si>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</si>
  <si>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</si>
  <si>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</si>
  <si>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</si>
  <si>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</si>
  <si>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</si>
  <si>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</si>
  <si>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</si>
  <si>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</si>
  <si>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</si>
  <si>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</si>
  <si>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</si>
  <si>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</si>
  <si>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</si>
  <si>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</si>
  <si>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</si>
  <si>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</si>
  <si>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</si>
  <si>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</si>
  <si>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</si>
  <si>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</si>
  <si>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</si>
  <si>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</si>
  <si>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</si>
  <si>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</si>
  <si>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</si>
  <si>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</si>
  <si>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</si>
  <si>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</si>
  <si>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</si>
  <si>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</si>
  <si>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</si>
  <si>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</si>
  <si>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</si>
  <si>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</si>
  <si>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</si>
  <si>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</si>
  <si>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</si>
  <si>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</si>
  <si>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</si>
  <si>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</si>
  <si>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</si>
  <si>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</si>
  <si>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</si>
  <si>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</si>
  <si>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</si>
  <si>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</si>
  <si>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</si>
  <si>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</si>
  <si>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100A</t>
    <phoneticPr fontId="8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</si>
  <si>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</si>
  <si>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</si>
  <si>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</si>
  <si>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,100:1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</si>
  <si>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</si>
  <si>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</si>
  <si>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</si>
  <si>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</si>
  <si>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FM+LBPWM</t>
    <phoneticPr fontId="8" type="noConversion"/>
  </si>
  <si>
    <t>디지털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</si>
  <si>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</si>
  <si>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</si>
  <si>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</si>
  <si>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</si>
  <si>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</si>
  <si>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</si>
  <si>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</si>
  <si>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</si>
  <si>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</si>
  <si>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</si>
  <si>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</si>
  <si>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</si>
  <si>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</si>
  <si>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</si>
  <si>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</si>
  <si>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</si>
  <si>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</si>
  <si>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</si>
  <si>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</si>
  <si>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</si>
  <si>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</si>
  <si>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</si>
  <si>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</si>
  <si>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</si>
  <si>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</si>
  <si>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</si>
  <si>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</si>
  <si>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</si>
  <si>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</si>
  <si>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</si>
  <si>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</si>
  <si>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</si>
  <si>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</si>
  <si>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</si>
  <si>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</si>
  <si>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</si>
  <si>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</si>
  <si>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</si>
  <si>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</si>
  <si>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</si>
  <si>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</si>
  <si>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</si>
  <si>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</si>
  <si>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</si>
  <si>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</si>
  <si>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</si>
  <si>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</si>
  <si>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</si>
  <si>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</si>
  <si>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</si>
  <si>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</si>
  <si>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</si>
  <si>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</si>
  <si>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</si>
  <si>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</si>
  <si>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</si>
  <si>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</si>
  <si>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</si>
  <si>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</si>
  <si>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</si>
  <si>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</si>
  <si>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</si>
  <si>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</si>
  <si>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</si>
  <si>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</si>
  <si>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</si>
  <si>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</si>
  <si>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</si>
  <si>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</si>
  <si>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</si>
  <si>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</si>
  <si>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</si>
  <si>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</si>
  <si>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</si>
  <si>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</si>
  <si>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</si>
  <si>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</si>
  <si>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</si>
  <si>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</si>
  <si>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</si>
  <si>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</si>
  <si>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</si>
  <si>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</si>
  <si>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</si>
  <si>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</si>
  <si>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</si>
  <si>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</si>
  <si>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</si>
  <si>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소선:9.5mm, 갭 5.56mm</t>
    <phoneticPr fontId="2" type="noConversion"/>
  </si>
  <si>
    <t>삼한진공_현대자동차 의왕</t>
    <phoneticPr fontId="8" type="noConversion"/>
  </si>
  <si>
    <t>진공용해</t>
    <phoneticPr fontId="2" type="noConversion"/>
  </si>
  <si>
    <t>15kW</t>
    <phoneticPr fontId="8" type="noConversion"/>
  </si>
  <si>
    <t>35kHz</t>
    <phoneticPr fontId="8" type="noConversion"/>
  </si>
  <si>
    <t>기존 설계 데이터</t>
    <phoneticPr fontId="2" type="noConversion"/>
  </si>
  <si>
    <t>MCCB(MC)</t>
    <phoneticPr fontId="8" type="noConversion"/>
  </si>
  <si>
    <t xml:space="preserve">50A급 </t>
    <phoneticPr fontId="8" type="noConversion"/>
  </si>
  <si>
    <t>GATE DRIVER V6 REV1.0 (2EA)</t>
    <phoneticPr fontId="2" type="noConversion"/>
  </si>
  <si>
    <t>2병렬, 
 :총 42uF, 500V, 2000A,</t>
    <phoneticPr fontId="8" type="noConversion"/>
  </si>
  <si>
    <t>24A</t>
    <phoneticPr fontId="8" type="noConversion"/>
  </si>
  <si>
    <t>26A</t>
    <phoneticPr fontId="8" type="noConversion"/>
  </si>
  <si>
    <t>[DHF-S500P1000A] 500V 21uF, 1000A DHF-S500P, W*T*H=100*100*47</t>
    <phoneticPr fontId="3" type="noConversion"/>
  </si>
  <si>
    <t>턴수 : 75턴
소선 : 9.5mm 파이프
코일내경 : 35mm
코일높이 : 70mm
L값 : 무부하 (0.35uH)</t>
    <phoneticPr fontId="2" type="noConversion"/>
  </si>
  <si>
    <t>X</t>
    <phoneticPr fontId="3" type="noConversion"/>
  </si>
  <si>
    <t>X</t>
    <phoneticPr fontId="2" type="noConversion"/>
  </si>
  <si>
    <t>X</t>
    <phoneticPr fontId="3" type="noConversion"/>
  </si>
  <si>
    <t>삼한진공_현대자동차</t>
    <phoneticPr fontId="3" type="noConversion"/>
  </si>
  <si>
    <t>2021.04.26</t>
    <phoneticPr fontId="2" type="noConversion"/>
  </si>
  <si>
    <t>2021.05.20</t>
    <phoneticPr fontId="2" type="noConversion"/>
  </si>
  <si>
    <t>2020.05.31</t>
    <phoneticPr fontId="3" type="noConversion"/>
  </si>
  <si>
    <t>50A</t>
    <phoneticPr fontId="8" type="noConversion"/>
  </si>
  <si>
    <t>DF75LA-LB160 (1EA)</t>
    <phoneticPr fontId="8" type="noConversion"/>
  </si>
  <si>
    <t>10~14(8~16까지 설계)</t>
    <phoneticPr fontId="8" type="noConversion"/>
  </si>
  <si>
    <t>최대 50A</t>
    <phoneticPr fontId="8" type="noConversion"/>
  </si>
  <si>
    <t xml:space="preserve">최대 1300A </t>
    <phoneticPr fontId="8" type="noConversion"/>
  </si>
  <si>
    <t xml:space="preserve">최대 1300A </t>
    <phoneticPr fontId="8" type="noConversion"/>
  </si>
  <si>
    <t>LCD 설정: 70A</t>
    <phoneticPr fontId="2" type="noConversion"/>
  </si>
  <si>
    <t>설계 검토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</si>
</sst>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9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0" fontId="13" fillId="0" borderId="28" xfId="2" applyFont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2" fontId="16" fillId="8" borderId="31" xfId="0" applyNumberFormat="1" applyFont="1" applyFill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191" fontId="11" fillId="0" borderId="28" xfId="0" applyNumberFormat="1" applyFont="1" applyBorder="1" applyAlignment="1">
      <alignment horizontal="left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48" xfId="2" applyNumberFormat="1" applyFont="1" applyFill="1" applyBorder="1">
      <alignment vertical="center"/>
    </xf>
    <xf numFmtId="2" fontId="11" fillId="8" borderId="48" xfId="2" applyNumberFormat="1" applyFont="1" applyFill="1" applyBorder="1">
      <alignment vertical="center"/>
    </xf>
    <xf numFmtId="187" fontId="11" fillId="13" borderId="48" xfId="2" applyNumberFormat="1" applyFont="1" applyFill="1" applyBorder="1">
      <alignment vertical="center"/>
    </xf>
    <xf numFmtId="187" fontId="11" fillId="8" borderId="48" xfId="2" applyNumberFormat="1" applyFont="1" applyFill="1" applyBorder="1">
      <alignment vertical="center"/>
    </xf>
    <xf numFmtId="187" fontId="11" fillId="0" borderId="48" xfId="2" applyNumberFormat="1" applyFont="1" applyBorder="1">
      <alignment vertical="center"/>
    </xf>
    <xf numFmtId="2" fontId="11" fillId="9" borderId="48" xfId="2" applyNumberFormat="1" applyFont="1" applyFill="1" applyBorder="1">
      <alignment vertical="center"/>
    </xf>
    <xf numFmtId="2" fontId="11" fillId="10" borderId="48" xfId="2" applyNumberFormat="1" applyFont="1" applyFill="1" applyBorder="1">
      <alignment vertical="center"/>
    </xf>
    <xf numFmtId="187" fontId="11" fillId="10" borderId="48" xfId="2" applyNumberFormat="1" applyFont="1" applyFill="1" applyBorder="1">
      <alignment vertical="center"/>
    </xf>
    <xf numFmtId="187" fontId="11" fillId="14" borderId="48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1" fillId="0" borderId="68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0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1553895</xdr:colOff>
      <xdr:row>19</xdr:row>
      <xdr:rowOff>58555</xdr:rowOff>
    </xdr:from>
    <xdr:to>
      <xdr:col>21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1702975</xdr:colOff>
      <xdr:row>19</xdr:row>
      <xdr:rowOff>61441</xdr:rowOff>
    </xdr:from>
    <xdr:to>
      <xdr:col>21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23</xdr:row>
      <xdr:rowOff>58555</xdr:rowOff>
    </xdr:from>
    <xdr:to>
      <xdr:col>21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1702975</xdr:colOff>
      <xdr:row>23</xdr:row>
      <xdr:rowOff>61441</xdr:rowOff>
    </xdr:from>
    <xdr:to>
      <xdr:col>21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1830839</xdr:colOff>
      <xdr:row>23</xdr:row>
      <xdr:rowOff>54807</xdr:rowOff>
    </xdr:from>
    <xdr:to>
      <xdr:col>21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1962774</xdr:colOff>
      <xdr:row>23</xdr:row>
      <xdr:rowOff>57693</xdr:rowOff>
    </xdr:from>
    <xdr:to>
      <xdr:col>21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1553707</xdr:colOff>
      <xdr:row>27</xdr:row>
      <xdr:rowOff>23231</xdr:rowOff>
    </xdr:from>
    <xdr:to>
      <xdr:col>21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1673745</xdr:colOff>
      <xdr:row>27</xdr:row>
      <xdr:rowOff>23231</xdr:rowOff>
    </xdr:from>
    <xdr:to>
      <xdr:col>21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1673532</xdr:colOff>
      <xdr:row>27</xdr:row>
      <xdr:rowOff>127780</xdr:rowOff>
    </xdr:from>
    <xdr:to>
      <xdr:col>21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1560335</xdr:colOff>
      <xdr:row>27</xdr:row>
      <xdr:rowOff>128635</xdr:rowOff>
    </xdr:from>
    <xdr:to>
      <xdr:col>21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19</xdr:row>
      <xdr:rowOff>58555</xdr:rowOff>
    </xdr:from>
    <xdr:to>
      <xdr:col>21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1702976</xdr:colOff>
      <xdr:row>19</xdr:row>
      <xdr:rowOff>55621</xdr:rowOff>
    </xdr:from>
    <xdr:to>
      <xdr:col>21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1553895</xdr:colOff>
      <xdr:row>23</xdr:row>
      <xdr:rowOff>56203</xdr:rowOff>
    </xdr:from>
    <xdr:to>
      <xdr:col>21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1697918</xdr:colOff>
      <xdr:row>23</xdr:row>
      <xdr:rowOff>54429</xdr:rowOff>
    </xdr:from>
    <xdr:to>
      <xdr:col>21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1830839</xdr:colOff>
      <xdr:row>23</xdr:row>
      <xdr:rowOff>53245</xdr:rowOff>
    </xdr:from>
    <xdr:to>
      <xdr:col>21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1955822</xdr:colOff>
      <xdr:row>23</xdr:row>
      <xdr:rowOff>54428</xdr:rowOff>
    </xdr:from>
    <xdr:to>
      <xdr:col>21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1556969</xdr:colOff>
      <xdr:row>27</xdr:row>
      <xdr:rowOff>23664</xdr:rowOff>
    </xdr:from>
    <xdr:to>
      <xdr:col>21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1673745</xdr:colOff>
      <xdr:row>27</xdr:row>
      <xdr:rowOff>23230</xdr:rowOff>
    </xdr:from>
    <xdr:to>
      <xdr:col>21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1679795</xdr:colOff>
      <xdr:row>27</xdr:row>
      <xdr:rowOff>127780</xdr:rowOff>
    </xdr:from>
    <xdr:to>
      <xdr:col>21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1560335</xdr:colOff>
      <xdr:row>27</xdr:row>
      <xdr:rowOff>131859</xdr:rowOff>
    </xdr:from>
    <xdr:to>
      <xdr:col>21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Y92"/>
  <sheetViews>
    <sheetView zoomScale="80" zoomScaleNormal="80" workbookViewId="0">
      <selection activeCell="H45" sqref="H45"/>
    </sheetView>
  </sheetViews>
  <sheetFormatPr defaultRowHeight="13.5" x14ac:dyDescent="0.15"/>
  <cols>
    <col min="1" max="1" width="8.88671875" style="1"/>
    <col min="2" max="2" width="35.44140625" style="1" customWidth="1"/>
    <col min="3" max="3" width="6.88671875" style="1" bestFit="1" customWidth="1"/>
    <col min="4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20.5546875" style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 x14ac:dyDescent="0.15">
      <c r="B1" s="124" t="s">
        <v>312</v>
      </c>
    </row>
    <row r="2" spans="2:24" ht="17.25" thickBot="1" x14ac:dyDescent="0.2">
      <c r="B2" s="112" t="s">
        <v>240</v>
      </c>
      <c r="C2" s="246" t="s">
        <v>634</v>
      </c>
      <c r="D2" s="247"/>
      <c r="E2" s="247"/>
      <c r="F2" s="113"/>
      <c r="G2" s="113" t="s">
        <v>295</v>
      </c>
      <c r="H2" s="113" t="s">
        <v>245</v>
      </c>
    </row>
    <row r="3" spans="2:24" ht="16.5" x14ac:dyDescent="0.15">
      <c r="B3" s="114" t="s">
        <v>18</v>
      </c>
      <c r="C3" s="217">
        <v>15</v>
      </c>
      <c r="D3" s="235">
        <v>15</v>
      </c>
      <c r="E3" s="226">
        <v>15</v>
      </c>
      <c r="F3" s="114" t="s">
        <v>1</v>
      </c>
      <c r="G3" s="115">
        <v>1</v>
      </c>
      <c r="H3" s="116" t="s">
        <v>243</v>
      </c>
      <c r="J3" s="250" t="s">
        <v>281</v>
      </c>
      <c r="K3" s="250"/>
      <c r="L3" s="250"/>
      <c r="M3" s="77" t="s">
        <v>529</v>
      </c>
      <c r="N3" s="249" t="s">
        <v>241</v>
      </c>
      <c r="O3" s="249"/>
      <c r="P3" s="249"/>
      <c r="Q3" s="77" t="s">
        <v>529</v>
      </c>
      <c r="R3" s="249" t="s">
        <v>514</v>
      </c>
      <c r="S3" s="249"/>
      <c r="T3" s="249"/>
      <c r="U3" s="77"/>
      <c r="V3" s="250" t="s">
        <v>261</v>
      </c>
      <c r="W3" s="250"/>
      <c r="X3" s="250"/>
    </row>
    <row r="4" spans="2:24" ht="16.5" x14ac:dyDescent="0.15">
      <c r="B4" s="114" t="s">
        <v>525</v>
      </c>
      <c r="C4" s="217">
        <v>400</v>
      </c>
      <c r="D4" s="236">
        <v>440</v>
      </c>
      <c r="E4" s="226">
        <v>440</v>
      </c>
      <c r="F4" s="114" t="s">
        <v>0</v>
      </c>
      <c r="G4" s="115">
        <v>2</v>
      </c>
      <c r="H4" s="116" t="s">
        <v>244</v>
      </c>
      <c r="J4" s="69" t="s">
        <v>10</v>
      </c>
      <c r="K4" s="71">
        <v>5</v>
      </c>
      <c r="L4" s="69" t="s">
        <v>11</v>
      </c>
      <c r="M4" s="77"/>
      <c r="N4" s="69" t="s">
        <v>20</v>
      </c>
      <c r="O4" s="71">
        <v>200</v>
      </c>
      <c r="P4" s="69" t="s">
        <v>0</v>
      </c>
      <c r="Q4" s="77"/>
      <c r="R4" s="69" t="s">
        <v>212</v>
      </c>
      <c r="S4" s="67" t="s">
        <v>213</v>
      </c>
      <c r="T4" s="67"/>
      <c r="U4" s="77"/>
      <c r="V4" s="70" t="s">
        <v>106</v>
      </c>
      <c r="W4" s="71">
        <v>200</v>
      </c>
      <c r="X4" s="70" t="s">
        <v>15</v>
      </c>
    </row>
    <row r="5" spans="2:24" ht="16.5" x14ac:dyDescent="0.15">
      <c r="B5" s="114" t="s">
        <v>73</v>
      </c>
      <c r="C5" s="218">
        <v>0.9</v>
      </c>
      <c r="D5" s="237">
        <v>0.9</v>
      </c>
      <c r="E5" s="227">
        <v>0.9</v>
      </c>
      <c r="F5" s="114"/>
      <c r="G5" s="115"/>
      <c r="H5" s="114" t="s">
        <v>503</v>
      </c>
      <c r="J5" s="69" t="s">
        <v>12</v>
      </c>
      <c r="K5" s="71">
        <v>35</v>
      </c>
      <c r="L5" s="69" t="s">
        <v>13</v>
      </c>
      <c r="M5" s="77"/>
      <c r="N5" s="69" t="s">
        <v>21</v>
      </c>
      <c r="O5" s="71">
        <v>0.28899999999999998</v>
      </c>
      <c r="P5" s="69" t="s">
        <v>19</v>
      </c>
      <c r="Q5" s="77"/>
      <c r="R5" s="76" t="s">
        <v>214</v>
      </c>
      <c r="S5" s="78">
        <v>1.75</v>
      </c>
      <c r="T5" s="76" t="s">
        <v>215</v>
      </c>
      <c r="U5" s="77"/>
      <c r="V5" s="70" t="s">
        <v>107</v>
      </c>
      <c r="W5" s="71">
        <v>7200</v>
      </c>
      <c r="X5" s="70" t="s">
        <v>2</v>
      </c>
    </row>
    <row r="6" spans="2:24" ht="16.5" x14ac:dyDescent="0.15">
      <c r="B6" s="114" t="s">
        <v>64</v>
      </c>
      <c r="C6" s="219">
        <f t="shared" ref="C6" si="0">ROUND(C3*1000/(C4*0.9)/(3^0.5)/C5,1)</f>
        <v>26.7</v>
      </c>
      <c r="D6" s="238">
        <f t="shared" ref="D6:E6" si="1">ROUND(D3*1000/(D4*0.9)/(3^0.5)/D5,1)</f>
        <v>24.3</v>
      </c>
      <c r="E6" s="228">
        <f t="shared" si="1"/>
        <v>24.3</v>
      </c>
      <c r="F6" s="114" t="s">
        <v>2</v>
      </c>
      <c r="G6" s="115"/>
      <c r="H6" s="114" t="s">
        <v>293</v>
      </c>
      <c r="J6" s="69" t="s">
        <v>14</v>
      </c>
      <c r="K6" s="71">
        <v>70</v>
      </c>
      <c r="L6" s="69" t="s">
        <v>13</v>
      </c>
      <c r="M6" s="77" t="s">
        <v>629</v>
      </c>
      <c r="N6" s="69" t="s">
        <v>22</v>
      </c>
      <c r="O6" s="71">
        <v>7.32</v>
      </c>
      <c r="P6" s="69" t="s">
        <v>23</v>
      </c>
      <c r="Q6" s="77"/>
      <c r="R6" s="76" t="s">
        <v>216</v>
      </c>
      <c r="S6" s="79">
        <v>3.8999999999999998E-3</v>
      </c>
      <c r="T6" s="76" t="s">
        <v>217</v>
      </c>
      <c r="U6" s="77"/>
      <c r="V6" s="70" t="s">
        <v>108</v>
      </c>
      <c r="W6" s="71">
        <v>12800</v>
      </c>
      <c r="X6" s="70" t="s">
        <v>28</v>
      </c>
    </row>
    <row r="7" spans="2:24" ht="16.5" x14ac:dyDescent="0.15">
      <c r="B7" s="114" t="s">
        <v>51</v>
      </c>
      <c r="C7" s="220">
        <v>2</v>
      </c>
      <c r="D7" s="239">
        <v>2</v>
      </c>
      <c r="E7" s="229">
        <v>2</v>
      </c>
      <c r="F7" s="114" t="s">
        <v>74</v>
      </c>
      <c r="G7" s="115"/>
      <c r="H7" s="114"/>
      <c r="J7" s="69" t="s">
        <v>97</v>
      </c>
      <c r="K7" s="72">
        <f>(K5*K4)*(K5*K4)/(101.6*(4.5*K5+10*K6))</f>
        <v>0.35151856017997751</v>
      </c>
      <c r="L7" s="69" t="s">
        <v>15</v>
      </c>
      <c r="M7" s="77"/>
      <c r="N7" s="69" t="s">
        <v>24</v>
      </c>
      <c r="O7" s="71">
        <v>35000</v>
      </c>
      <c r="P7" s="69" t="s">
        <v>25</v>
      </c>
      <c r="Q7" s="77"/>
      <c r="R7" s="76" t="s">
        <v>218</v>
      </c>
      <c r="S7" s="80">
        <v>45</v>
      </c>
      <c r="T7" s="76" t="s">
        <v>48</v>
      </c>
      <c r="U7" s="77"/>
      <c r="V7" s="70" t="s">
        <v>285</v>
      </c>
      <c r="W7" s="71">
        <v>645</v>
      </c>
      <c r="X7" s="70" t="s">
        <v>0</v>
      </c>
    </row>
    <row r="8" spans="2:24" ht="16.5" x14ac:dyDescent="0.15">
      <c r="B8" s="114" t="s">
        <v>65</v>
      </c>
      <c r="C8" s="220">
        <f t="shared" ref="C8" si="2">ROUND(C6/C7,0)</f>
        <v>13</v>
      </c>
      <c r="D8" s="239">
        <f t="shared" ref="D8:E8" si="3">ROUND(D6/D7,0)</f>
        <v>12</v>
      </c>
      <c r="E8" s="229">
        <f t="shared" si="3"/>
        <v>12</v>
      </c>
      <c r="F8" s="114" t="s">
        <v>3</v>
      </c>
      <c r="G8" s="115"/>
      <c r="H8" s="114"/>
      <c r="J8" s="69" t="s">
        <v>98</v>
      </c>
      <c r="K8" s="71">
        <v>80</v>
      </c>
      <c r="L8" s="69" t="s">
        <v>7</v>
      </c>
      <c r="M8" s="77"/>
      <c r="N8" s="69" t="s">
        <v>26</v>
      </c>
      <c r="O8" s="88">
        <f>(5000*O4)/(O5*O6*O7)</f>
        <v>13.5058845138827</v>
      </c>
      <c r="P8" s="69" t="s">
        <v>242</v>
      </c>
      <c r="Q8" s="77"/>
      <c r="R8" s="76" t="s">
        <v>219</v>
      </c>
      <c r="S8" s="79">
        <f>S5*(1+S6*(S7-20))</f>
        <v>1.9206249999999998</v>
      </c>
      <c r="T8" s="76" t="s">
        <v>215</v>
      </c>
      <c r="U8" s="77"/>
      <c r="V8" s="70" t="s">
        <v>284</v>
      </c>
      <c r="W8" s="88">
        <f>SQRT(W7^2+W4*W5^2/W6)</f>
        <v>1107.2601320376345</v>
      </c>
      <c r="X8" s="70" t="s">
        <v>0</v>
      </c>
    </row>
    <row r="9" spans="2:24" ht="16.5" x14ac:dyDescent="0.15">
      <c r="B9" s="114"/>
      <c r="C9" s="221"/>
      <c r="D9" s="240"/>
      <c r="E9" s="230"/>
      <c r="F9" s="114"/>
      <c r="G9" s="115"/>
      <c r="H9" s="114"/>
      <c r="J9" s="69" t="s">
        <v>95</v>
      </c>
      <c r="K9" s="72">
        <f>K7*K8/100</f>
        <v>0.28121484814398201</v>
      </c>
      <c r="L9" s="69" t="s">
        <v>15</v>
      </c>
      <c r="M9" s="77">
        <f>580/4</f>
        <v>145</v>
      </c>
      <c r="N9" s="77"/>
      <c r="O9" s="77"/>
      <c r="P9" s="77"/>
      <c r="Q9" s="77"/>
      <c r="R9" s="76" t="s">
        <v>220</v>
      </c>
      <c r="S9" s="81">
        <f>1/(S8/100000000)</f>
        <v>52066384.64041654</v>
      </c>
      <c r="T9" s="76" t="s">
        <v>221</v>
      </c>
      <c r="U9" s="77"/>
      <c r="V9" s="77"/>
      <c r="W9" s="77"/>
      <c r="X9" s="77"/>
    </row>
    <row r="10" spans="2:24" ht="16.5" x14ac:dyDescent="0.15">
      <c r="B10" s="114" t="s">
        <v>16</v>
      </c>
      <c r="C10" s="219">
        <f>ROUND(C4*2^0.5*0.93,1)</f>
        <v>526.1</v>
      </c>
      <c r="D10" s="238">
        <f t="shared" ref="D10:E10" si="4">ROUND(D4*2^0.5*0.93,1)</f>
        <v>578.70000000000005</v>
      </c>
      <c r="E10" s="228">
        <f t="shared" si="4"/>
        <v>578.70000000000005</v>
      </c>
      <c r="F10" s="114" t="s">
        <v>0</v>
      </c>
      <c r="G10" s="115"/>
      <c r="H10" s="114" t="s">
        <v>292</v>
      </c>
      <c r="J10" s="70" t="s">
        <v>94</v>
      </c>
      <c r="K10" s="71">
        <v>0.2</v>
      </c>
      <c r="L10" s="69" t="s">
        <v>15</v>
      </c>
      <c r="M10" s="77"/>
      <c r="N10" s="249" t="s">
        <v>527</v>
      </c>
      <c r="O10" s="249"/>
      <c r="P10" s="249"/>
      <c r="Q10" s="77"/>
      <c r="R10" s="76" t="s">
        <v>222</v>
      </c>
      <c r="S10" s="67">
        <v>1</v>
      </c>
      <c r="T10" s="76" t="s">
        <v>223</v>
      </c>
      <c r="U10" s="77"/>
      <c r="V10" s="250" t="s">
        <v>271</v>
      </c>
      <c r="W10" s="250"/>
      <c r="X10" s="250"/>
    </row>
    <row r="11" spans="2:24" ht="16.5" x14ac:dyDescent="0.15">
      <c r="B11" s="114" t="s">
        <v>17</v>
      </c>
      <c r="C11" s="219">
        <f t="shared" ref="C11" si="5">ROUND(C3*1000/C10,1)</f>
        <v>28.5</v>
      </c>
      <c r="D11" s="238">
        <f t="shared" ref="D11:E11" si="6">ROUND(D3*1000/D10,1)</f>
        <v>25.9</v>
      </c>
      <c r="E11" s="228">
        <f t="shared" si="6"/>
        <v>25.9</v>
      </c>
      <c r="F11" s="114" t="s">
        <v>2</v>
      </c>
      <c r="G11" s="115"/>
      <c r="H11" s="114" t="s">
        <v>294</v>
      </c>
      <c r="J11" s="70" t="s">
        <v>282</v>
      </c>
      <c r="K11" s="71">
        <v>1</v>
      </c>
      <c r="L11" s="69" t="s">
        <v>42</v>
      </c>
      <c r="M11" s="77">
        <f>3.66*2</f>
        <v>7.32</v>
      </c>
      <c r="N11" s="69" t="s">
        <v>27</v>
      </c>
      <c r="O11" s="71">
        <v>0.52800000000000002</v>
      </c>
      <c r="P11" s="69" t="s">
        <v>28</v>
      </c>
      <c r="Q11" s="77"/>
      <c r="R11" s="76" t="s">
        <v>37</v>
      </c>
      <c r="S11" s="82">
        <v>35000</v>
      </c>
      <c r="T11" s="76" t="s">
        <v>224</v>
      </c>
      <c r="U11" s="77"/>
      <c r="V11" s="69" t="s">
        <v>108</v>
      </c>
      <c r="W11" s="71">
        <v>9284</v>
      </c>
      <c r="X11" s="69" t="s">
        <v>28</v>
      </c>
    </row>
    <row r="12" spans="2:24" ht="16.5" x14ac:dyDescent="0.15">
      <c r="B12" s="114"/>
      <c r="C12" s="221"/>
      <c r="D12" s="240"/>
      <c r="E12" s="230"/>
      <c r="F12" s="114"/>
      <c r="G12" s="115"/>
      <c r="H12" s="114"/>
      <c r="J12" s="70" t="s">
        <v>96</v>
      </c>
      <c r="K12" s="71">
        <v>1</v>
      </c>
      <c r="L12" s="69" t="s">
        <v>66</v>
      </c>
      <c r="M12" s="77"/>
      <c r="N12" s="69" t="s">
        <v>29</v>
      </c>
      <c r="O12" s="71">
        <v>0.27</v>
      </c>
      <c r="P12" s="69" t="s">
        <v>15</v>
      </c>
      <c r="Q12" s="77"/>
      <c r="R12" s="76" t="s">
        <v>254</v>
      </c>
      <c r="S12" s="95">
        <f>503.3*SQRT((S8/100000000)/(S10*S11))*1000</f>
        <v>0.37283287259508113</v>
      </c>
      <c r="T12" s="76" t="s">
        <v>225</v>
      </c>
      <c r="U12" s="77"/>
      <c r="V12" s="69" t="s">
        <v>110</v>
      </c>
      <c r="W12" s="71">
        <v>675</v>
      </c>
      <c r="X12" s="69" t="s">
        <v>0</v>
      </c>
    </row>
    <row r="13" spans="2:24" ht="16.5" x14ac:dyDescent="0.15">
      <c r="B13" s="112" t="s">
        <v>239</v>
      </c>
      <c r="C13" s="221"/>
      <c r="D13" s="240"/>
      <c r="E13" s="230"/>
      <c r="F13" s="114"/>
      <c r="G13" s="115"/>
      <c r="H13" s="114"/>
      <c r="J13" s="70" t="s">
        <v>99</v>
      </c>
      <c r="K13" s="83">
        <v>1</v>
      </c>
      <c r="L13" s="69" t="s">
        <v>67</v>
      </c>
      <c r="M13" s="77"/>
      <c r="N13" s="69" t="s">
        <v>30</v>
      </c>
      <c r="O13" s="88">
        <f>1/(2*3.14*SQRT((O11/1000000)*(O12/1000000)))</f>
        <v>421736.81406829093</v>
      </c>
      <c r="P13" s="69" t="s">
        <v>31</v>
      </c>
      <c r="Q13" s="77"/>
      <c r="R13" s="76" t="s">
        <v>255</v>
      </c>
      <c r="S13" s="89">
        <v>6126</v>
      </c>
      <c r="T13" s="76" t="s">
        <v>225</v>
      </c>
      <c r="U13" s="77"/>
      <c r="V13" s="69" t="s">
        <v>107</v>
      </c>
      <c r="W13" s="71">
        <v>4300</v>
      </c>
      <c r="X13" s="69" t="s">
        <v>2</v>
      </c>
    </row>
    <row r="14" spans="2:24" ht="16.5" x14ac:dyDescent="0.15">
      <c r="B14" s="114" t="s">
        <v>75</v>
      </c>
      <c r="C14" s="222">
        <v>0.48099999999999998</v>
      </c>
      <c r="D14" s="241">
        <v>0.48099999999999998</v>
      </c>
      <c r="E14" s="231">
        <v>0.48099999999999998</v>
      </c>
      <c r="F14" s="114" t="s">
        <v>15</v>
      </c>
      <c r="G14" s="115">
        <v>3</v>
      </c>
      <c r="H14" s="116" t="s">
        <v>289</v>
      </c>
      <c r="J14" s="70" t="s">
        <v>283</v>
      </c>
      <c r="K14" s="94">
        <f>K9/K12*K13*K11^2+K10</f>
        <v>0.48121484814398202</v>
      </c>
      <c r="L14" s="69" t="s">
        <v>15</v>
      </c>
      <c r="M14" s="77"/>
      <c r="N14" s="77"/>
      <c r="O14" s="77"/>
      <c r="P14" s="77"/>
      <c r="Q14" s="77"/>
      <c r="R14" s="76" t="s">
        <v>280</v>
      </c>
      <c r="S14" s="89">
        <v>5</v>
      </c>
      <c r="T14" s="76" t="s">
        <v>225</v>
      </c>
      <c r="U14" s="77"/>
      <c r="V14" s="69" t="s">
        <v>112</v>
      </c>
      <c r="W14" s="71">
        <v>800</v>
      </c>
      <c r="X14" s="69" t="s">
        <v>25</v>
      </c>
    </row>
    <row r="15" spans="2:24" ht="16.5" x14ac:dyDescent="0.15">
      <c r="B15" s="114" t="s">
        <v>76</v>
      </c>
      <c r="C15" s="217">
        <v>42</v>
      </c>
      <c r="D15" s="236">
        <v>42</v>
      </c>
      <c r="E15" s="226">
        <v>42</v>
      </c>
      <c r="F15" s="114" t="s">
        <v>28</v>
      </c>
      <c r="G15" s="115">
        <v>4</v>
      </c>
      <c r="H15" s="116" t="s">
        <v>291</v>
      </c>
      <c r="I15" s="2"/>
      <c r="J15" s="77"/>
      <c r="K15" s="77"/>
      <c r="L15" s="77"/>
      <c r="M15" s="77"/>
      <c r="N15" s="249" t="s">
        <v>248</v>
      </c>
      <c r="O15" s="249"/>
      <c r="P15" s="249"/>
      <c r="Q15" s="77"/>
      <c r="R15" s="76" t="s">
        <v>278</v>
      </c>
      <c r="S15" s="90">
        <f>MIN(S12,S14)</f>
        <v>0.37283287259508113</v>
      </c>
      <c r="T15" s="76" t="s">
        <v>225</v>
      </c>
      <c r="U15" s="77"/>
      <c r="V15" s="69" t="s">
        <v>113</v>
      </c>
      <c r="W15" s="72">
        <f>(1.414*W13*0.421)/(2*3.14159*W14*W12*2*W11*0.000001)*2*100</f>
        <v>8.1262759844751162</v>
      </c>
      <c r="X15" s="69" t="s">
        <v>7</v>
      </c>
    </row>
    <row r="16" spans="2:24" ht="16.5" x14ac:dyDescent="0.15">
      <c r="B16" s="114" t="s">
        <v>77</v>
      </c>
      <c r="C16" s="219">
        <f t="shared" ref="C16" si="7">1000/(2*PI()*(C14*C15)^0.5)</f>
        <v>35.409757150040313</v>
      </c>
      <c r="D16" s="238">
        <f t="shared" ref="D16:E16" si="8">1000/(2*PI()*(D14*D15)^0.5)</f>
        <v>35.409757150040313</v>
      </c>
      <c r="E16" s="228">
        <f t="shared" si="8"/>
        <v>35.409757150040313</v>
      </c>
      <c r="F16" s="114" t="s">
        <v>4</v>
      </c>
      <c r="G16" s="115"/>
      <c r="H16" s="114" t="s">
        <v>247</v>
      </c>
      <c r="J16" s="250" t="s">
        <v>226</v>
      </c>
      <c r="K16" s="250"/>
      <c r="L16" s="250"/>
      <c r="M16" s="77" t="s">
        <v>529</v>
      </c>
      <c r="N16" s="69" t="s">
        <v>32</v>
      </c>
      <c r="O16" s="71">
        <v>42</v>
      </c>
      <c r="P16" s="69" t="s">
        <v>33</v>
      </c>
      <c r="Q16" s="77"/>
      <c r="R16" s="76" t="s">
        <v>276</v>
      </c>
      <c r="S16" s="89">
        <v>200</v>
      </c>
      <c r="T16" s="76" t="s">
        <v>225</v>
      </c>
      <c r="U16" s="77"/>
      <c r="V16" s="69" t="s">
        <v>109</v>
      </c>
      <c r="W16" s="88">
        <f>W12*W15/100</f>
        <v>54.852362895207037</v>
      </c>
      <c r="X16" s="69" t="s">
        <v>0</v>
      </c>
    </row>
    <row r="17" spans="2:25" ht="16.5" x14ac:dyDescent="0.15">
      <c r="B17" s="114" t="s">
        <v>78</v>
      </c>
      <c r="C17" s="217">
        <v>30</v>
      </c>
      <c r="D17" s="236">
        <v>30</v>
      </c>
      <c r="E17" s="226">
        <v>30</v>
      </c>
      <c r="F17" s="114" t="s">
        <v>79</v>
      </c>
      <c r="G17" s="115">
        <v>5</v>
      </c>
      <c r="H17" s="116" t="s">
        <v>272</v>
      </c>
      <c r="J17" s="84" t="s">
        <v>231</v>
      </c>
      <c r="K17" s="85">
        <v>21</v>
      </c>
      <c r="L17" s="84" t="s">
        <v>28</v>
      </c>
      <c r="M17" s="77"/>
      <c r="N17" s="69" t="s">
        <v>34</v>
      </c>
      <c r="O17" s="71">
        <v>17.34</v>
      </c>
      <c r="P17" s="69" t="s">
        <v>4</v>
      </c>
      <c r="Q17" s="77"/>
      <c r="R17" s="76" t="s">
        <v>275</v>
      </c>
      <c r="S17" s="95">
        <f>S15*S16</f>
        <v>74.566574519016228</v>
      </c>
      <c r="T17" s="76" t="s">
        <v>251</v>
      </c>
      <c r="U17" s="77"/>
      <c r="V17" s="69" t="s">
        <v>111</v>
      </c>
      <c r="W17" s="88">
        <f>2*3.14159*W14*W11*0.000001*W16</f>
        <v>2559.7641999999996</v>
      </c>
      <c r="X17" s="69" t="s">
        <v>2</v>
      </c>
    </row>
    <row r="18" spans="2:25" ht="16.5" x14ac:dyDescent="0.15">
      <c r="B18" s="114" t="s">
        <v>80</v>
      </c>
      <c r="C18" s="220">
        <f t="shared" ref="C18" si="9">ROUNDUP(TAN(PI()*C17/180),3)</f>
        <v>0.57799999999999996</v>
      </c>
      <c r="D18" s="239">
        <f t="shared" ref="D18:E18" si="10">ROUNDUP(TAN(PI()*D17/180),3)</f>
        <v>0.57799999999999996</v>
      </c>
      <c r="E18" s="229">
        <f t="shared" si="10"/>
        <v>0.57799999999999996</v>
      </c>
      <c r="F18" s="114"/>
      <c r="G18" s="115"/>
      <c r="H18" s="114"/>
      <c r="J18" s="84" t="s">
        <v>227</v>
      </c>
      <c r="K18" s="85">
        <v>1</v>
      </c>
      <c r="L18" s="84" t="s">
        <v>234</v>
      </c>
      <c r="M18" s="77"/>
      <c r="N18" s="69" t="s">
        <v>35</v>
      </c>
      <c r="O18" s="71">
        <v>1396</v>
      </c>
      <c r="P18" s="69" t="s">
        <v>2</v>
      </c>
      <c r="Q18" s="77"/>
      <c r="R18" s="76" t="s">
        <v>256</v>
      </c>
      <c r="S18" s="89">
        <v>1000</v>
      </c>
      <c r="T18" s="68" t="s">
        <v>252</v>
      </c>
      <c r="U18" s="77"/>
      <c r="V18" s="77"/>
    </row>
    <row r="19" spans="2:25" ht="16.5" x14ac:dyDescent="0.15">
      <c r="B19" s="114"/>
      <c r="C19" s="221"/>
      <c r="D19" s="240"/>
      <c r="E19" s="230"/>
      <c r="F19" s="114"/>
      <c r="G19" s="115"/>
      <c r="H19" s="114"/>
      <c r="J19" s="84" t="s">
        <v>229</v>
      </c>
      <c r="K19" s="85">
        <v>500</v>
      </c>
      <c r="L19" s="84" t="s">
        <v>0</v>
      </c>
      <c r="M19" s="77"/>
      <c r="N19" s="69" t="s">
        <v>36</v>
      </c>
      <c r="O19" s="88">
        <f>(O18)/(2*3.14*O17*1000*(O16/1000000))</f>
        <v>305.2301225223448</v>
      </c>
      <c r="P19" s="69" t="s">
        <v>0</v>
      </c>
      <c r="Q19" s="77"/>
      <c r="R19" s="76" t="s">
        <v>517</v>
      </c>
      <c r="S19" s="91">
        <f>S18/S17</f>
        <v>13.410834632680848</v>
      </c>
      <c r="T19" s="68" t="s">
        <v>252</v>
      </c>
      <c r="U19" s="77"/>
      <c r="V19" s="250" t="s">
        <v>512</v>
      </c>
      <c r="W19" s="250"/>
      <c r="X19" s="250"/>
    </row>
    <row r="20" spans="2:25" ht="16.5" x14ac:dyDescent="0.15">
      <c r="B20" s="114" t="s">
        <v>41</v>
      </c>
      <c r="C20" s="222">
        <v>8</v>
      </c>
      <c r="D20" s="241">
        <v>12</v>
      </c>
      <c r="E20" s="231">
        <v>16</v>
      </c>
      <c r="F20" s="114"/>
      <c r="G20" s="115">
        <v>6</v>
      </c>
      <c r="H20" s="116" t="s">
        <v>290</v>
      </c>
      <c r="J20" s="84" t="s">
        <v>230</v>
      </c>
      <c r="K20" s="85">
        <v>1000</v>
      </c>
      <c r="L20" s="84" t="s">
        <v>2</v>
      </c>
      <c r="M20" s="77"/>
      <c r="N20" s="77"/>
      <c r="O20" s="77"/>
      <c r="P20" s="77"/>
      <c r="Q20" s="77"/>
      <c r="R20" s="76" t="s">
        <v>257</v>
      </c>
      <c r="S20" s="91">
        <f>S8/100000000*(S18^2)/(S17/1000000)*S13/1000</f>
        <v>1577.8851081592136</v>
      </c>
      <c r="T20" s="68" t="s">
        <v>253</v>
      </c>
      <c r="U20" s="77"/>
      <c r="V20" s="148" t="s">
        <v>506</v>
      </c>
      <c r="W20" s="114">
        <v>0.9133</v>
      </c>
      <c r="X20" s="114" t="s">
        <v>505</v>
      </c>
    </row>
    <row r="21" spans="2:25" ht="16.5" x14ac:dyDescent="0.15">
      <c r="B21" s="114" t="s">
        <v>81</v>
      </c>
      <c r="C21" s="223">
        <f t="shared" ref="C21" si="11">C16*((C18/C20)+(((C18/C20)^2+4)^0.5))/2</f>
        <v>36.712032237036119</v>
      </c>
      <c r="D21" s="242">
        <f t="shared" ref="D21:E21" si="12">D16*((D18/D20)+(((D18/D20)^2+4)^0.5))/2</f>
        <v>36.272809598676886</v>
      </c>
      <c r="E21" s="232">
        <f t="shared" si="12"/>
        <v>36.055121703300593</v>
      </c>
      <c r="F21" s="114" t="s">
        <v>4</v>
      </c>
      <c r="G21" s="115"/>
      <c r="H21" s="117" t="s">
        <v>270</v>
      </c>
      <c r="J21" s="84" t="s">
        <v>228</v>
      </c>
      <c r="K21" s="85">
        <v>1</v>
      </c>
      <c r="L21" s="84" t="s">
        <v>234</v>
      </c>
      <c r="M21" s="77"/>
      <c r="N21" s="249" t="s">
        <v>249</v>
      </c>
      <c r="O21" s="249"/>
      <c r="P21" s="249"/>
      <c r="Q21" s="77"/>
      <c r="R21" s="77"/>
      <c r="S21" s="77"/>
      <c r="T21" s="77"/>
      <c r="U21" s="77"/>
      <c r="V21" s="84" t="s">
        <v>507</v>
      </c>
      <c r="W21" s="123">
        <v>3</v>
      </c>
      <c r="X21" s="114" t="s">
        <v>328</v>
      </c>
    </row>
    <row r="22" spans="2:25" ht="16.5" x14ac:dyDescent="0.15">
      <c r="B22" s="114" t="s">
        <v>311</v>
      </c>
      <c r="C22" s="220">
        <f t="shared" ref="C22" si="13">2*PI()*C16*C14</f>
        <v>107.01579767670262</v>
      </c>
      <c r="D22" s="239">
        <f t="shared" ref="D22:E22" si="14">2*PI()*D16*D14</f>
        <v>107.01579767670262</v>
      </c>
      <c r="E22" s="229">
        <f t="shared" si="14"/>
        <v>107.01579767670262</v>
      </c>
      <c r="F22" s="114" t="s">
        <v>83</v>
      </c>
      <c r="G22" s="115"/>
      <c r="H22" s="114"/>
      <c r="J22" s="84" t="s">
        <v>235</v>
      </c>
      <c r="K22" s="85">
        <v>1</v>
      </c>
      <c r="L22" s="84" t="s">
        <v>67</v>
      </c>
      <c r="M22" s="77"/>
      <c r="N22" s="70" t="s">
        <v>152</v>
      </c>
      <c r="O22" s="71">
        <v>680</v>
      </c>
      <c r="P22" s="69" t="s">
        <v>153</v>
      </c>
      <c r="Q22" s="77"/>
      <c r="R22" s="249" t="s">
        <v>515</v>
      </c>
      <c r="S22" s="249"/>
      <c r="T22" s="249"/>
      <c r="U22" s="77"/>
      <c r="V22" s="84" t="s">
        <v>508</v>
      </c>
      <c r="W22" s="147">
        <f>W20*W21</f>
        <v>2.7399</v>
      </c>
      <c r="X22" s="114" t="s">
        <v>505</v>
      </c>
    </row>
    <row r="23" spans="2:25" ht="16.5" x14ac:dyDescent="0.15">
      <c r="B23" s="114" t="s">
        <v>82</v>
      </c>
      <c r="C23" s="220">
        <f t="shared" ref="C23" si="15">2*PI()*C21*C14</f>
        <v>110.9515492448038</v>
      </c>
      <c r="D23" s="239">
        <f t="shared" ref="D23:E23" si="16">2*PI()*D21*D14</f>
        <v>109.62412525817457</v>
      </c>
      <c r="E23" s="229">
        <f t="shared" si="16"/>
        <v>108.96622625961479</v>
      </c>
      <c r="F23" s="114" t="s">
        <v>83</v>
      </c>
      <c r="G23" s="115"/>
      <c r="H23" s="114"/>
      <c r="J23" s="84" t="s">
        <v>236</v>
      </c>
      <c r="K23" s="85">
        <v>2</v>
      </c>
      <c r="L23" s="84" t="s">
        <v>66</v>
      </c>
      <c r="M23" s="77"/>
      <c r="N23" s="70" t="s">
        <v>154</v>
      </c>
      <c r="O23" s="71">
        <v>22</v>
      </c>
      <c r="P23" s="69" t="s">
        <v>155</v>
      </c>
      <c r="Q23" s="77"/>
      <c r="R23" s="69" t="s">
        <v>212</v>
      </c>
      <c r="S23" s="67" t="s">
        <v>213</v>
      </c>
      <c r="T23" s="67"/>
      <c r="U23" s="77"/>
      <c r="V23" s="84"/>
      <c r="W23" s="114"/>
      <c r="X23" s="114"/>
    </row>
    <row r="24" spans="2:25" ht="16.5" x14ac:dyDescent="0.15">
      <c r="B24" s="114" t="s">
        <v>84</v>
      </c>
      <c r="C24" s="220">
        <f t="shared" ref="C24" si="17">1000000/(2*PI()*C21*C15)</f>
        <v>103.21965786266207</v>
      </c>
      <c r="D24" s="239">
        <f t="shared" ref="D24:E24" si="18">1000000/(2*PI()*D21*D15)</f>
        <v>104.46953100341349</v>
      </c>
      <c r="E24" s="229">
        <f t="shared" si="18"/>
        <v>105.10028056854392</v>
      </c>
      <c r="F24" s="114" t="s">
        <v>83</v>
      </c>
      <c r="G24" s="115"/>
      <c r="H24" s="114"/>
      <c r="J24" s="84" t="s">
        <v>262</v>
      </c>
      <c r="K24" s="93">
        <f>K17*(K21/K18)*K23/K22</f>
        <v>42</v>
      </c>
      <c r="L24" s="84" t="s">
        <v>28</v>
      </c>
      <c r="M24" s="77"/>
      <c r="N24" s="70" t="s">
        <v>158</v>
      </c>
      <c r="O24" s="71">
        <v>66</v>
      </c>
      <c r="P24" s="69" t="s">
        <v>159</v>
      </c>
      <c r="Q24" s="77"/>
      <c r="R24" s="76" t="s">
        <v>214</v>
      </c>
      <c r="S24" s="78">
        <v>1.75</v>
      </c>
      <c r="T24" s="76" t="s">
        <v>215</v>
      </c>
      <c r="U24" s="77"/>
      <c r="V24" s="148" t="s">
        <v>509</v>
      </c>
      <c r="W24" s="114">
        <v>0.48</v>
      </c>
      <c r="X24" s="114" t="s">
        <v>505</v>
      </c>
    </row>
    <row r="25" spans="2:25" ht="16.5" x14ac:dyDescent="0.15">
      <c r="B25" s="114" t="s">
        <v>68</v>
      </c>
      <c r="C25" s="220">
        <f t="shared" ref="C25" si="19">C22/C20</f>
        <v>13.376974709587827</v>
      </c>
      <c r="D25" s="239">
        <f t="shared" ref="D25:E25" si="20">D22/D20</f>
        <v>8.9179831397252176</v>
      </c>
      <c r="E25" s="229">
        <f t="shared" si="20"/>
        <v>6.6884873547939137</v>
      </c>
      <c r="F25" s="114" t="s">
        <v>83</v>
      </c>
      <c r="G25" s="115"/>
      <c r="H25" s="114"/>
      <c r="J25" s="84" t="s">
        <v>232</v>
      </c>
      <c r="K25" s="86">
        <f>K19*K22</f>
        <v>500</v>
      </c>
      <c r="L25" s="84" t="s">
        <v>0</v>
      </c>
      <c r="M25" s="77"/>
      <c r="N25" s="70" t="s">
        <v>162</v>
      </c>
      <c r="O25" s="71">
        <v>2</v>
      </c>
      <c r="P25" s="69"/>
      <c r="Q25" s="77"/>
      <c r="R25" s="76" t="s">
        <v>216</v>
      </c>
      <c r="S25" s="79">
        <v>3.8999999999999998E-3</v>
      </c>
      <c r="T25" s="76" t="s">
        <v>217</v>
      </c>
      <c r="U25" s="77"/>
      <c r="V25" s="84" t="s">
        <v>510</v>
      </c>
      <c r="W25" s="123">
        <v>5</v>
      </c>
      <c r="X25" s="114" t="s">
        <v>328</v>
      </c>
    </row>
    <row r="26" spans="2:25" ht="16.5" x14ac:dyDescent="0.15">
      <c r="B26" s="114" t="s">
        <v>85</v>
      </c>
      <c r="C26" s="220">
        <f>(C25^2+(C23-C24)^2)^0.5</f>
        <v>15.450747448786736</v>
      </c>
      <c r="D26" s="239">
        <f>(D25^2+(D23-D24)^2)^0.5</f>
        <v>10.300498299191121</v>
      </c>
      <c r="E26" s="229">
        <f>(E25^2+(E23-E24)^2)^0.5</f>
        <v>7.7253737243933678</v>
      </c>
      <c r="F26" s="114" t="s">
        <v>83</v>
      </c>
      <c r="G26" s="115"/>
      <c r="H26" s="114"/>
      <c r="J26" s="84" t="s">
        <v>233</v>
      </c>
      <c r="K26" s="86">
        <f>K20*(K21/K18)*K23</f>
        <v>2000</v>
      </c>
      <c r="L26" s="84" t="s">
        <v>2</v>
      </c>
      <c r="M26" s="77"/>
      <c r="N26" s="70" t="s">
        <v>165</v>
      </c>
      <c r="O26" s="72">
        <f>O23*O24*O25*2</f>
        <v>5808</v>
      </c>
      <c r="P26" s="69" t="s">
        <v>155</v>
      </c>
      <c r="Q26" s="77"/>
      <c r="R26" s="76" t="s">
        <v>218</v>
      </c>
      <c r="S26" s="80">
        <v>45</v>
      </c>
      <c r="T26" s="76" t="s">
        <v>48</v>
      </c>
      <c r="U26" s="77"/>
      <c r="V26" s="84" t="s">
        <v>511</v>
      </c>
      <c r="W26" s="147">
        <f>W24*W25</f>
        <v>2.4</v>
      </c>
      <c r="X26" s="114" t="s">
        <v>505</v>
      </c>
    </row>
    <row r="27" spans="2:25" ht="16.5" x14ac:dyDescent="0.15">
      <c r="B27" s="114"/>
      <c r="C27" s="221"/>
      <c r="D27" s="240"/>
      <c r="E27" s="230"/>
      <c r="F27" s="114"/>
      <c r="G27" s="115"/>
      <c r="H27" s="114"/>
      <c r="J27" s="84" t="s">
        <v>47</v>
      </c>
      <c r="K27" s="86">
        <f>K25*K26/1000</f>
        <v>1000</v>
      </c>
      <c r="L27" s="84" t="s">
        <v>47</v>
      </c>
      <c r="M27" s="77"/>
      <c r="N27" s="70" t="s">
        <v>168</v>
      </c>
      <c r="O27" s="71">
        <v>20</v>
      </c>
      <c r="P27" s="69" t="s">
        <v>169</v>
      </c>
      <c r="Q27" s="77"/>
      <c r="R27" s="76" t="s">
        <v>219</v>
      </c>
      <c r="S27" s="79">
        <f>S24*(1+S25*(S26-20))</f>
        <v>1.9206249999999998</v>
      </c>
      <c r="T27" s="76" t="s">
        <v>215</v>
      </c>
      <c r="U27" s="77"/>
      <c r="V27" s="84"/>
      <c r="W27" s="114"/>
      <c r="X27" s="114"/>
    </row>
    <row r="28" spans="2:25" ht="16.5" x14ac:dyDescent="0.15">
      <c r="B28" s="114" t="s">
        <v>105</v>
      </c>
      <c r="C28" s="224">
        <f>(C3*1000000/C25)^0.5</f>
        <v>1058.928596230119</v>
      </c>
      <c r="D28" s="243">
        <f>(D3*1000000/D25)^0.5</f>
        <v>1296.9173674027331</v>
      </c>
      <c r="E28" s="233">
        <f>(E3*1000000/E25)^0.5</f>
        <v>1497.5511823733375</v>
      </c>
      <c r="F28" s="114" t="s">
        <v>2</v>
      </c>
      <c r="G28" s="115"/>
      <c r="H28" s="117" t="s">
        <v>269</v>
      </c>
      <c r="J28" s="77"/>
      <c r="K28" s="77"/>
      <c r="L28" s="77"/>
      <c r="M28" s="77"/>
      <c r="N28" s="70" t="s">
        <v>170</v>
      </c>
      <c r="O28" s="71">
        <v>300</v>
      </c>
      <c r="P28" s="69" t="s">
        <v>171</v>
      </c>
      <c r="Q28" s="77"/>
      <c r="R28" s="76" t="s">
        <v>220</v>
      </c>
      <c r="S28" s="81">
        <f>1/(S27/100000000)</f>
        <v>52066384.64041654</v>
      </c>
      <c r="T28" s="76" t="s">
        <v>221</v>
      </c>
      <c r="U28" s="77"/>
      <c r="V28" s="148" t="s">
        <v>509</v>
      </c>
      <c r="W28" s="114">
        <v>0.4133</v>
      </c>
      <c r="X28" s="114" t="s">
        <v>505</v>
      </c>
    </row>
    <row r="29" spans="2:25" ht="16.5" x14ac:dyDescent="0.15">
      <c r="B29" s="114" t="s">
        <v>103</v>
      </c>
      <c r="C29" s="220">
        <f>C28*C25/1000</f>
        <v>14.165261051029642</v>
      </c>
      <c r="D29" s="239">
        <f>D28*D25/1000</f>
        <v>11.56588721611439</v>
      </c>
      <c r="E29" s="229">
        <f>E28*E25/1000</f>
        <v>10.016352146460742</v>
      </c>
      <c r="F29" s="114" t="s">
        <v>0</v>
      </c>
      <c r="G29" s="115"/>
      <c r="H29" s="114"/>
      <c r="J29" s="250" t="s">
        <v>237</v>
      </c>
      <c r="K29" s="250"/>
      <c r="L29" s="250"/>
      <c r="M29" s="77"/>
      <c r="N29" s="70" t="s">
        <v>172</v>
      </c>
      <c r="O29" s="71">
        <v>1</v>
      </c>
      <c r="P29" s="69" t="s">
        <v>173</v>
      </c>
      <c r="Q29" s="77"/>
      <c r="R29" s="76" t="s">
        <v>222</v>
      </c>
      <c r="S29" s="67">
        <v>1</v>
      </c>
      <c r="T29" s="76" t="s">
        <v>223</v>
      </c>
      <c r="U29" s="77"/>
      <c r="V29" s="84" t="s">
        <v>510</v>
      </c>
      <c r="W29" s="123">
        <v>3</v>
      </c>
      <c r="X29" s="114" t="s">
        <v>328</v>
      </c>
    </row>
    <row r="30" spans="2:25" ht="16.5" x14ac:dyDescent="0.15">
      <c r="B30" s="114" t="s">
        <v>307</v>
      </c>
      <c r="C30" s="224">
        <f>C28/(2*3.14159*C21*1000*C15/1000000)</f>
        <v>109.30233972759866</v>
      </c>
      <c r="D30" s="243">
        <f>D28/(2*3.14159*D21*1000*D15/1000000)</f>
        <v>135.48846356495454</v>
      </c>
      <c r="E30" s="233">
        <f>E28/(2*3.14159*E21*1000*E15/1000000)</f>
        <v>157.39318237752622</v>
      </c>
      <c r="F30" s="114" t="s">
        <v>0</v>
      </c>
      <c r="G30" s="115"/>
      <c r="H30" s="117" t="s">
        <v>71</v>
      </c>
      <c r="J30" s="70" t="s">
        <v>37</v>
      </c>
      <c r="K30" s="71">
        <v>19760</v>
      </c>
      <c r="L30" s="70" t="s">
        <v>25</v>
      </c>
      <c r="M30" s="77"/>
      <c r="N30" s="70" t="s">
        <v>174</v>
      </c>
      <c r="O30" s="72">
        <f>O28*O29</f>
        <v>300</v>
      </c>
      <c r="P30" s="69" t="s">
        <v>171</v>
      </c>
      <c r="Q30" s="77"/>
      <c r="R30" s="76" t="s">
        <v>37</v>
      </c>
      <c r="S30" s="82">
        <v>30000</v>
      </c>
      <c r="T30" s="76" t="s">
        <v>224</v>
      </c>
      <c r="U30" s="77"/>
      <c r="V30" s="84" t="s">
        <v>511</v>
      </c>
      <c r="W30" s="147">
        <f>W28*W29</f>
        <v>1.2399</v>
      </c>
      <c r="X30" s="114" t="s">
        <v>505</v>
      </c>
    </row>
    <row r="31" spans="2:25" ht="16.5" x14ac:dyDescent="0.15">
      <c r="B31" s="114" t="s">
        <v>104</v>
      </c>
      <c r="C31" s="220">
        <f t="shared" ref="C31" si="21">C28*C26/1000</f>
        <v>16.361238306649831</v>
      </c>
      <c r="D31" s="239">
        <f t="shared" ref="D31:E31" si="22">D28*D26/1000</f>
        <v>13.358895137123278</v>
      </c>
      <c r="E31" s="229">
        <f t="shared" si="22"/>
        <v>11.569142555241202</v>
      </c>
      <c r="F31" s="114" t="s">
        <v>0</v>
      </c>
      <c r="G31" s="115"/>
      <c r="H31" s="114"/>
      <c r="J31" s="70" t="s">
        <v>52</v>
      </c>
      <c r="K31" s="71">
        <v>40</v>
      </c>
      <c r="L31" s="70" t="s">
        <v>28</v>
      </c>
      <c r="M31" s="77"/>
      <c r="N31" s="69"/>
      <c r="O31" s="69"/>
      <c r="P31" s="69"/>
      <c r="Q31" s="77"/>
      <c r="R31" s="76" t="s">
        <v>254</v>
      </c>
      <c r="S31" s="95">
        <f>503.3*SQRT((S27/100000000)/(S29*S30))*1000</f>
        <v>0.4027055285218758</v>
      </c>
      <c r="T31" s="76" t="s">
        <v>225</v>
      </c>
      <c r="U31" s="77"/>
      <c r="V31" s="77"/>
    </row>
    <row r="32" spans="2:25" ht="16.5" x14ac:dyDescent="0.15">
      <c r="B32" s="114" t="s">
        <v>102</v>
      </c>
      <c r="C32" s="220">
        <f>ROUNDUP(COS(PI()*C17/180),3)</f>
        <v>0.86699999999999999</v>
      </c>
      <c r="D32" s="239">
        <f>ROUNDUP(COS(PI()*D17/180),3)</f>
        <v>0.86699999999999999</v>
      </c>
      <c r="E32" s="229">
        <f>ROUNDUP(COS(PI()*E17/180),3)</f>
        <v>0.86699999999999999</v>
      </c>
      <c r="F32" s="114"/>
      <c r="G32" s="115"/>
      <c r="H32" s="114"/>
      <c r="J32" s="70" t="s">
        <v>53</v>
      </c>
      <c r="K32" s="71">
        <v>53.4</v>
      </c>
      <c r="L32" s="70" t="s">
        <v>2</v>
      </c>
      <c r="M32" s="77"/>
      <c r="N32" s="73" t="s">
        <v>175</v>
      </c>
      <c r="O32" s="251" t="s">
        <v>176</v>
      </c>
      <c r="P32" s="251"/>
      <c r="Q32" s="77"/>
      <c r="R32" s="76" t="s">
        <v>255</v>
      </c>
      <c r="S32" s="89">
        <v>6126</v>
      </c>
      <c r="T32" s="76" t="s">
        <v>225</v>
      </c>
      <c r="U32" s="77"/>
      <c r="V32" s="249" t="s">
        <v>519</v>
      </c>
      <c r="W32" s="249"/>
      <c r="X32" s="249"/>
      <c r="Y32" s="77" t="s">
        <v>529</v>
      </c>
    </row>
    <row r="33" spans="2:24" ht="16.5" x14ac:dyDescent="0.15">
      <c r="B33" s="114" t="s">
        <v>101</v>
      </c>
      <c r="C33" s="225">
        <f>C30/(C25*C28/1000)</f>
        <v>7.7162248781609089</v>
      </c>
      <c r="D33" s="244">
        <f>D30/(D25*D28/1000)</f>
        <v>11.714489432006797</v>
      </c>
      <c r="E33" s="234">
        <f>E30/(E25*E28/1000)</f>
        <v>15.713623091131115</v>
      </c>
      <c r="F33" s="114"/>
      <c r="G33" s="115"/>
      <c r="H33" s="117" t="s">
        <v>267</v>
      </c>
      <c r="J33" s="70" t="s">
        <v>54</v>
      </c>
      <c r="K33" s="71">
        <v>9.5</v>
      </c>
      <c r="L33" s="70" t="s">
        <v>1</v>
      </c>
      <c r="M33" s="77"/>
      <c r="N33" s="70" t="s">
        <v>177</v>
      </c>
      <c r="O33" s="71">
        <v>30</v>
      </c>
      <c r="P33" s="69" t="s">
        <v>178</v>
      </c>
      <c r="Q33" s="77"/>
      <c r="R33" s="76" t="s">
        <v>279</v>
      </c>
      <c r="S33" s="89">
        <v>2</v>
      </c>
      <c r="T33" s="76" t="s">
        <v>225</v>
      </c>
      <c r="U33" s="77"/>
      <c r="V33" s="69" t="s">
        <v>520</v>
      </c>
      <c r="W33" s="71">
        <v>380</v>
      </c>
      <c r="X33" s="69" t="s">
        <v>0</v>
      </c>
    </row>
    <row r="34" spans="2:24" ht="16.5" x14ac:dyDescent="0.15">
      <c r="B34" s="114" t="s">
        <v>308</v>
      </c>
      <c r="C34" s="224">
        <f>C30+C28*C18*C25/1000</f>
        <v>117.48986061509379</v>
      </c>
      <c r="D34" s="243">
        <f>D30+D28*D18*D25/1000</f>
        <v>142.17354637586865</v>
      </c>
      <c r="E34" s="233">
        <f>E30+E28*E18*E25/1000</f>
        <v>163.18263391818053</v>
      </c>
      <c r="F34" s="114" t="s">
        <v>0</v>
      </c>
      <c r="G34" s="115"/>
      <c r="H34" s="117" t="s">
        <v>266</v>
      </c>
      <c r="J34" s="70" t="s">
        <v>286</v>
      </c>
      <c r="K34" s="71">
        <v>14</v>
      </c>
      <c r="L34" s="70" t="s">
        <v>42</v>
      </c>
      <c r="M34" s="77"/>
      <c r="N34" s="70" t="s">
        <v>179</v>
      </c>
      <c r="O34" s="74">
        <f>O28*SQRT(2)*SIN(O33*PI()/180)</f>
        <v>212.13203435596424</v>
      </c>
      <c r="P34" s="69" t="s">
        <v>180</v>
      </c>
      <c r="Q34" s="77"/>
      <c r="R34" s="76" t="s">
        <v>278</v>
      </c>
      <c r="S34" s="90">
        <f>MIN(S31,S33)</f>
        <v>0.4027055285218758</v>
      </c>
      <c r="T34" s="76" t="s">
        <v>225</v>
      </c>
      <c r="U34" s="77"/>
      <c r="V34" s="69" t="s">
        <v>64</v>
      </c>
      <c r="W34" s="71">
        <v>75</v>
      </c>
      <c r="X34" s="69" t="s">
        <v>2</v>
      </c>
    </row>
    <row r="35" spans="2:24" ht="16.5" x14ac:dyDescent="0.15">
      <c r="B35" s="114"/>
      <c r="C35" s="221"/>
      <c r="D35" s="240"/>
      <c r="E35" s="230"/>
      <c r="F35" s="114"/>
      <c r="G35" s="115"/>
      <c r="H35" s="114"/>
      <c r="J35" s="70" t="s">
        <v>55</v>
      </c>
      <c r="K35" s="72">
        <f>(K32*K34)/(2*3.1415*K30*(K31/1000000))</f>
        <v>150.54117498474449</v>
      </c>
      <c r="L35" s="70" t="s">
        <v>56</v>
      </c>
      <c r="M35" s="77"/>
      <c r="N35" s="70" t="s">
        <v>181</v>
      </c>
      <c r="O35" s="87">
        <f>O22*O26/O34</f>
        <v>18617.838705929324</v>
      </c>
      <c r="P35" s="69" t="s">
        <v>182</v>
      </c>
      <c r="Q35" s="77"/>
      <c r="R35" s="76" t="s">
        <v>258</v>
      </c>
      <c r="S35" s="89">
        <v>7.9</v>
      </c>
      <c r="T35" s="76" t="s">
        <v>225</v>
      </c>
      <c r="U35" s="77"/>
      <c r="V35" s="69" t="s">
        <v>523</v>
      </c>
      <c r="W35" s="88">
        <f>W33</f>
        <v>380</v>
      </c>
      <c r="X35" s="69" t="s">
        <v>521</v>
      </c>
    </row>
    <row r="36" spans="2:24" ht="16.5" x14ac:dyDescent="0.15">
      <c r="B36" s="114" t="s">
        <v>86</v>
      </c>
      <c r="C36" s="220">
        <v>1</v>
      </c>
      <c r="D36" s="239">
        <v>1</v>
      </c>
      <c r="E36" s="229">
        <v>1</v>
      </c>
      <c r="F36" s="114"/>
      <c r="G36" s="115"/>
      <c r="H36" s="114" t="s">
        <v>87</v>
      </c>
      <c r="J36" s="70" t="s">
        <v>57</v>
      </c>
      <c r="K36" s="72">
        <f>K32*K34</f>
        <v>747.6</v>
      </c>
      <c r="L36" s="70"/>
      <c r="M36" s="77"/>
      <c r="N36" s="69"/>
      <c r="O36" s="69"/>
      <c r="P36" s="69"/>
      <c r="Q36" s="77"/>
      <c r="R36" s="76" t="s">
        <v>277</v>
      </c>
      <c r="S36" s="95">
        <f>(PI()*(S35/2)^2)-(PI()*(S35/2-S34)^2)</f>
        <v>9.4851026112254075</v>
      </c>
      <c r="T36" s="76" t="s">
        <v>251</v>
      </c>
      <c r="U36" s="77"/>
      <c r="V36" s="69" t="s">
        <v>524</v>
      </c>
      <c r="W36" s="88">
        <f>W34*1.25</f>
        <v>93.75</v>
      </c>
      <c r="X36" s="69" t="s">
        <v>522</v>
      </c>
    </row>
    <row r="37" spans="2:24" ht="16.5" x14ac:dyDescent="0.15">
      <c r="B37" s="114" t="s">
        <v>309</v>
      </c>
      <c r="C37" s="220">
        <f>C10/C36*4/PI()/2^0.5</f>
        <v>473.65641393025351</v>
      </c>
      <c r="D37" s="239">
        <f>D10/D36*4/PI()/2^0.5</f>
        <v>521.01305216011724</v>
      </c>
      <c r="E37" s="229">
        <f>E10/E36*4/PI()/2^0.5</f>
        <v>521.01305216011724</v>
      </c>
      <c r="F37" s="114" t="s">
        <v>0</v>
      </c>
      <c r="G37" s="115"/>
      <c r="H37" s="114" t="s">
        <v>246</v>
      </c>
      <c r="J37" s="70" t="s">
        <v>528</v>
      </c>
      <c r="K37" s="72">
        <f>K35*K36/1000</f>
        <v>112.54458241859497</v>
      </c>
      <c r="L37" s="70" t="s">
        <v>528</v>
      </c>
      <c r="M37" s="77"/>
      <c r="N37" s="73" t="s">
        <v>183</v>
      </c>
      <c r="O37" s="70"/>
      <c r="P37" s="70"/>
      <c r="Q37" s="77"/>
      <c r="R37" s="76" t="s">
        <v>256</v>
      </c>
      <c r="S37" s="89">
        <v>200</v>
      </c>
      <c r="T37" s="68" t="s">
        <v>252</v>
      </c>
      <c r="U37" s="77"/>
      <c r="V37" s="77"/>
    </row>
    <row r="38" spans="2:24" ht="16.5" x14ac:dyDescent="0.15">
      <c r="B38" s="114" t="s">
        <v>88</v>
      </c>
      <c r="C38" s="217">
        <v>28</v>
      </c>
      <c r="D38" s="236">
        <v>28</v>
      </c>
      <c r="E38" s="226">
        <v>28</v>
      </c>
      <c r="F38" s="114" t="s">
        <v>42</v>
      </c>
      <c r="G38" s="115">
        <v>7</v>
      </c>
      <c r="H38" s="116" t="s">
        <v>274</v>
      </c>
      <c r="J38" s="70" t="s">
        <v>41</v>
      </c>
      <c r="K38" s="88">
        <f>K37/K33</f>
        <v>11.846798149325787</v>
      </c>
      <c r="L38" s="70"/>
      <c r="M38" s="77"/>
      <c r="N38" s="70" t="s">
        <v>184</v>
      </c>
      <c r="O38" s="74">
        <f>O22*O26/O27/1000</f>
        <v>197.47200000000001</v>
      </c>
      <c r="P38" s="69" t="s">
        <v>180</v>
      </c>
      <c r="Q38" s="77"/>
      <c r="R38" s="76" t="s">
        <v>517</v>
      </c>
      <c r="S38" s="91">
        <f>S37/S36</f>
        <v>21.085697034347785</v>
      </c>
      <c r="T38" s="68" t="s">
        <v>252</v>
      </c>
      <c r="U38" s="77"/>
      <c r="V38" s="249" t="s">
        <v>526</v>
      </c>
      <c r="W38" s="249"/>
      <c r="X38" s="249"/>
    </row>
    <row r="39" spans="2:24" ht="16.5" x14ac:dyDescent="0.15">
      <c r="B39" s="114" t="s">
        <v>89</v>
      </c>
      <c r="C39" s="220">
        <f t="shared" ref="C39" si="23">ROUND(C37/C38,1)</f>
        <v>16.899999999999999</v>
      </c>
      <c r="D39" s="239">
        <f t="shared" ref="D39:E39" si="24">ROUND(D37/D38,1)</f>
        <v>18.600000000000001</v>
      </c>
      <c r="E39" s="229">
        <f t="shared" si="24"/>
        <v>18.600000000000001</v>
      </c>
      <c r="F39" s="114" t="s">
        <v>0</v>
      </c>
      <c r="G39" s="115"/>
      <c r="H39" s="114" t="s">
        <v>310</v>
      </c>
      <c r="J39" s="77"/>
      <c r="K39" s="77"/>
      <c r="L39" s="77"/>
      <c r="M39" s="77"/>
      <c r="N39" s="70" t="s">
        <v>185</v>
      </c>
      <c r="O39" s="74">
        <f>O38/SIN(O33*PI()/180)/SQRT(2)</f>
        <v>279.26758058893984</v>
      </c>
      <c r="P39" s="69" t="s">
        <v>171</v>
      </c>
      <c r="Q39" s="77"/>
      <c r="R39" s="76" t="s">
        <v>257</v>
      </c>
      <c r="S39" s="91">
        <f>S27/100000000*(S37^2)/(S36/1000000)*S32/1000</f>
        <v>496.1780270495122</v>
      </c>
      <c r="T39" s="68" t="s">
        <v>253</v>
      </c>
      <c r="U39" s="77"/>
      <c r="V39" s="69" t="s">
        <v>27</v>
      </c>
      <c r="W39" s="71">
        <v>0.52800000000000002</v>
      </c>
      <c r="X39" s="69" t="s">
        <v>28</v>
      </c>
    </row>
    <row r="40" spans="2:24" ht="16.5" x14ac:dyDescent="0.15">
      <c r="B40" s="114"/>
      <c r="C40" s="221"/>
      <c r="D40" s="240"/>
      <c r="E40" s="230"/>
      <c r="F40" s="114"/>
      <c r="G40" s="115"/>
      <c r="H40" s="114"/>
      <c r="J40" s="250" t="s">
        <v>238</v>
      </c>
      <c r="K40" s="250"/>
      <c r="L40" s="250"/>
      <c r="M40" s="77"/>
      <c r="N40" s="70" t="s">
        <v>174</v>
      </c>
      <c r="O40" s="87">
        <f>O39*O29</f>
        <v>279.26758058893984</v>
      </c>
      <c r="P40" s="69" t="s">
        <v>171</v>
      </c>
      <c r="Q40" s="77"/>
      <c r="R40" s="77"/>
      <c r="S40" s="77"/>
      <c r="T40" s="77"/>
      <c r="U40" s="77"/>
      <c r="V40" s="69" t="s">
        <v>29</v>
      </c>
      <c r="W40" s="71">
        <v>0.27</v>
      </c>
      <c r="X40" s="69" t="s">
        <v>15</v>
      </c>
    </row>
    <row r="41" spans="2:24" ht="16.5" x14ac:dyDescent="0.15">
      <c r="B41" s="114" t="s">
        <v>72</v>
      </c>
      <c r="C41" s="225">
        <f t="shared" ref="C41" si="25">C31/C39*100</f>
        <v>96.812060986093684</v>
      </c>
      <c r="D41" s="244">
        <f t="shared" ref="D41:E41" si="26">D31/D39*100</f>
        <v>71.822016866254174</v>
      </c>
      <c r="E41" s="234">
        <f t="shared" si="26"/>
        <v>62.199691157210758</v>
      </c>
      <c r="F41" s="114" t="s">
        <v>7</v>
      </c>
      <c r="G41" s="115"/>
      <c r="H41" s="118" t="s">
        <v>273</v>
      </c>
      <c r="J41" s="84" t="s">
        <v>18</v>
      </c>
      <c r="K41" s="85">
        <v>40</v>
      </c>
      <c r="L41" s="84" t="s">
        <v>263</v>
      </c>
      <c r="M41" s="77"/>
      <c r="N41" s="70" t="s">
        <v>186</v>
      </c>
      <c r="O41" s="74">
        <f>O40/O30*100</f>
        <v>93.089193529646607</v>
      </c>
      <c r="P41" s="75" t="s">
        <v>187</v>
      </c>
      <c r="Q41" s="77"/>
      <c r="R41" s="249" t="s">
        <v>516</v>
      </c>
      <c r="S41" s="249"/>
      <c r="T41" s="249"/>
      <c r="U41" s="77" t="s">
        <v>529</v>
      </c>
      <c r="V41" s="69" t="s">
        <v>30</v>
      </c>
      <c r="W41" s="88">
        <f>1/(2*3.14*SQRT((W39/1000000)*(W40/1000000)))</f>
        <v>421736.81406829093</v>
      </c>
      <c r="X41" s="69" t="s">
        <v>31</v>
      </c>
    </row>
    <row r="42" spans="2:24" ht="16.5" x14ac:dyDescent="0.15">
      <c r="B42" s="114"/>
      <c r="C42" s="221"/>
      <c r="D42" s="240"/>
      <c r="E42" s="230"/>
      <c r="F42" s="114"/>
      <c r="G42" s="115"/>
      <c r="H42" s="114"/>
      <c r="J42" s="84" t="s">
        <v>100</v>
      </c>
      <c r="K42" s="85">
        <v>127</v>
      </c>
      <c r="L42" s="84" t="s">
        <v>2</v>
      </c>
      <c r="M42" s="77"/>
      <c r="N42" s="70" t="s">
        <v>188</v>
      </c>
      <c r="O42" s="74">
        <f>O41*O41/100</f>
        <v>86.655979520000002</v>
      </c>
      <c r="P42" s="75" t="s">
        <v>187</v>
      </c>
      <c r="Q42" s="77"/>
      <c r="R42" s="69" t="s">
        <v>212</v>
      </c>
      <c r="S42" s="67" t="s">
        <v>213</v>
      </c>
      <c r="T42" s="67"/>
      <c r="U42" s="77"/>
      <c r="V42" s="77"/>
    </row>
    <row r="43" spans="2:24" ht="16.5" x14ac:dyDescent="0.15">
      <c r="B43" s="114" t="s">
        <v>90</v>
      </c>
      <c r="C43" s="224">
        <f t="shared" ref="C43" si="27">C28/C38</f>
        <v>37.818878436789966</v>
      </c>
      <c r="D43" s="243">
        <f t="shared" ref="D43:E43" si="28">D28/D38</f>
        <v>46.318477407240472</v>
      </c>
      <c r="E43" s="233">
        <f t="shared" si="28"/>
        <v>53.483970799047768</v>
      </c>
      <c r="F43" s="114" t="s">
        <v>2</v>
      </c>
      <c r="G43" s="115"/>
      <c r="H43" s="117" t="s">
        <v>268</v>
      </c>
      <c r="J43" s="84" t="s">
        <v>44</v>
      </c>
      <c r="K43" s="85">
        <v>401</v>
      </c>
      <c r="L43" s="84" t="s">
        <v>0</v>
      </c>
      <c r="M43" s="77"/>
      <c r="N43" s="77"/>
      <c r="O43" s="77"/>
      <c r="P43" s="77"/>
      <c r="Q43" s="77"/>
      <c r="R43" s="76" t="s">
        <v>214</v>
      </c>
      <c r="S43" s="78">
        <v>1.75</v>
      </c>
      <c r="T43" s="76" t="s">
        <v>215</v>
      </c>
      <c r="U43" s="77"/>
      <c r="V43" s="77"/>
    </row>
    <row r="44" spans="2:24" ht="16.5" x14ac:dyDescent="0.15">
      <c r="B44" s="114" t="s">
        <v>91</v>
      </c>
      <c r="C44" s="220">
        <f t="shared" ref="C44" si="29">ROUND(C43*2^0.5*2/PI(),0)</f>
        <v>34</v>
      </c>
      <c r="D44" s="239">
        <f t="shared" ref="D44:E44" si="30">ROUND(D43*2^0.5*2/PI(),0)</f>
        <v>42</v>
      </c>
      <c r="E44" s="229">
        <f t="shared" si="30"/>
        <v>48</v>
      </c>
      <c r="F44" s="114" t="s">
        <v>2</v>
      </c>
      <c r="G44" s="115"/>
      <c r="H44" s="114"/>
      <c r="J44" s="84" t="s">
        <v>492</v>
      </c>
      <c r="K44" s="85">
        <v>1</v>
      </c>
      <c r="L44" s="84"/>
      <c r="M44" s="77"/>
      <c r="N44" s="249" t="s">
        <v>250</v>
      </c>
      <c r="O44" s="249"/>
      <c r="P44" s="249"/>
      <c r="Q44" s="77"/>
      <c r="R44" s="76" t="s">
        <v>216</v>
      </c>
      <c r="S44" s="79">
        <v>3.8999999999999998E-3</v>
      </c>
      <c r="T44" s="76" t="s">
        <v>217</v>
      </c>
      <c r="U44" s="77"/>
      <c r="V44" s="77"/>
    </row>
    <row r="45" spans="2:24" ht="16.5" x14ac:dyDescent="0.15">
      <c r="B45" s="114" t="s">
        <v>92</v>
      </c>
      <c r="C45" s="220">
        <f t="shared" ref="C45" si="31">C44/C36</f>
        <v>34</v>
      </c>
      <c r="D45" s="239">
        <f t="shared" ref="D45:E45" si="32">D44/D36</f>
        <v>42</v>
      </c>
      <c r="E45" s="229">
        <f t="shared" si="32"/>
        <v>48</v>
      </c>
      <c r="F45" s="114" t="s">
        <v>2</v>
      </c>
      <c r="G45" s="115"/>
      <c r="H45" s="114"/>
      <c r="J45" s="84" t="s">
        <v>56</v>
      </c>
      <c r="K45" s="86">
        <f>K43*0.9/K44</f>
        <v>360.90000000000003</v>
      </c>
      <c r="L45" s="84" t="s">
        <v>0</v>
      </c>
      <c r="M45" s="77"/>
      <c r="N45" s="70" t="s">
        <v>156</v>
      </c>
      <c r="O45" s="71">
        <v>5808</v>
      </c>
      <c r="P45" s="70" t="s">
        <v>157</v>
      </c>
      <c r="Q45" s="77"/>
      <c r="R45" s="76" t="s">
        <v>218</v>
      </c>
      <c r="S45" s="80">
        <v>45</v>
      </c>
      <c r="T45" s="76" t="s">
        <v>48</v>
      </c>
      <c r="U45" s="77"/>
      <c r="V45" s="77"/>
    </row>
    <row r="46" spans="2:24" ht="17.25" thickBot="1" x14ac:dyDescent="0.2">
      <c r="B46" s="114" t="s">
        <v>93</v>
      </c>
      <c r="C46" s="220">
        <f>ROUND(C45/C11,3)</f>
        <v>1.1930000000000001</v>
      </c>
      <c r="D46" s="245">
        <f>ROUND(D45/D11,3)</f>
        <v>1.6220000000000001</v>
      </c>
      <c r="E46" s="229">
        <f>ROUND(E45/E11,3)</f>
        <v>1.853</v>
      </c>
      <c r="F46" s="114"/>
      <c r="G46" s="115"/>
      <c r="H46" s="114"/>
      <c r="J46" s="84" t="s">
        <v>264</v>
      </c>
      <c r="K46" s="86">
        <f>(K41*1000)/(K42*K43*0.9/K44)</f>
        <v>0.87270886650390644</v>
      </c>
      <c r="L46" s="84"/>
      <c r="M46" s="77"/>
      <c r="N46" s="70" t="s">
        <v>160</v>
      </c>
      <c r="O46" s="71">
        <v>680</v>
      </c>
      <c r="P46" s="70" t="s">
        <v>161</v>
      </c>
      <c r="Q46" s="77"/>
      <c r="R46" s="76" t="s">
        <v>219</v>
      </c>
      <c r="S46" s="79">
        <f>S43*(1+S44*(S45-20))</f>
        <v>1.9206249999999998</v>
      </c>
      <c r="T46" s="76" t="s">
        <v>215</v>
      </c>
      <c r="U46" s="77"/>
      <c r="V46" s="77"/>
    </row>
    <row r="47" spans="2:24" ht="16.5" x14ac:dyDescent="0.15">
      <c r="J47" s="84" t="s">
        <v>265</v>
      </c>
      <c r="K47" s="92">
        <f>DEGREES(ACOS(K46))</f>
        <v>29.225030363895115</v>
      </c>
      <c r="L47" s="84"/>
      <c r="M47" s="77"/>
      <c r="N47" s="70" t="s">
        <v>163</v>
      </c>
      <c r="O47" s="71">
        <v>300</v>
      </c>
      <c r="P47" s="70" t="s">
        <v>164</v>
      </c>
      <c r="Q47" s="77"/>
      <c r="R47" s="76" t="s">
        <v>220</v>
      </c>
      <c r="S47" s="81">
        <f>1/(S46/100000000)</f>
        <v>52066384.64041654</v>
      </c>
      <c r="T47" s="76" t="s">
        <v>221</v>
      </c>
      <c r="U47" s="77"/>
      <c r="V47" s="77"/>
    </row>
    <row r="48" spans="2:24" ht="16.5" x14ac:dyDescent="0.15">
      <c r="B48" s="112" t="s">
        <v>313</v>
      </c>
      <c r="J48" s="77"/>
      <c r="K48" s="77"/>
      <c r="L48" s="77"/>
      <c r="M48" s="77"/>
      <c r="N48" s="70" t="s">
        <v>166</v>
      </c>
      <c r="O48" s="88">
        <f>O45*O46/O47</f>
        <v>13164.8</v>
      </c>
      <c r="P48" s="70" t="s">
        <v>167</v>
      </c>
      <c r="Q48" s="77"/>
      <c r="R48" s="76" t="s">
        <v>222</v>
      </c>
      <c r="S48" s="67">
        <v>1</v>
      </c>
      <c r="T48" s="76" t="s">
        <v>223</v>
      </c>
      <c r="U48" s="77"/>
      <c r="V48" s="77"/>
    </row>
    <row r="49" spans="2:22" ht="16.5" x14ac:dyDescent="0.3">
      <c r="B49" s="96" t="s">
        <v>297</v>
      </c>
      <c r="C49" s="98"/>
      <c r="D49" s="98">
        <v>1</v>
      </c>
      <c r="E49" s="98">
        <v>1</v>
      </c>
      <c r="F49" s="96" t="s">
        <v>49</v>
      </c>
      <c r="G49" s="115">
        <v>8</v>
      </c>
      <c r="H49" s="99" t="s">
        <v>301</v>
      </c>
      <c r="J49" s="250" t="s">
        <v>288</v>
      </c>
      <c r="K49" s="250"/>
      <c r="L49" s="250"/>
      <c r="M49" s="77"/>
      <c r="N49" s="77"/>
      <c r="O49" s="77"/>
      <c r="P49" s="77"/>
      <c r="Q49" s="77"/>
      <c r="R49" s="76" t="s">
        <v>37</v>
      </c>
      <c r="S49" s="82">
        <v>18000</v>
      </c>
      <c r="T49" s="76" t="s">
        <v>224</v>
      </c>
      <c r="U49" s="77"/>
      <c r="V49" s="77"/>
    </row>
    <row r="50" spans="2:22" ht="16.5" x14ac:dyDescent="0.3">
      <c r="B50" s="96" t="s">
        <v>114</v>
      </c>
      <c r="C50" s="121"/>
      <c r="D50" s="121">
        <f t="shared" ref="D50:E50" si="33">D43/D49</f>
        <v>46.318477407240472</v>
      </c>
      <c r="E50" s="121">
        <f t="shared" si="33"/>
        <v>53.483970799047768</v>
      </c>
      <c r="F50" s="96" t="s">
        <v>2</v>
      </c>
      <c r="G50" s="115"/>
      <c r="H50" s="96" t="s">
        <v>300</v>
      </c>
      <c r="J50" s="96" t="s">
        <v>317</v>
      </c>
      <c r="K50" s="97">
        <v>300</v>
      </c>
      <c r="L50" s="96" t="s">
        <v>13</v>
      </c>
      <c r="M50" s="77"/>
      <c r="N50" s="249" t="s">
        <v>329</v>
      </c>
      <c r="O50" s="249"/>
      <c r="P50" s="249"/>
      <c r="Q50" s="77"/>
      <c r="R50" s="76" t="s">
        <v>254</v>
      </c>
      <c r="S50" s="95">
        <f>503.3*SQRT((S46/100000000)/(S48*S49))*1000</f>
        <v>0.51989060179696034</v>
      </c>
      <c r="T50" s="76" t="s">
        <v>225</v>
      </c>
      <c r="U50" s="77"/>
      <c r="V50" s="77"/>
    </row>
    <row r="51" spans="2:22" ht="16.5" x14ac:dyDescent="0.3">
      <c r="B51" s="96" t="s">
        <v>8</v>
      </c>
      <c r="C51" s="104"/>
      <c r="D51" s="104">
        <v>0</v>
      </c>
      <c r="E51" s="104">
        <v>0</v>
      </c>
      <c r="F51" s="96" t="s">
        <v>45</v>
      </c>
      <c r="G51" s="115">
        <v>9</v>
      </c>
      <c r="H51" s="99" t="s">
        <v>117</v>
      </c>
      <c r="J51" s="96" t="s">
        <v>38</v>
      </c>
      <c r="K51" s="97">
        <v>1</v>
      </c>
      <c r="L51" s="96" t="s">
        <v>13</v>
      </c>
      <c r="M51" s="77"/>
      <c r="N51" s="84" t="s">
        <v>320</v>
      </c>
      <c r="O51" s="85">
        <v>15.4</v>
      </c>
      <c r="P51" s="84" t="s">
        <v>13</v>
      </c>
      <c r="Q51" s="77"/>
      <c r="R51" s="76" t="s">
        <v>255</v>
      </c>
      <c r="S51" s="89">
        <v>16000</v>
      </c>
      <c r="T51" s="76" t="s">
        <v>225</v>
      </c>
      <c r="U51" s="77"/>
      <c r="V51" s="77"/>
    </row>
    <row r="52" spans="2:22" ht="16.5" x14ac:dyDescent="0.3">
      <c r="B52" s="96" t="s">
        <v>118</v>
      </c>
      <c r="C52" s="104"/>
      <c r="D52" s="104">
        <v>0</v>
      </c>
      <c r="E52" s="104">
        <v>0</v>
      </c>
      <c r="F52" s="96" t="s">
        <v>0</v>
      </c>
      <c r="G52" s="115">
        <v>10</v>
      </c>
      <c r="H52" s="99" t="s">
        <v>119</v>
      </c>
      <c r="J52" s="96" t="s">
        <v>39</v>
      </c>
      <c r="K52" s="97">
        <v>100</v>
      </c>
      <c r="L52" s="96" t="s">
        <v>13</v>
      </c>
      <c r="M52" s="77"/>
      <c r="N52" s="84" t="s">
        <v>321</v>
      </c>
      <c r="O52" s="85">
        <v>2</v>
      </c>
      <c r="P52" s="84" t="s">
        <v>13</v>
      </c>
      <c r="Q52" s="77"/>
      <c r="R52" s="76" t="s">
        <v>279</v>
      </c>
      <c r="S52" s="89">
        <v>2</v>
      </c>
      <c r="T52" s="76" t="s">
        <v>225</v>
      </c>
      <c r="U52" s="77"/>
      <c r="V52" s="77"/>
    </row>
    <row r="53" spans="2:22" ht="16.5" x14ac:dyDescent="0.3">
      <c r="B53" s="96" t="s">
        <v>9</v>
      </c>
      <c r="C53" s="108"/>
      <c r="D53" s="108">
        <f t="shared" ref="D53:E53" si="34">D52*D51/1000000*D54*1000</f>
        <v>0</v>
      </c>
      <c r="E53" s="108">
        <f t="shared" si="34"/>
        <v>0</v>
      </c>
      <c r="F53" s="96" t="s">
        <v>6</v>
      </c>
      <c r="G53" s="115"/>
      <c r="H53" s="96"/>
      <c r="J53" s="96" t="s">
        <v>75</v>
      </c>
      <c r="K53" s="102">
        <f>12.5*(K51/10)*(K52/10)/(K50/10)</f>
        <v>0.41666666666666669</v>
      </c>
      <c r="L53" s="96" t="s">
        <v>40</v>
      </c>
      <c r="M53" s="77"/>
      <c r="N53" s="84" t="s">
        <v>322</v>
      </c>
      <c r="O53" s="86">
        <f>O51+O52*2</f>
        <v>19.399999999999999</v>
      </c>
      <c r="P53" s="84" t="s">
        <v>13</v>
      </c>
      <c r="Q53" s="77"/>
      <c r="R53" s="76" t="s">
        <v>278</v>
      </c>
      <c r="S53" s="90">
        <f>MIN(S50,S52)</f>
        <v>0.51989060179696034</v>
      </c>
      <c r="T53" s="76" t="s">
        <v>225</v>
      </c>
      <c r="U53" s="77"/>
      <c r="V53" s="77"/>
    </row>
    <row r="54" spans="2:22" ht="16.5" x14ac:dyDescent="0.3">
      <c r="B54" s="96" t="s">
        <v>116</v>
      </c>
      <c r="C54" s="121"/>
      <c r="D54" s="121">
        <f>D21</f>
        <v>36.272809598676886</v>
      </c>
      <c r="E54" s="121">
        <f>E21</f>
        <v>36.055121703300593</v>
      </c>
      <c r="F54" s="96" t="s">
        <v>4</v>
      </c>
      <c r="G54" s="115"/>
      <c r="H54" s="96" t="s">
        <v>115</v>
      </c>
      <c r="N54" s="125" t="s">
        <v>323</v>
      </c>
      <c r="O54" s="126">
        <v>8.8539999999999992E-12</v>
      </c>
      <c r="P54" s="114"/>
      <c r="R54" s="76" t="s">
        <v>259</v>
      </c>
      <c r="S54" s="89">
        <v>15</v>
      </c>
      <c r="T54" s="76" t="s">
        <v>225</v>
      </c>
    </row>
    <row r="55" spans="2:22" ht="16.5" x14ac:dyDescent="0.3">
      <c r="B55" s="96" t="s">
        <v>296</v>
      </c>
      <c r="C55" s="107"/>
      <c r="D55" s="107">
        <f t="shared" ref="D55:E55" si="35">D50*1.414</f>
        <v>65.49432705383802</v>
      </c>
      <c r="E55" s="107">
        <f t="shared" si="35"/>
        <v>75.626334709853538</v>
      </c>
      <c r="F55" s="96" t="s">
        <v>2</v>
      </c>
      <c r="G55" s="115"/>
      <c r="H55" s="96" t="s">
        <v>302</v>
      </c>
      <c r="J55" s="250" t="s">
        <v>314</v>
      </c>
      <c r="K55" s="250"/>
      <c r="L55" s="250"/>
      <c r="N55" s="125" t="s">
        <v>324</v>
      </c>
      <c r="O55" s="123">
        <v>2.1</v>
      </c>
      <c r="P55" s="114" t="s">
        <v>319</v>
      </c>
      <c r="R55" s="76" t="s">
        <v>260</v>
      </c>
      <c r="S55" s="89">
        <v>15</v>
      </c>
      <c r="T55" s="76" t="s">
        <v>225</v>
      </c>
    </row>
    <row r="56" spans="2:22" ht="16.5" x14ac:dyDescent="0.3">
      <c r="B56" s="96" t="s">
        <v>120</v>
      </c>
      <c r="C56" s="104"/>
      <c r="D56" s="104">
        <v>0</v>
      </c>
      <c r="E56" s="104">
        <v>0</v>
      </c>
      <c r="F56" s="96" t="s">
        <v>5</v>
      </c>
      <c r="G56" s="115">
        <v>11</v>
      </c>
      <c r="H56" s="99" t="s">
        <v>121</v>
      </c>
      <c r="J56" s="96" t="s">
        <v>315</v>
      </c>
      <c r="K56" s="97">
        <v>3000</v>
      </c>
      <c r="L56" s="96" t="s">
        <v>50</v>
      </c>
      <c r="N56" s="114" t="s">
        <v>325</v>
      </c>
      <c r="O56" s="126">
        <f>2*PI()*O54*O55/(LN(O53/O51))*1000000000</f>
        <v>0.50594615125588516</v>
      </c>
      <c r="P56" s="114" t="s">
        <v>318</v>
      </c>
      <c r="R56" s="76" t="s">
        <v>275</v>
      </c>
      <c r="S56" s="95">
        <f>(S54*S55)-((S54-2*S53)*(S55-2*S53))</f>
        <v>30.112291156470377</v>
      </c>
      <c r="T56" s="76" t="s">
        <v>251</v>
      </c>
    </row>
    <row r="57" spans="2:22" ht="16.5" x14ac:dyDescent="0.3">
      <c r="B57" s="96" t="s">
        <v>122</v>
      </c>
      <c r="C57" s="108"/>
      <c r="D57" s="108">
        <v>0</v>
      </c>
      <c r="E57" s="108">
        <v>0</v>
      </c>
      <c r="F57" s="96" t="s">
        <v>5</v>
      </c>
      <c r="G57" s="115"/>
      <c r="H57" s="96"/>
      <c r="J57" s="96" t="s">
        <v>38</v>
      </c>
      <c r="K57" s="97">
        <v>1</v>
      </c>
      <c r="L57" s="96" t="s">
        <v>13</v>
      </c>
      <c r="N57" s="114" t="s">
        <v>326</v>
      </c>
      <c r="O57" s="123">
        <v>10</v>
      </c>
      <c r="P57" s="114" t="s">
        <v>328</v>
      </c>
      <c r="R57" s="76" t="s">
        <v>256</v>
      </c>
      <c r="S57" s="89">
        <v>935</v>
      </c>
      <c r="T57" s="68" t="s">
        <v>252</v>
      </c>
    </row>
    <row r="58" spans="2:22" ht="16.5" x14ac:dyDescent="0.3">
      <c r="B58" s="96" t="s">
        <v>123</v>
      </c>
      <c r="C58" s="108"/>
      <c r="D58" s="108">
        <v>0</v>
      </c>
      <c r="E58" s="108">
        <v>0</v>
      </c>
      <c r="F58" s="96" t="s">
        <v>5</v>
      </c>
      <c r="G58" s="115"/>
      <c r="H58" s="96"/>
      <c r="J58" s="96" t="s">
        <v>316</v>
      </c>
      <c r="K58" s="97">
        <v>2.1</v>
      </c>
      <c r="L58" s="96" t="s">
        <v>319</v>
      </c>
      <c r="M58" s="2"/>
      <c r="N58" s="114" t="s">
        <v>327</v>
      </c>
      <c r="O58" s="127">
        <f>O56*O57</f>
        <v>5.0594615125588511</v>
      </c>
      <c r="P58" s="114" t="s">
        <v>318</v>
      </c>
      <c r="R58" s="76" t="s">
        <v>517</v>
      </c>
      <c r="S58" s="91">
        <f>S57/S56</f>
        <v>31.050443659086763</v>
      </c>
      <c r="T58" s="68" t="s">
        <v>252</v>
      </c>
    </row>
    <row r="59" spans="2:22" ht="16.5" x14ac:dyDescent="0.3">
      <c r="B59" s="96" t="s">
        <v>124</v>
      </c>
      <c r="C59" s="105"/>
      <c r="D59" s="105">
        <f t="shared" ref="D59:E59" si="36">D56*D54+D57*D54</f>
        <v>0</v>
      </c>
      <c r="E59" s="105">
        <f t="shared" si="36"/>
        <v>0</v>
      </c>
      <c r="F59" s="96" t="s">
        <v>6</v>
      </c>
      <c r="G59" s="115"/>
      <c r="H59" s="96"/>
      <c r="J59" s="96" t="s">
        <v>76</v>
      </c>
      <c r="K59" s="102">
        <f>8.854/1000000000000*K58*(K56/1000000)/(K57/1000)*1000000000</f>
        <v>5.5780200000000002E-2</v>
      </c>
      <c r="L59" s="96" t="s">
        <v>318</v>
      </c>
      <c r="R59" s="76" t="s">
        <v>257</v>
      </c>
      <c r="S59" s="91">
        <f>S46/100000000*(S57^2)/(S56/1000000)*S51/1000</f>
        <v>8921.5842495689321</v>
      </c>
      <c r="T59" s="68" t="s">
        <v>253</v>
      </c>
    </row>
    <row r="60" spans="2:22" ht="16.5" x14ac:dyDescent="0.3">
      <c r="B60" s="96" t="s">
        <v>125</v>
      </c>
      <c r="C60" s="108"/>
      <c r="D60" s="108">
        <f t="shared" ref="D60:E60" si="37">D54*D58</f>
        <v>0</v>
      </c>
      <c r="E60" s="108">
        <f t="shared" si="37"/>
        <v>0</v>
      </c>
      <c r="F60" s="96" t="s">
        <v>6</v>
      </c>
      <c r="G60" s="115"/>
      <c r="H60" s="96"/>
    </row>
    <row r="61" spans="2:22" ht="16.5" x14ac:dyDescent="0.3">
      <c r="B61" s="96" t="s">
        <v>126</v>
      </c>
      <c r="C61" s="104"/>
      <c r="D61" s="104">
        <v>100</v>
      </c>
      <c r="E61" s="104">
        <v>100</v>
      </c>
      <c r="F61" s="96" t="s">
        <v>7</v>
      </c>
      <c r="G61" s="115">
        <v>12</v>
      </c>
      <c r="H61" s="99" t="s">
        <v>127</v>
      </c>
      <c r="J61" s="248" t="s">
        <v>493</v>
      </c>
      <c r="K61" s="248"/>
      <c r="L61" s="248"/>
      <c r="M61"/>
      <c r="R61" s="249" t="s">
        <v>513</v>
      </c>
      <c r="S61" s="249"/>
      <c r="T61" s="249"/>
    </row>
    <row r="62" spans="2:22" ht="16.5" x14ac:dyDescent="0.3">
      <c r="B62" s="96" t="s">
        <v>128</v>
      </c>
      <c r="C62" s="109"/>
      <c r="D62" s="109">
        <f t="shared" ref="D62:E62" si="38">D59*D61/100</f>
        <v>0</v>
      </c>
      <c r="E62" s="109">
        <f t="shared" si="38"/>
        <v>0</v>
      </c>
      <c r="F62" s="96" t="s">
        <v>6</v>
      </c>
      <c r="G62" s="115"/>
      <c r="H62" s="96"/>
      <c r="J62" s="144"/>
      <c r="K62" s="145" t="s">
        <v>486</v>
      </c>
      <c r="L62" s="145" t="s">
        <v>487</v>
      </c>
      <c r="M62" s="145" t="s">
        <v>488</v>
      </c>
      <c r="R62" s="69" t="s">
        <v>212</v>
      </c>
      <c r="S62" s="67" t="s">
        <v>213</v>
      </c>
      <c r="T62" s="67"/>
    </row>
    <row r="63" spans="2:22" ht="16.5" x14ac:dyDescent="0.3">
      <c r="B63" s="96" t="s">
        <v>129</v>
      </c>
      <c r="C63" s="107"/>
      <c r="D63" s="107">
        <f t="shared" ref="D63:E63" si="39">D50*0.9</f>
        <v>41.686629666516424</v>
      </c>
      <c r="E63" s="107">
        <f t="shared" si="39"/>
        <v>48.13557371914299</v>
      </c>
      <c r="F63" s="96" t="s">
        <v>2</v>
      </c>
      <c r="G63" s="115"/>
      <c r="H63" s="96"/>
      <c r="J63" s="145" t="s">
        <v>485</v>
      </c>
      <c r="K63" s="145" t="s">
        <v>491</v>
      </c>
      <c r="L63" s="145" t="s">
        <v>489</v>
      </c>
      <c r="M63" s="145" t="s">
        <v>490</v>
      </c>
      <c r="R63" s="76" t="s">
        <v>214</v>
      </c>
      <c r="S63" s="78">
        <v>1.75</v>
      </c>
      <c r="T63" s="76" t="s">
        <v>215</v>
      </c>
    </row>
    <row r="64" spans="2:22" ht="16.5" x14ac:dyDescent="0.3">
      <c r="B64" s="96" t="s">
        <v>130</v>
      </c>
      <c r="C64" s="104"/>
      <c r="D64" s="104">
        <v>0</v>
      </c>
      <c r="E64" s="104">
        <v>0</v>
      </c>
      <c r="F64" s="96" t="s">
        <v>44</v>
      </c>
      <c r="G64" s="115">
        <v>13</v>
      </c>
      <c r="H64" s="99" t="s">
        <v>131</v>
      </c>
      <c r="J64" s="143">
        <v>0.5</v>
      </c>
      <c r="K64" s="143"/>
      <c r="L64" s="143">
        <v>2.5</v>
      </c>
      <c r="M64" s="143"/>
      <c r="R64" s="76" t="s">
        <v>216</v>
      </c>
      <c r="S64" s="79">
        <v>3.8999999999999998E-3</v>
      </c>
      <c r="T64" s="76" t="s">
        <v>217</v>
      </c>
    </row>
    <row r="65" spans="2:20" ht="16.5" x14ac:dyDescent="0.3">
      <c r="B65" s="96" t="s">
        <v>132</v>
      </c>
      <c r="C65" s="104"/>
      <c r="D65" s="104">
        <v>0</v>
      </c>
      <c r="E65" s="104">
        <v>0</v>
      </c>
      <c r="F65" s="96" t="s">
        <v>44</v>
      </c>
      <c r="G65" s="115">
        <v>14</v>
      </c>
      <c r="H65" s="99" t="s">
        <v>133</v>
      </c>
      <c r="J65" s="143">
        <v>0.8</v>
      </c>
      <c r="K65" s="143">
        <v>2</v>
      </c>
      <c r="L65" s="143">
        <v>1.42</v>
      </c>
      <c r="M65" s="143"/>
      <c r="R65" s="76" t="s">
        <v>218</v>
      </c>
      <c r="S65" s="80">
        <v>45</v>
      </c>
      <c r="T65" s="76" t="s">
        <v>48</v>
      </c>
    </row>
    <row r="66" spans="2:20" ht="16.5" x14ac:dyDescent="0.3">
      <c r="B66" s="96" t="s">
        <v>72</v>
      </c>
      <c r="C66" s="108"/>
      <c r="D66" s="108">
        <f t="shared" ref="D66:E66" si="40">D41</f>
        <v>71.822016866254174</v>
      </c>
      <c r="E66" s="108">
        <f t="shared" si="40"/>
        <v>62.199691157210758</v>
      </c>
      <c r="F66" s="96" t="s">
        <v>7</v>
      </c>
      <c r="G66" s="115"/>
      <c r="H66" s="99"/>
      <c r="J66" s="143">
        <v>1</v>
      </c>
      <c r="K66" s="143">
        <v>2</v>
      </c>
      <c r="L66" s="143">
        <v>1.4</v>
      </c>
      <c r="M66" s="143"/>
      <c r="R66" s="76" t="s">
        <v>219</v>
      </c>
      <c r="S66" s="79">
        <f>S63*(1+S64*(S65-20))</f>
        <v>1.9206249999999998</v>
      </c>
      <c r="T66" s="76" t="s">
        <v>215</v>
      </c>
    </row>
    <row r="67" spans="2:20" ht="16.5" x14ac:dyDescent="0.3">
      <c r="B67" s="96" t="s">
        <v>134</v>
      </c>
      <c r="C67" s="108"/>
      <c r="D67" s="108">
        <f>D17</f>
        <v>30</v>
      </c>
      <c r="E67" s="108">
        <f>E17</f>
        <v>30</v>
      </c>
      <c r="F67" s="96" t="s">
        <v>79</v>
      </c>
      <c r="G67" s="115"/>
      <c r="H67" s="96"/>
      <c r="J67" s="143">
        <v>1.2</v>
      </c>
      <c r="K67" s="143"/>
      <c r="L67" s="143">
        <v>1.04</v>
      </c>
      <c r="M67" s="143"/>
      <c r="R67" s="76" t="s">
        <v>220</v>
      </c>
      <c r="S67" s="81">
        <f>1/(S66/100000000)</f>
        <v>52066384.64041654</v>
      </c>
      <c r="T67" s="76" t="s">
        <v>221</v>
      </c>
    </row>
    <row r="68" spans="2:20" ht="16.5" x14ac:dyDescent="0.3">
      <c r="B68" s="96" t="s">
        <v>135</v>
      </c>
      <c r="C68" s="108"/>
      <c r="D68" s="108">
        <f t="shared" ref="D68:E68" si="41">ROUNDUP((D63*D64*((D66*180/100-D67)/180))/2,0)</f>
        <v>0</v>
      </c>
      <c r="E68" s="108">
        <f t="shared" si="41"/>
        <v>0</v>
      </c>
      <c r="F68" s="96" t="s">
        <v>6</v>
      </c>
      <c r="G68" s="115"/>
      <c r="H68" s="96"/>
      <c r="J68" s="143">
        <v>2</v>
      </c>
      <c r="K68" s="143">
        <v>1.1200000000000001</v>
      </c>
      <c r="L68" s="143">
        <v>0.75</v>
      </c>
      <c r="M68" s="143"/>
      <c r="R68" s="76" t="s">
        <v>222</v>
      </c>
      <c r="S68" s="67">
        <v>1</v>
      </c>
      <c r="T68" s="76" t="s">
        <v>223</v>
      </c>
    </row>
    <row r="69" spans="2:20" ht="16.5" x14ac:dyDescent="0.3">
      <c r="B69" s="96" t="s">
        <v>136</v>
      </c>
      <c r="C69" s="108"/>
      <c r="D69" s="108">
        <f t="shared" ref="D69:E69" si="42">ROUNDUP((D63*D65*(1-(D66*180/100-D67)/180))/2,0)</f>
        <v>0</v>
      </c>
      <c r="E69" s="108">
        <f t="shared" si="42"/>
        <v>0</v>
      </c>
      <c r="F69" s="96" t="s">
        <v>6</v>
      </c>
      <c r="G69" s="115"/>
      <c r="H69" s="96"/>
      <c r="J69" s="143">
        <v>3</v>
      </c>
      <c r="K69" s="143">
        <v>0.71</v>
      </c>
      <c r="L69" s="143">
        <v>0.57999999999999996</v>
      </c>
      <c r="M69" s="143"/>
      <c r="R69" s="76" t="s">
        <v>255</v>
      </c>
      <c r="S69" s="89">
        <v>6126</v>
      </c>
      <c r="T69" s="76" t="s">
        <v>225</v>
      </c>
    </row>
    <row r="70" spans="2:20" ht="16.5" x14ac:dyDescent="0.3">
      <c r="B70" s="96" t="s">
        <v>69</v>
      </c>
      <c r="C70" s="109"/>
      <c r="D70" s="109">
        <f t="shared" ref="D70:E70" si="43">ROUNDUP(((D63*D64*(((D66*180/100-D67)/180))+(D63*D65*(1-(D66*180/100-D67)/180))))/2,0)</f>
        <v>0</v>
      </c>
      <c r="E70" s="109">
        <f t="shared" si="43"/>
        <v>0</v>
      </c>
      <c r="F70" s="96" t="s">
        <v>6</v>
      </c>
      <c r="G70" s="115"/>
      <c r="H70" s="96"/>
      <c r="J70" s="143">
        <v>5</v>
      </c>
      <c r="K70" s="143">
        <v>0.43</v>
      </c>
      <c r="L70" s="143">
        <v>0.36</v>
      </c>
      <c r="M70" s="143"/>
      <c r="R70" s="76" t="s">
        <v>280</v>
      </c>
      <c r="S70" s="89">
        <v>2</v>
      </c>
      <c r="T70" s="76" t="s">
        <v>225</v>
      </c>
    </row>
    <row r="71" spans="2:20" ht="16.5" x14ac:dyDescent="0.3">
      <c r="B71" s="96" t="s">
        <v>298</v>
      </c>
      <c r="C71" s="108"/>
      <c r="D71" s="108">
        <f t="shared" ref="D71:E71" si="44">D62+D68</f>
        <v>0</v>
      </c>
      <c r="E71" s="108">
        <f t="shared" si="44"/>
        <v>0</v>
      </c>
      <c r="F71" s="96" t="s">
        <v>6</v>
      </c>
      <c r="G71" s="115"/>
      <c r="H71" s="96"/>
      <c r="J71" s="143">
        <v>6</v>
      </c>
      <c r="K71" s="143"/>
      <c r="L71" s="143">
        <v>0.34</v>
      </c>
      <c r="M71" s="143">
        <v>0.62</v>
      </c>
      <c r="R71" s="76" t="s">
        <v>276</v>
      </c>
      <c r="S71" s="89">
        <v>60</v>
      </c>
      <c r="T71" s="76" t="s">
        <v>225</v>
      </c>
    </row>
    <row r="72" spans="2:20" ht="16.5" x14ac:dyDescent="0.3">
      <c r="B72" s="96" t="s">
        <v>299</v>
      </c>
      <c r="C72" s="108"/>
      <c r="D72" s="108">
        <f t="shared" ref="D72:E72" si="45">D69+D60</f>
        <v>0</v>
      </c>
      <c r="E72" s="108">
        <f t="shared" si="45"/>
        <v>0</v>
      </c>
      <c r="F72" s="96" t="s">
        <v>6</v>
      </c>
      <c r="G72" s="115"/>
      <c r="H72" s="96"/>
      <c r="J72" s="143">
        <v>8</v>
      </c>
      <c r="K72" s="143">
        <v>0.3</v>
      </c>
      <c r="L72" s="143">
        <v>0.25</v>
      </c>
      <c r="M72" s="143"/>
      <c r="R72" s="76" t="s">
        <v>275</v>
      </c>
      <c r="S72" s="95">
        <f>S70*S71</f>
        <v>120</v>
      </c>
      <c r="T72" s="76" t="s">
        <v>251</v>
      </c>
    </row>
    <row r="73" spans="2:20" ht="16.5" x14ac:dyDescent="0.3">
      <c r="B73" s="96" t="s">
        <v>306</v>
      </c>
      <c r="C73" s="109"/>
      <c r="D73" s="109">
        <f t="shared" ref="D73:E73" si="46">ROUNDUP((D53+D62+D70),0)</f>
        <v>0</v>
      </c>
      <c r="E73" s="109">
        <f t="shared" si="46"/>
        <v>0</v>
      </c>
      <c r="F73" s="96" t="s">
        <v>6</v>
      </c>
      <c r="G73" s="115"/>
      <c r="H73" s="96"/>
      <c r="J73" s="143">
        <v>10</v>
      </c>
      <c r="K73" s="143"/>
      <c r="L73" s="143"/>
      <c r="M73" s="143">
        <v>0.45</v>
      </c>
      <c r="R73" s="76" t="s">
        <v>256</v>
      </c>
      <c r="S73" s="89">
        <v>850</v>
      </c>
      <c r="T73" s="68" t="s">
        <v>252</v>
      </c>
    </row>
    <row r="74" spans="2:20" ht="16.5" x14ac:dyDescent="0.3">
      <c r="B74" s="96" t="s">
        <v>137</v>
      </c>
      <c r="C74" s="178"/>
      <c r="D74" s="178">
        <v>2</v>
      </c>
      <c r="E74" s="178">
        <v>2</v>
      </c>
      <c r="F74" s="96"/>
      <c r="G74" s="115">
        <v>15</v>
      </c>
      <c r="H74" s="99" t="s">
        <v>305</v>
      </c>
      <c r="J74" s="143">
        <v>15</v>
      </c>
      <c r="K74" s="143"/>
      <c r="L74" s="143"/>
      <c r="M74" s="143">
        <v>0.4</v>
      </c>
      <c r="R74" s="76" t="s">
        <v>517</v>
      </c>
      <c r="S74" s="91">
        <f>S73/S72</f>
        <v>7.083333333333333</v>
      </c>
      <c r="T74" s="68" t="s">
        <v>252</v>
      </c>
    </row>
    <row r="75" spans="2:20" ht="16.5" x14ac:dyDescent="0.3">
      <c r="B75" s="96" t="s">
        <v>70</v>
      </c>
      <c r="C75" s="110"/>
      <c r="D75" s="110">
        <f t="shared" ref="D75:E75" si="47">D73*D74</f>
        <v>0</v>
      </c>
      <c r="E75" s="110">
        <f t="shared" si="47"/>
        <v>0</v>
      </c>
      <c r="F75" s="96" t="s">
        <v>46</v>
      </c>
      <c r="G75" s="115"/>
      <c r="H75" s="96"/>
      <c r="J75" s="143">
        <v>20</v>
      </c>
      <c r="K75" s="143"/>
      <c r="L75" s="143"/>
      <c r="M75" s="143">
        <v>0.35</v>
      </c>
      <c r="R75" s="76" t="s">
        <v>257</v>
      </c>
      <c r="S75" s="91">
        <f>S66/100000000*(S73^2)/(S72/1000000)*S69/1000</f>
        <v>708.39612265624987</v>
      </c>
      <c r="T75" s="68" t="s">
        <v>253</v>
      </c>
    </row>
    <row r="76" spans="2:20" ht="16.5" x14ac:dyDescent="0.3">
      <c r="B76" s="96" t="s">
        <v>43</v>
      </c>
      <c r="C76" s="111"/>
      <c r="D76" s="111">
        <v>1950</v>
      </c>
      <c r="E76" s="111">
        <v>1950</v>
      </c>
      <c r="F76" s="96" t="s">
        <v>6</v>
      </c>
      <c r="G76" s="115">
        <v>16</v>
      </c>
      <c r="H76" s="99" t="s">
        <v>117</v>
      </c>
      <c r="J76" s="143">
        <v>30</v>
      </c>
      <c r="K76" s="143"/>
      <c r="L76" s="143"/>
      <c r="M76" s="216">
        <v>0.28939999999999999</v>
      </c>
    </row>
    <row r="77" spans="2:20" ht="16.5" x14ac:dyDescent="0.3">
      <c r="B77" s="96" t="s">
        <v>303</v>
      </c>
      <c r="C77" s="110"/>
      <c r="D77" s="110">
        <f t="shared" ref="D77:E77" si="48">ROUNDUP(D75/D76*100,0)</f>
        <v>0</v>
      </c>
      <c r="E77" s="110">
        <f t="shared" si="48"/>
        <v>0</v>
      </c>
      <c r="F77" s="96" t="s">
        <v>7</v>
      </c>
      <c r="G77" s="115"/>
      <c r="H77" s="99" t="s">
        <v>304</v>
      </c>
      <c r="J77" s="143">
        <v>50</v>
      </c>
      <c r="K77" s="143"/>
      <c r="L77" s="143"/>
      <c r="M77" s="143">
        <v>0.224</v>
      </c>
    </row>
    <row r="78" spans="2:20" ht="16.5" x14ac:dyDescent="0.3">
      <c r="B78" s="96" t="s">
        <v>138</v>
      </c>
      <c r="C78" s="128"/>
      <c r="D78" s="128">
        <v>9.2999999999999999E-2</v>
      </c>
      <c r="E78" s="128">
        <v>9.2999999999999999E-2</v>
      </c>
      <c r="F78" s="96" t="s">
        <v>58</v>
      </c>
      <c r="G78" s="115">
        <v>17</v>
      </c>
      <c r="H78" s="119" t="s">
        <v>117</v>
      </c>
      <c r="J78" s="143">
        <v>100</v>
      </c>
      <c r="K78" s="143"/>
      <c r="L78" s="143"/>
      <c r="M78" s="143">
        <v>0.161</v>
      </c>
    </row>
    <row r="79" spans="2:20" ht="16.5" x14ac:dyDescent="0.3">
      <c r="B79" s="96" t="s">
        <v>287</v>
      </c>
      <c r="C79" s="128"/>
      <c r="D79" s="128">
        <v>0.15</v>
      </c>
      <c r="E79" s="128">
        <v>0.15</v>
      </c>
      <c r="F79" s="96" t="s">
        <v>58</v>
      </c>
      <c r="G79" s="115">
        <v>18</v>
      </c>
      <c r="H79" s="119" t="s">
        <v>117</v>
      </c>
      <c r="J79" s="143">
        <v>200</v>
      </c>
      <c r="K79" s="143"/>
      <c r="L79" s="143"/>
      <c r="M79" s="143">
        <v>7.7600000000000002E-2</v>
      </c>
    </row>
    <row r="80" spans="2:20" ht="16.5" x14ac:dyDescent="0.3">
      <c r="B80" s="96" t="s">
        <v>139</v>
      </c>
      <c r="C80" s="100"/>
      <c r="D80" s="100">
        <f t="shared" ref="D80:E80" si="49">125-D78*D71</f>
        <v>125</v>
      </c>
      <c r="E80" s="100">
        <f t="shared" si="49"/>
        <v>125</v>
      </c>
      <c r="F80" s="101" t="s">
        <v>59</v>
      </c>
      <c r="G80" s="115"/>
      <c r="H80" s="99" t="s">
        <v>140</v>
      </c>
      <c r="J80" s="143">
        <v>300</v>
      </c>
      <c r="K80" s="143"/>
      <c r="L80" s="143"/>
      <c r="M80" s="143">
        <v>5.2400000000000002E-2</v>
      </c>
    </row>
    <row r="81" spans="2:12" ht="16.5" x14ac:dyDescent="0.3">
      <c r="B81" s="96" t="s">
        <v>141</v>
      </c>
      <c r="C81" s="121"/>
      <c r="D81" s="121">
        <f t="shared" ref="D81:E81" si="50">125-D79*D72</f>
        <v>125</v>
      </c>
      <c r="E81" s="121">
        <f t="shared" si="50"/>
        <v>125</v>
      </c>
      <c r="F81" s="101" t="s">
        <v>59</v>
      </c>
      <c r="G81" s="115"/>
      <c r="H81" s="96"/>
    </row>
    <row r="82" spans="2:12" ht="16.5" x14ac:dyDescent="0.3">
      <c r="B82" s="96" t="s">
        <v>142</v>
      </c>
      <c r="C82" s="121"/>
      <c r="D82" s="121">
        <f t="shared" ref="D82:E82" si="51">D78*D71</f>
        <v>0</v>
      </c>
      <c r="E82" s="121">
        <f t="shared" si="51"/>
        <v>0</v>
      </c>
      <c r="F82" s="101" t="s">
        <v>59</v>
      </c>
      <c r="G82" s="115"/>
      <c r="H82" s="96"/>
      <c r="J82" s="248" t="s">
        <v>504</v>
      </c>
      <c r="K82" s="248"/>
      <c r="L82" s="248"/>
    </row>
    <row r="83" spans="2:12" ht="16.5" x14ac:dyDescent="0.3">
      <c r="B83" s="96" t="s">
        <v>143</v>
      </c>
      <c r="C83" s="121"/>
      <c r="D83" s="121">
        <f t="shared" ref="D83:E83" si="52">D79*D72</f>
        <v>0</v>
      </c>
      <c r="E83" s="121">
        <f t="shared" si="52"/>
        <v>0</v>
      </c>
      <c r="F83" s="101" t="s">
        <v>59</v>
      </c>
      <c r="G83" s="115"/>
      <c r="H83" s="96"/>
      <c r="J83" s="146" t="s">
        <v>496</v>
      </c>
      <c r="K83" s="146" t="s">
        <v>502</v>
      </c>
      <c r="L83" s="146"/>
    </row>
    <row r="84" spans="2:12" ht="16.5" x14ac:dyDescent="0.3">
      <c r="B84" s="96" t="s">
        <v>144</v>
      </c>
      <c r="C84" s="128"/>
      <c r="D84" s="128">
        <v>3.2000000000000001E-2</v>
      </c>
      <c r="E84" s="128">
        <v>3.2000000000000001E-2</v>
      </c>
      <c r="F84" s="96" t="s">
        <v>58</v>
      </c>
      <c r="G84" s="115">
        <v>19</v>
      </c>
      <c r="H84" s="96" t="s">
        <v>117</v>
      </c>
      <c r="J84" s="114" t="s">
        <v>494</v>
      </c>
      <c r="K84" s="114">
        <v>183</v>
      </c>
      <c r="L84" s="114" t="s">
        <v>497</v>
      </c>
    </row>
    <row r="85" spans="2:12" ht="16.5" x14ac:dyDescent="0.3">
      <c r="B85" s="96" t="s">
        <v>145</v>
      </c>
      <c r="C85" s="128"/>
      <c r="D85" s="128">
        <v>5.1999999999999998E-2</v>
      </c>
      <c r="E85" s="128">
        <v>5.1999999999999998E-2</v>
      </c>
      <c r="F85" s="96" t="s">
        <v>58</v>
      </c>
      <c r="G85" s="115">
        <v>20</v>
      </c>
      <c r="H85" s="96" t="s">
        <v>117</v>
      </c>
      <c r="J85" s="114" t="s">
        <v>495</v>
      </c>
      <c r="K85" s="114">
        <v>75</v>
      </c>
      <c r="L85" s="114" t="s">
        <v>497</v>
      </c>
    </row>
    <row r="86" spans="2:12" ht="16.5" x14ac:dyDescent="0.3">
      <c r="B86" s="96" t="s">
        <v>146</v>
      </c>
      <c r="C86" s="122"/>
      <c r="D86" s="122">
        <f t="shared" ref="D86:E86" si="53">D80-D84*D71</f>
        <v>125</v>
      </c>
      <c r="E86" s="122">
        <f t="shared" si="53"/>
        <v>125</v>
      </c>
      <c r="F86" s="101" t="s">
        <v>59</v>
      </c>
      <c r="G86" s="115"/>
      <c r="H86" s="96" t="s">
        <v>140</v>
      </c>
      <c r="J86" s="114" t="s">
        <v>498</v>
      </c>
      <c r="K86" s="114">
        <v>9</v>
      </c>
      <c r="L86" s="114" t="s">
        <v>497</v>
      </c>
    </row>
    <row r="87" spans="2:12" ht="16.5" x14ac:dyDescent="0.3">
      <c r="B87" s="96" t="s">
        <v>147</v>
      </c>
      <c r="C87" s="121"/>
      <c r="D87" s="121">
        <f t="shared" ref="D87:E87" si="54">D81-D85*D72</f>
        <v>125</v>
      </c>
      <c r="E87" s="121">
        <f t="shared" si="54"/>
        <v>125</v>
      </c>
      <c r="F87" s="101" t="s">
        <v>59</v>
      </c>
      <c r="G87" s="115"/>
      <c r="H87" s="96"/>
      <c r="J87" s="114" t="s">
        <v>499</v>
      </c>
      <c r="K87" s="114">
        <v>6</v>
      </c>
      <c r="L87" s="114" t="s">
        <v>497</v>
      </c>
    </row>
    <row r="88" spans="2:12" ht="16.5" x14ac:dyDescent="0.3">
      <c r="B88" s="96" t="s">
        <v>148</v>
      </c>
      <c r="C88" s="121"/>
      <c r="D88" s="121">
        <f t="shared" ref="D88:E88" si="55">D84*D71</f>
        <v>0</v>
      </c>
      <c r="E88" s="121">
        <f t="shared" si="55"/>
        <v>0</v>
      </c>
      <c r="F88" s="101" t="s">
        <v>59</v>
      </c>
      <c r="G88" s="115"/>
      <c r="H88" s="96"/>
      <c r="J88" s="114" t="s">
        <v>500</v>
      </c>
      <c r="K88" s="114">
        <v>12</v>
      </c>
      <c r="L88" s="114" t="s">
        <v>497</v>
      </c>
    </row>
    <row r="89" spans="2:12" ht="16.5" x14ac:dyDescent="0.3">
      <c r="B89" s="96" t="s">
        <v>149</v>
      </c>
      <c r="C89" s="121"/>
      <c r="D89" s="121">
        <f t="shared" ref="D89:E89" si="56">D85*D72</f>
        <v>0</v>
      </c>
      <c r="E89" s="121">
        <f t="shared" si="56"/>
        <v>0</v>
      </c>
      <c r="F89" s="101" t="s">
        <v>59</v>
      </c>
      <c r="G89" s="115"/>
      <c r="H89" s="96"/>
      <c r="J89" s="114" t="s">
        <v>501</v>
      </c>
      <c r="K89" s="114">
        <v>78.540000000000006</v>
      </c>
      <c r="L89" s="114" t="s">
        <v>497</v>
      </c>
    </row>
    <row r="90" spans="2:12" ht="16.5" x14ac:dyDescent="0.3">
      <c r="B90" s="96" t="s">
        <v>60</v>
      </c>
      <c r="C90" s="121"/>
      <c r="D90" s="121">
        <v>60</v>
      </c>
      <c r="E90" s="121">
        <v>60</v>
      </c>
      <c r="F90" s="101" t="s">
        <v>59</v>
      </c>
      <c r="G90" s="115"/>
      <c r="H90" s="96" t="s">
        <v>150</v>
      </c>
    </row>
    <row r="91" spans="2:12" ht="16.5" x14ac:dyDescent="0.3">
      <c r="B91" s="96" t="s">
        <v>61</v>
      </c>
      <c r="C91" s="120"/>
      <c r="D91" s="120">
        <v>8</v>
      </c>
      <c r="E91" s="120">
        <v>8</v>
      </c>
      <c r="F91" s="101" t="s">
        <v>62</v>
      </c>
      <c r="G91" s="115"/>
      <c r="H91" s="96" t="s">
        <v>151</v>
      </c>
    </row>
    <row r="92" spans="2:12" ht="16.5" x14ac:dyDescent="0.3">
      <c r="B92" s="96" t="s">
        <v>63</v>
      </c>
      <c r="C92" s="106"/>
      <c r="D92" s="106">
        <f t="shared" ref="D92:E92" si="57">D90-(D75/1000*860/D91/60)</f>
        <v>60</v>
      </c>
      <c r="E92" s="106">
        <f t="shared" si="57"/>
        <v>60</v>
      </c>
      <c r="F92" s="101" t="s">
        <v>59</v>
      </c>
      <c r="G92" s="115"/>
      <c r="H92" s="96"/>
    </row>
  </sheetData>
  <mergeCells count="25">
    <mergeCell ref="V3:X3"/>
    <mergeCell ref="V10:X10"/>
    <mergeCell ref="V32:X32"/>
    <mergeCell ref="V38:X38"/>
    <mergeCell ref="N50:P50"/>
    <mergeCell ref="V19:X19"/>
    <mergeCell ref="R22:T22"/>
    <mergeCell ref="R41:T41"/>
    <mergeCell ref="R61:T61"/>
    <mergeCell ref="C2:E2"/>
    <mergeCell ref="J61:L61"/>
    <mergeCell ref="J82:L82"/>
    <mergeCell ref="R3:T3"/>
    <mergeCell ref="J3:L3"/>
    <mergeCell ref="J16:L16"/>
    <mergeCell ref="J29:L29"/>
    <mergeCell ref="J40:L40"/>
    <mergeCell ref="N3:P3"/>
    <mergeCell ref="N10:P10"/>
    <mergeCell ref="N15:P15"/>
    <mergeCell ref="J55:L55"/>
    <mergeCell ref="J49:L49"/>
    <mergeCell ref="O32:P32"/>
    <mergeCell ref="N21:P21"/>
    <mergeCell ref="N44:P4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/>
  </sheetViews>
  <sheetFormatPr defaultRowHeight="13.5" x14ac:dyDescent="0.15"/>
  <cols>
    <col min="2" max="2" width="22.21875" bestFit="1" customWidth="1"/>
    <col min="3" max="3" width="50.44140625" customWidth="1"/>
    <col min="4" max="4" width="36.44140625" customWidth="1"/>
  </cols>
  <sheetData>
    <row r="2" spans="2:4" ht="14.25" thickBot="1" x14ac:dyDescent="0.2"/>
    <row r="3" spans="2:4" ht="14.25" thickBot="1" x14ac:dyDescent="0.2">
      <c r="B3" s="132" t="s">
        <v>483</v>
      </c>
      <c r="C3" s="133" t="s">
        <v>630</v>
      </c>
      <c r="D3" s="133" t="s">
        <v>482</v>
      </c>
    </row>
    <row r="4" spans="2:4" ht="14.25" thickBot="1" x14ac:dyDescent="0.2">
      <c r="B4" s="134" t="s">
        <v>459</v>
      </c>
      <c r="C4" s="132" t="s">
        <v>631</v>
      </c>
      <c r="D4" s="132"/>
    </row>
    <row r="5" spans="2:4" x14ac:dyDescent="0.15">
      <c r="B5" s="135" t="s">
        <v>460</v>
      </c>
      <c r="C5" s="136" t="s">
        <v>632</v>
      </c>
      <c r="D5" s="136"/>
    </row>
    <row r="6" spans="2:4" x14ac:dyDescent="0.15">
      <c r="B6" s="135" t="s">
        <v>461</v>
      </c>
      <c r="C6" s="136" t="s">
        <v>633</v>
      </c>
      <c r="D6" s="136"/>
    </row>
    <row r="7" spans="2:4" x14ac:dyDescent="0.15">
      <c r="B7" s="135" t="s">
        <v>635</v>
      </c>
      <c r="C7" s="137" t="s">
        <v>636</v>
      </c>
      <c r="D7" s="137"/>
    </row>
    <row r="8" spans="2:4" x14ac:dyDescent="0.15">
      <c r="B8" s="135" t="s">
        <v>462</v>
      </c>
      <c r="C8" s="137" t="s">
        <v>650</v>
      </c>
      <c r="D8" s="137"/>
    </row>
    <row r="9" spans="2:4" x14ac:dyDescent="0.15">
      <c r="B9" s="135" t="s">
        <v>463</v>
      </c>
      <c r="C9" s="137" t="s">
        <v>651</v>
      </c>
      <c r="D9" s="137"/>
    </row>
    <row r="10" spans="2:4" x14ac:dyDescent="0.15">
      <c r="B10" s="135" t="s">
        <v>464</v>
      </c>
      <c r="C10" s="138" t="s">
        <v>531</v>
      </c>
      <c r="D10" s="138" t="s">
        <v>532</v>
      </c>
    </row>
    <row r="11" spans="2:4" x14ac:dyDescent="0.15">
      <c r="B11" s="135" t="s">
        <v>465</v>
      </c>
      <c r="C11" s="202" t="s">
        <v>533</v>
      </c>
      <c r="D11" s="138"/>
    </row>
    <row r="12" spans="2:4" x14ac:dyDescent="0.15">
      <c r="B12" s="135" t="s">
        <v>466</v>
      </c>
      <c r="C12" s="203" t="s">
        <v>530</v>
      </c>
      <c r="D12" s="137"/>
    </row>
    <row r="13" spans="2:4" x14ac:dyDescent="0.15">
      <c r="B13" s="135" t="s">
        <v>467</v>
      </c>
      <c r="C13" s="203" t="s">
        <v>626</v>
      </c>
      <c r="D13" s="137"/>
    </row>
    <row r="14" spans="2:4" x14ac:dyDescent="0.15">
      <c r="B14" s="135" t="s">
        <v>468</v>
      </c>
      <c r="C14" s="203" t="s">
        <v>539</v>
      </c>
      <c r="D14" s="137"/>
    </row>
    <row r="15" spans="2:4" x14ac:dyDescent="0.15">
      <c r="B15" s="135" t="s">
        <v>537</v>
      </c>
      <c r="C15" s="203" t="s">
        <v>627</v>
      </c>
      <c r="D15" s="137" t="s">
        <v>540</v>
      </c>
    </row>
    <row r="16" spans="2:4" x14ac:dyDescent="0.15">
      <c r="B16" s="137" t="s">
        <v>538</v>
      </c>
      <c r="C16" s="203" t="s">
        <v>637</v>
      </c>
      <c r="D16" s="137"/>
    </row>
    <row r="17" spans="2:11" x14ac:dyDescent="0.15">
      <c r="B17" s="135" t="s">
        <v>469</v>
      </c>
      <c r="C17" s="138" t="s">
        <v>535</v>
      </c>
      <c r="D17" s="138"/>
    </row>
    <row r="18" spans="2:11" x14ac:dyDescent="0.15">
      <c r="B18" s="135" t="s">
        <v>471</v>
      </c>
      <c r="C18" s="139" t="s">
        <v>534</v>
      </c>
      <c r="D18" s="138"/>
      <c r="E18" s="206"/>
      <c r="F18" s="206"/>
      <c r="G18" s="206"/>
      <c r="H18" s="206"/>
      <c r="I18" s="206"/>
      <c r="J18" s="206"/>
      <c r="K18" s="206"/>
    </row>
    <row r="19" spans="2:11" s="210" customFormat="1" x14ac:dyDescent="0.15">
      <c r="B19" s="213" t="s">
        <v>628</v>
      </c>
      <c r="C19" s="203"/>
      <c r="D19" s="212"/>
      <c r="E19" s="209"/>
      <c r="F19" s="209"/>
      <c r="G19" s="209"/>
      <c r="H19" s="209"/>
      <c r="I19" s="209"/>
      <c r="J19" s="209"/>
      <c r="K19" s="209"/>
    </row>
    <row r="20" spans="2:11" ht="32.25" customHeight="1" x14ac:dyDescent="0.15">
      <c r="B20" s="135" t="s">
        <v>470</v>
      </c>
      <c r="C20" s="212" t="s">
        <v>657</v>
      </c>
      <c r="D20" s="205"/>
      <c r="E20" s="206"/>
      <c r="F20" s="206"/>
      <c r="G20" s="206"/>
      <c r="H20" s="207"/>
      <c r="I20" s="206"/>
      <c r="J20" s="206"/>
      <c r="K20" s="206"/>
    </row>
    <row r="21" spans="2:11" x14ac:dyDescent="0.15">
      <c r="B21" s="204" t="s">
        <v>472</v>
      </c>
      <c r="C21" s="138" t="s">
        <v>641</v>
      </c>
      <c r="D21" s="138"/>
      <c r="E21" s="206"/>
      <c r="F21" s="206"/>
      <c r="G21" s="206"/>
      <c r="H21" s="206"/>
      <c r="I21" s="206"/>
      <c r="J21" s="206"/>
      <c r="K21" s="206"/>
    </row>
    <row r="22" spans="2:11" ht="27" x14ac:dyDescent="0.15">
      <c r="B22" s="204" t="s">
        <v>473</v>
      </c>
      <c r="C22" s="211" t="s">
        <v>638</v>
      </c>
      <c r="D22" s="214"/>
      <c r="E22" s="206"/>
      <c r="F22" s="206"/>
      <c r="G22" s="206"/>
      <c r="H22" s="206"/>
      <c r="I22" s="206"/>
      <c r="J22" s="206"/>
      <c r="K22" s="206"/>
    </row>
    <row r="23" spans="2:11" x14ac:dyDescent="0.15">
      <c r="B23" s="135" t="s">
        <v>484</v>
      </c>
      <c r="C23" s="138" t="s">
        <v>536</v>
      </c>
      <c r="D23" s="138"/>
      <c r="E23" s="206"/>
      <c r="F23" s="206"/>
      <c r="G23" s="206"/>
      <c r="H23" s="206"/>
      <c r="I23" s="206"/>
      <c r="J23" s="206"/>
      <c r="K23" s="206"/>
    </row>
    <row r="24" spans="2:11" ht="67.5" x14ac:dyDescent="0.15">
      <c r="B24" s="140" t="s">
        <v>474</v>
      </c>
      <c r="C24" s="138" t="s">
        <v>642</v>
      </c>
      <c r="D24" s="138"/>
    </row>
    <row r="25" spans="2:11" x14ac:dyDescent="0.15">
      <c r="B25" s="135" t="s">
        <v>475</v>
      </c>
      <c r="C25" s="137"/>
      <c r="D25" s="137"/>
    </row>
    <row r="26" spans="2:11" x14ac:dyDescent="0.15">
      <c r="B26" s="135" t="s">
        <v>476</v>
      </c>
      <c r="C26" s="135" t="s">
        <v>652</v>
      </c>
      <c r="D26" s="135"/>
    </row>
    <row r="27" spans="2:11" x14ac:dyDescent="0.15">
      <c r="B27" s="135" t="s">
        <v>477</v>
      </c>
      <c r="C27" s="135" t="s">
        <v>639</v>
      </c>
      <c r="D27" s="135"/>
    </row>
    <row r="28" spans="2:11" x14ac:dyDescent="0.15">
      <c r="B28" s="135" t="s">
        <v>478</v>
      </c>
      <c r="C28" s="135" t="s">
        <v>640</v>
      </c>
      <c r="D28" s="135"/>
    </row>
    <row r="29" spans="2:11" x14ac:dyDescent="0.15">
      <c r="B29" s="135" t="s">
        <v>479</v>
      </c>
      <c r="C29" s="208" t="s">
        <v>653</v>
      </c>
      <c r="D29" s="208"/>
    </row>
    <row r="30" spans="2:11" x14ac:dyDescent="0.15">
      <c r="B30" s="141" t="s">
        <v>480</v>
      </c>
      <c r="C30" s="135" t="s">
        <v>654</v>
      </c>
      <c r="D30" s="135"/>
    </row>
    <row r="31" spans="2:11" ht="14.25" thickBot="1" x14ac:dyDescent="0.2">
      <c r="B31" s="142" t="s">
        <v>481</v>
      </c>
      <c r="C31" s="142" t="s">
        <v>655</v>
      </c>
      <c r="D31" s="14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50" sqref="K50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68" t="s">
        <v>541</v>
      </c>
      <c r="D2" s="269"/>
      <c r="E2" s="269"/>
      <c r="F2" s="269"/>
      <c r="G2" s="270"/>
    </row>
    <row r="3" spans="3:7" ht="20.25" x14ac:dyDescent="0.15">
      <c r="C3" s="271" t="s">
        <v>542</v>
      </c>
      <c r="D3" s="271"/>
      <c r="E3" s="265" t="s">
        <v>646</v>
      </c>
      <c r="F3" s="266"/>
      <c r="G3" s="267"/>
    </row>
    <row r="4" spans="3:7" ht="20.25" x14ac:dyDescent="0.15">
      <c r="C4" s="179" t="s">
        <v>543</v>
      </c>
      <c r="D4" s="180" t="s">
        <v>647</v>
      </c>
      <c r="E4" s="130" t="s">
        <v>457</v>
      </c>
      <c r="F4" s="272" t="s">
        <v>648</v>
      </c>
      <c r="G4" s="273"/>
    </row>
    <row r="5" spans="3:7" ht="20.25" x14ac:dyDescent="0.15">
      <c r="C5" s="181" t="s">
        <v>544</v>
      </c>
      <c r="D5" s="182"/>
      <c r="E5" s="130" t="s">
        <v>458</v>
      </c>
      <c r="F5" s="265" t="s">
        <v>649</v>
      </c>
      <c r="G5" s="267"/>
    </row>
    <row r="6" spans="3:7" ht="20.25" x14ac:dyDescent="0.15">
      <c r="C6" s="265" t="s">
        <v>545</v>
      </c>
      <c r="D6" s="266"/>
      <c r="E6" s="266"/>
      <c r="F6" s="266"/>
      <c r="G6" s="267"/>
    </row>
    <row r="7" spans="3:7" ht="16.5" hidden="1" x14ac:dyDescent="0.15">
      <c r="C7" s="183">
        <v>1</v>
      </c>
      <c r="D7" s="69" t="s">
        <v>546</v>
      </c>
      <c r="E7" s="184" t="s">
        <v>546</v>
      </c>
      <c r="F7" s="185">
        <v>100</v>
      </c>
      <c r="G7" s="186" t="s">
        <v>547</v>
      </c>
    </row>
    <row r="8" spans="3:7" ht="16.5" hidden="1" customHeight="1" x14ac:dyDescent="0.15">
      <c r="C8" s="187"/>
      <c r="D8" s="187"/>
      <c r="E8" s="184" t="s">
        <v>548</v>
      </c>
      <c r="F8" s="185">
        <v>1</v>
      </c>
      <c r="G8" s="186" t="s">
        <v>549</v>
      </c>
    </row>
    <row r="9" spans="3:7" ht="20.25" hidden="1" customHeight="1" x14ac:dyDescent="0.15">
      <c r="C9" s="187"/>
      <c r="D9" s="187"/>
      <c r="E9" s="188" t="s">
        <v>550</v>
      </c>
      <c r="F9" s="189">
        <f>(10*10^6)/F8</f>
        <v>10000000</v>
      </c>
      <c r="G9" s="190"/>
    </row>
    <row r="10" spans="3:7" ht="16.5" hidden="1" customHeight="1" x14ac:dyDescent="0.15">
      <c r="C10" s="187"/>
      <c r="D10" s="187"/>
      <c r="E10" s="188" t="s">
        <v>551</v>
      </c>
      <c r="F10" s="189">
        <v>100000</v>
      </c>
      <c r="G10" s="190">
        <v>50000</v>
      </c>
    </row>
    <row r="11" spans="3:7" ht="16.5" hidden="1" customHeight="1" x14ac:dyDescent="0.15">
      <c r="C11" s="187"/>
      <c r="D11" s="187"/>
      <c r="E11" s="188" t="s">
        <v>552</v>
      </c>
      <c r="F11" s="189" t="e">
        <f>$E9/(F10/10)</f>
        <v>#VALUE!</v>
      </c>
      <c r="G11" s="190" t="e">
        <f>$E9/(G10/10)</f>
        <v>#VALUE!</v>
      </c>
    </row>
    <row r="12" spans="3:7" ht="16.5" hidden="1" customHeight="1" x14ac:dyDescent="0.15">
      <c r="C12" s="187"/>
      <c r="D12" s="187"/>
      <c r="E12" s="188" t="s">
        <v>553</v>
      </c>
      <c r="F12" s="189" t="e">
        <f>F11/2</f>
        <v>#VALUE!</v>
      </c>
      <c r="G12" s="190" t="e">
        <f>G11/2</f>
        <v>#VALUE!</v>
      </c>
    </row>
    <row r="13" spans="3:7" ht="16.5" customHeight="1" x14ac:dyDescent="0.15">
      <c r="C13" s="252">
        <v>2</v>
      </c>
      <c r="D13" s="255" t="s">
        <v>554</v>
      </c>
      <c r="E13" s="184" t="s">
        <v>555</v>
      </c>
      <c r="F13" s="185">
        <v>15</v>
      </c>
      <c r="G13" s="69" t="s">
        <v>556</v>
      </c>
    </row>
    <row r="14" spans="3:7" ht="16.5" x14ac:dyDescent="0.15">
      <c r="C14" s="254"/>
      <c r="D14" s="263"/>
      <c r="E14" s="184" t="s">
        <v>557</v>
      </c>
      <c r="F14" s="194">
        <v>1.5</v>
      </c>
      <c r="G14" s="69" t="s">
        <v>556</v>
      </c>
    </row>
    <row r="15" spans="3:7" ht="16.5" x14ac:dyDescent="0.15">
      <c r="C15" s="252">
        <v>3</v>
      </c>
      <c r="D15" s="255" t="s">
        <v>558</v>
      </c>
      <c r="E15" s="184" t="s">
        <v>558</v>
      </c>
      <c r="F15" s="185">
        <v>440</v>
      </c>
      <c r="G15" s="69" t="s">
        <v>559</v>
      </c>
    </row>
    <row r="16" spans="3:7" ht="16.5" x14ac:dyDescent="0.15">
      <c r="C16" s="253"/>
      <c r="D16" s="256"/>
      <c r="E16" s="192" t="s">
        <v>560</v>
      </c>
      <c r="F16" s="185">
        <v>763</v>
      </c>
      <c r="G16" s="69" t="s">
        <v>161</v>
      </c>
    </row>
    <row r="17" spans="3:8" ht="16.5" x14ac:dyDescent="0.15">
      <c r="C17" s="253"/>
      <c r="D17" s="256"/>
      <c r="E17" s="192" t="s">
        <v>561</v>
      </c>
      <c r="F17" s="185">
        <v>400</v>
      </c>
      <c r="G17" s="69" t="s">
        <v>161</v>
      </c>
    </row>
    <row r="18" spans="3:8" ht="16.5" x14ac:dyDescent="0.15">
      <c r="C18" s="254"/>
      <c r="D18" s="263"/>
      <c r="E18" s="192" t="s">
        <v>562</v>
      </c>
      <c r="F18" s="185">
        <v>350</v>
      </c>
      <c r="G18" s="69" t="s">
        <v>161</v>
      </c>
    </row>
    <row r="19" spans="3:8" ht="16.5" x14ac:dyDescent="0.15">
      <c r="C19" s="252">
        <v>4</v>
      </c>
      <c r="D19" s="255" t="s">
        <v>563</v>
      </c>
      <c r="E19" s="184" t="s">
        <v>564</v>
      </c>
      <c r="F19" s="185">
        <v>100</v>
      </c>
      <c r="G19" s="69" t="s">
        <v>565</v>
      </c>
    </row>
    <row r="20" spans="3:8" ht="16.5" x14ac:dyDescent="0.15">
      <c r="C20" s="254"/>
      <c r="D20" s="263"/>
      <c r="E20" s="192" t="s">
        <v>566</v>
      </c>
      <c r="F20" s="185">
        <v>100</v>
      </c>
      <c r="G20" s="69" t="s">
        <v>164</v>
      </c>
    </row>
    <row r="21" spans="3:8" ht="16.5" x14ac:dyDescent="0.15">
      <c r="C21" s="252">
        <v>5</v>
      </c>
      <c r="D21" s="255" t="s">
        <v>567</v>
      </c>
      <c r="E21" s="193" t="s">
        <v>568</v>
      </c>
      <c r="F21" s="194">
        <v>6.8</v>
      </c>
      <c r="G21" s="67" t="s">
        <v>569</v>
      </c>
    </row>
    <row r="22" spans="3:8" ht="16.5" x14ac:dyDescent="0.15">
      <c r="C22" s="253"/>
      <c r="D22" s="256"/>
      <c r="E22" s="193" t="s">
        <v>570</v>
      </c>
      <c r="F22" s="185">
        <v>2</v>
      </c>
      <c r="G22" s="67" t="s">
        <v>571</v>
      </c>
    </row>
    <row r="23" spans="3:8" ht="16.5" customHeight="1" x14ac:dyDescent="0.15">
      <c r="C23" s="253"/>
      <c r="D23" s="256"/>
      <c r="E23" s="193" t="s">
        <v>572</v>
      </c>
      <c r="F23" s="185">
        <v>100</v>
      </c>
      <c r="G23" s="67" t="s">
        <v>573</v>
      </c>
    </row>
    <row r="24" spans="3:8" ht="16.5" x14ac:dyDescent="0.15">
      <c r="C24" s="253"/>
      <c r="D24" s="256"/>
      <c r="E24" s="193" t="s">
        <v>574</v>
      </c>
      <c r="F24" s="185">
        <v>50</v>
      </c>
      <c r="G24" s="67" t="s">
        <v>164</v>
      </c>
      <c r="H24" t="s">
        <v>656</v>
      </c>
    </row>
    <row r="25" spans="3:8" ht="16.5" x14ac:dyDescent="0.15">
      <c r="C25" s="253"/>
      <c r="D25" s="256"/>
      <c r="E25" s="195" t="s">
        <v>575</v>
      </c>
      <c r="F25" s="185">
        <f>(3/(F21/F22))*F23</f>
        <v>88.235294117647058</v>
      </c>
      <c r="G25" s="67" t="s">
        <v>164</v>
      </c>
    </row>
    <row r="26" spans="3:8" ht="16.5" x14ac:dyDescent="0.15">
      <c r="C26" s="253"/>
      <c r="D26" s="256"/>
      <c r="E26" s="195" t="s">
        <v>576</v>
      </c>
      <c r="F26" s="185">
        <f>F25*1.11</f>
        <v>97.941176470588246</v>
      </c>
      <c r="G26" s="67" t="s">
        <v>164</v>
      </c>
    </row>
    <row r="27" spans="3:8" ht="16.5" x14ac:dyDescent="0.15">
      <c r="C27" s="254"/>
      <c r="D27" s="263"/>
      <c r="E27" s="195" t="s">
        <v>577</v>
      </c>
      <c r="F27" s="185">
        <v>80</v>
      </c>
      <c r="G27" s="67" t="s">
        <v>164</v>
      </c>
    </row>
    <row r="28" spans="3:8" ht="16.5" customHeight="1" x14ac:dyDescent="0.15">
      <c r="C28" s="252">
        <v>6</v>
      </c>
      <c r="D28" s="264" t="s">
        <v>578</v>
      </c>
      <c r="E28" s="195" t="s">
        <v>555</v>
      </c>
      <c r="F28" s="185">
        <v>15</v>
      </c>
      <c r="G28" s="103" t="s">
        <v>579</v>
      </c>
    </row>
    <row r="29" spans="3:8" ht="16.5" customHeight="1" x14ac:dyDescent="0.15">
      <c r="C29" s="254"/>
      <c r="D29" s="263"/>
      <c r="E29" s="195" t="s">
        <v>557</v>
      </c>
      <c r="F29" s="194">
        <v>1.5</v>
      </c>
      <c r="G29" s="103" t="s">
        <v>579</v>
      </c>
    </row>
    <row r="30" spans="3:8" ht="16.5" x14ac:dyDescent="0.15">
      <c r="C30" s="252">
        <v>7</v>
      </c>
      <c r="D30" s="255" t="s">
        <v>580</v>
      </c>
      <c r="E30" s="195" t="s">
        <v>555</v>
      </c>
      <c r="F30" s="185">
        <v>15</v>
      </c>
      <c r="G30" s="103" t="s">
        <v>579</v>
      </c>
    </row>
    <row r="31" spans="3:8" ht="16.5" x14ac:dyDescent="0.15">
      <c r="C31" s="254"/>
      <c r="D31" s="263"/>
      <c r="E31" s="195" t="s">
        <v>557</v>
      </c>
      <c r="F31" s="191"/>
      <c r="G31" s="103" t="s">
        <v>579</v>
      </c>
    </row>
    <row r="32" spans="3:8" ht="16.5" x14ac:dyDescent="0.15">
      <c r="C32" s="252">
        <v>8</v>
      </c>
      <c r="D32" s="255" t="s">
        <v>581</v>
      </c>
      <c r="E32" s="195" t="s">
        <v>555</v>
      </c>
      <c r="F32" s="185"/>
      <c r="G32" s="103" t="s">
        <v>582</v>
      </c>
    </row>
    <row r="33" spans="3:8" ht="16.5" x14ac:dyDescent="0.15">
      <c r="C33" s="254"/>
      <c r="D33" s="263"/>
      <c r="E33" s="195" t="s">
        <v>557</v>
      </c>
      <c r="F33" s="185"/>
      <c r="G33" s="103" t="s">
        <v>582</v>
      </c>
    </row>
    <row r="34" spans="3:8" ht="16.5" x14ac:dyDescent="0.15">
      <c r="C34" s="252">
        <v>9</v>
      </c>
      <c r="D34" s="255" t="s">
        <v>583</v>
      </c>
      <c r="E34" s="195" t="s">
        <v>584</v>
      </c>
      <c r="F34" s="185">
        <v>42</v>
      </c>
      <c r="G34" s="103" t="s">
        <v>585</v>
      </c>
    </row>
    <row r="35" spans="3:8" ht="16.5" x14ac:dyDescent="0.15">
      <c r="C35" s="253"/>
      <c r="D35" s="256"/>
      <c r="E35" s="195" t="s">
        <v>586</v>
      </c>
      <c r="F35" s="185">
        <v>500</v>
      </c>
      <c r="G35" s="103" t="s">
        <v>161</v>
      </c>
    </row>
    <row r="36" spans="3:8" ht="16.5" x14ac:dyDescent="0.15">
      <c r="C36" s="254"/>
      <c r="D36" s="263"/>
      <c r="E36" s="195" t="s">
        <v>587</v>
      </c>
      <c r="F36" s="185">
        <v>400</v>
      </c>
      <c r="G36" s="103" t="s">
        <v>161</v>
      </c>
    </row>
    <row r="37" spans="3:8" ht="16.5" x14ac:dyDescent="0.15">
      <c r="C37" s="183">
        <v>10</v>
      </c>
      <c r="D37" s="69" t="s">
        <v>588</v>
      </c>
      <c r="E37" s="195" t="s">
        <v>589</v>
      </c>
      <c r="F37" s="215">
        <v>27</v>
      </c>
      <c r="G37" s="67" t="s">
        <v>573</v>
      </c>
    </row>
    <row r="38" spans="3:8" ht="16.5" x14ac:dyDescent="0.15">
      <c r="C38" s="252">
        <v>11</v>
      </c>
      <c r="D38" s="255" t="s">
        <v>590</v>
      </c>
      <c r="E38" s="195" t="s">
        <v>557</v>
      </c>
      <c r="F38" s="185">
        <v>10000</v>
      </c>
      <c r="G38" s="67" t="s">
        <v>582</v>
      </c>
    </row>
    <row r="39" spans="3:8" ht="16.5" customHeight="1" x14ac:dyDescent="0.15">
      <c r="C39" s="253"/>
      <c r="D39" s="256"/>
      <c r="E39" s="195" t="s">
        <v>555</v>
      </c>
      <c r="F39" s="185"/>
      <c r="G39" s="67" t="s">
        <v>582</v>
      </c>
      <c r="H39" t="s">
        <v>591</v>
      </c>
    </row>
    <row r="40" spans="3:8" ht="16.5" x14ac:dyDescent="0.15">
      <c r="C40" s="253"/>
      <c r="D40" s="256"/>
      <c r="E40" s="195" t="s">
        <v>592</v>
      </c>
      <c r="F40" s="185">
        <v>60000</v>
      </c>
      <c r="G40" s="67" t="s">
        <v>582</v>
      </c>
    </row>
    <row r="41" spans="3:8" ht="16.5" x14ac:dyDescent="0.15">
      <c r="C41" s="254"/>
      <c r="D41" s="263"/>
      <c r="E41" s="195" t="s">
        <v>593</v>
      </c>
      <c r="F41" s="191">
        <v>50000</v>
      </c>
      <c r="G41" s="67" t="s">
        <v>582</v>
      </c>
    </row>
    <row r="42" spans="3:8" ht="16.5" x14ac:dyDescent="0.15">
      <c r="C42" s="196">
        <v>12</v>
      </c>
      <c r="D42" s="197" t="s">
        <v>594</v>
      </c>
      <c r="E42" s="195" t="s">
        <v>594</v>
      </c>
      <c r="F42" s="194">
        <v>1.5</v>
      </c>
      <c r="G42" s="103" t="s">
        <v>595</v>
      </c>
    </row>
    <row r="43" spans="3:8" ht="16.5" hidden="1" customHeight="1" x14ac:dyDescent="0.15">
      <c r="C43" s="252">
        <v>13</v>
      </c>
      <c r="D43" s="255" t="s">
        <v>596</v>
      </c>
      <c r="E43" s="195" t="s">
        <v>597</v>
      </c>
      <c r="F43" s="195" t="s">
        <v>598</v>
      </c>
      <c r="G43" s="198" t="s">
        <v>599</v>
      </c>
    </row>
    <row r="44" spans="3:8" ht="16.5" x14ac:dyDescent="0.15">
      <c r="C44" s="253"/>
      <c r="D44" s="256"/>
      <c r="E44" s="195" t="s">
        <v>600</v>
      </c>
      <c r="F44" s="195" t="s">
        <v>601</v>
      </c>
      <c r="G44" s="198" t="s">
        <v>643</v>
      </c>
    </row>
    <row r="45" spans="3:8" ht="16.5" x14ac:dyDescent="0.15">
      <c r="C45" s="253"/>
      <c r="D45" s="256"/>
      <c r="E45" s="195" t="s">
        <v>602</v>
      </c>
      <c r="F45" s="195" t="s">
        <v>603</v>
      </c>
      <c r="G45" s="198" t="s">
        <v>599</v>
      </c>
    </row>
    <row r="46" spans="3:8" ht="16.5" x14ac:dyDescent="0.15">
      <c r="C46" s="253"/>
      <c r="D46" s="256"/>
      <c r="E46" s="195" t="s">
        <v>604</v>
      </c>
      <c r="F46" s="195" t="s">
        <v>605</v>
      </c>
      <c r="G46" s="198" t="s">
        <v>599</v>
      </c>
    </row>
    <row r="47" spans="3:8" ht="16.5" x14ac:dyDescent="0.15">
      <c r="C47" s="253"/>
      <c r="D47" s="256"/>
      <c r="E47" s="195" t="s">
        <v>606</v>
      </c>
      <c r="F47" s="195" t="s">
        <v>607</v>
      </c>
      <c r="G47" s="198" t="s">
        <v>599</v>
      </c>
    </row>
    <row r="48" spans="3:8" ht="16.5" x14ac:dyDescent="0.15">
      <c r="C48" s="253"/>
      <c r="D48" s="256"/>
      <c r="E48" s="195" t="s">
        <v>608</v>
      </c>
      <c r="F48" s="195" t="s">
        <v>609</v>
      </c>
      <c r="G48" s="198" t="s">
        <v>610</v>
      </c>
    </row>
    <row r="49" spans="3:7" ht="16.5" x14ac:dyDescent="0.15">
      <c r="C49" s="253"/>
      <c r="D49" s="256"/>
      <c r="E49" s="195" t="s">
        <v>611</v>
      </c>
      <c r="F49" s="195" t="s">
        <v>612</v>
      </c>
      <c r="G49" s="198" t="s">
        <v>610</v>
      </c>
    </row>
    <row r="50" spans="3:7" ht="82.5" x14ac:dyDescent="0.15">
      <c r="C50" s="253"/>
      <c r="D50" s="256"/>
      <c r="E50" s="195" t="s">
        <v>613</v>
      </c>
      <c r="F50" s="199" t="s">
        <v>614</v>
      </c>
      <c r="G50" s="198" t="s">
        <v>644</v>
      </c>
    </row>
    <row r="51" spans="3:7" ht="16.5" x14ac:dyDescent="0.15">
      <c r="C51" s="253"/>
      <c r="D51" s="256"/>
      <c r="E51" s="195" t="s">
        <v>615</v>
      </c>
      <c r="F51" s="195" t="s">
        <v>616</v>
      </c>
      <c r="G51" s="198" t="s">
        <v>610</v>
      </c>
    </row>
    <row r="52" spans="3:7" ht="37.5" customHeight="1" x14ac:dyDescent="0.15">
      <c r="C52" s="253"/>
      <c r="D52" s="256"/>
      <c r="E52" s="195" t="s">
        <v>617</v>
      </c>
      <c r="F52" s="200" t="s">
        <v>618</v>
      </c>
      <c r="G52" s="198" t="s">
        <v>645</v>
      </c>
    </row>
    <row r="53" spans="3:7" ht="16.5" x14ac:dyDescent="0.15">
      <c r="C53" s="253"/>
      <c r="D53" s="256"/>
      <c r="E53" s="195"/>
      <c r="F53" s="200" t="s">
        <v>577</v>
      </c>
      <c r="G53" s="198" t="s">
        <v>599</v>
      </c>
    </row>
    <row r="54" spans="3:7" ht="16.5" x14ac:dyDescent="0.15">
      <c r="C54" s="253"/>
      <c r="D54" s="256"/>
      <c r="E54" s="195"/>
      <c r="F54" s="200" t="s">
        <v>619</v>
      </c>
      <c r="G54" s="198" t="s">
        <v>599</v>
      </c>
    </row>
    <row r="55" spans="3:7" ht="16.5" x14ac:dyDescent="0.15">
      <c r="C55" s="254"/>
      <c r="D55" s="256"/>
      <c r="E55" s="195"/>
      <c r="F55" s="200" t="s">
        <v>620</v>
      </c>
      <c r="G55" s="198" t="s">
        <v>599</v>
      </c>
    </row>
    <row r="56" spans="3:7" ht="16.5" x14ac:dyDescent="0.15">
      <c r="C56" s="183">
        <v>14</v>
      </c>
      <c r="D56" s="201" t="s">
        <v>621</v>
      </c>
      <c r="E56" s="257" t="s">
        <v>622</v>
      </c>
      <c r="F56" s="258"/>
      <c r="G56" s="259"/>
    </row>
    <row r="57" spans="3:7" ht="16.5" x14ac:dyDescent="0.15">
      <c r="C57" s="183">
        <v>15</v>
      </c>
      <c r="D57" s="201" t="s">
        <v>623</v>
      </c>
      <c r="E57" s="257" t="s">
        <v>624</v>
      </c>
      <c r="F57" s="258"/>
      <c r="G57" s="259"/>
    </row>
    <row r="58" spans="3:7" x14ac:dyDescent="0.15">
      <c r="C58" s="3"/>
      <c r="D58" s="3"/>
      <c r="E58" s="3"/>
      <c r="F58" s="129"/>
      <c r="G58" s="3"/>
    </row>
    <row r="59" spans="3:7" x14ac:dyDescent="0.15">
      <c r="C59" s="131" t="s">
        <v>625</v>
      </c>
      <c r="D59" s="260"/>
      <c r="E59" s="261"/>
      <c r="F59" s="261"/>
      <c r="G59" s="262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21" sqref="G21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86" t="s">
        <v>330</v>
      </c>
      <c r="B2" s="276" t="s">
        <v>331</v>
      </c>
      <c r="C2" s="276" t="s">
        <v>332</v>
      </c>
      <c r="D2" s="276" t="s">
        <v>333</v>
      </c>
      <c r="E2" s="276" t="s">
        <v>334</v>
      </c>
      <c r="F2" s="278" t="s">
        <v>335</v>
      </c>
      <c r="G2" s="280" t="s">
        <v>336</v>
      </c>
      <c r="H2" s="276" t="s">
        <v>337</v>
      </c>
      <c r="I2" s="280" t="s">
        <v>338</v>
      </c>
      <c r="J2" s="288" t="s">
        <v>339</v>
      </c>
      <c r="K2" s="276" t="s">
        <v>340</v>
      </c>
      <c r="L2" s="278" t="s">
        <v>341</v>
      </c>
      <c r="M2" s="276" t="s">
        <v>342</v>
      </c>
      <c r="N2" s="276" t="s">
        <v>343</v>
      </c>
      <c r="O2" s="278" t="s">
        <v>344</v>
      </c>
      <c r="P2" s="276" t="s">
        <v>345</v>
      </c>
      <c r="Q2" s="276" t="s">
        <v>346</v>
      </c>
      <c r="R2" s="276"/>
      <c r="S2" s="280" t="s">
        <v>347</v>
      </c>
      <c r="T2" s="282" t="s">
        <v>348</v>
      </c>
      <c r="U2" s="284" t="s">
        <v>349</v>
      </c>
      <c r="V2" s="284" t="s">
        <v>350</v>
      </c>
    </row>
    <row r="3" spans="1:22" ht="17.25" thickBot="1" x14ac:dyDescent="0.2">
      <c r="A3" s="287"/>
      <c r="B3" s="277"/>
      <c r="C3" s="277"/>
      <c r="D3" s="277"/>
      <c r="E3" s="277"/>
      <c r="F3" s="279"/>
      <c r="G3" s="281"/>
      <c r="H3" s="277"/>
      <c r="I3" s="281"/>
      <c r="J3" s="289"/>
      <c r="K3" s="277"/>
      <c r="L3" s="279"/>
      <c r="M3" s="277"/>
      <c r="N3" s="277"/>
      <c r="O3" s="279"/>
      <c r="P3" s="277"/>
      <c r="Q3" s="149" t="s">
        <v>351</v>
      </c>
      <c r="R3" s="149" t="s">
        <v>352</v>
      </c>
      <c r="S3" s="281"/>
      <c r="T3" s="283"/>
      <c r="U3" s="285"/>
      <c r="V3" s="285"/>
    </row>
    <row r="4" spans="1:22" ht="17.25" thickTop="1" x14ac:dyDescent="0.3">
      <c r="A4" s="150">
        <v>20</v>
      </c>
      <c r="B4" s="151">
        <v>220</v>
      </c>
      <c r="C4" s="152">
        <f t="shared" ref="C4:C47" si="0">ROUNDUP(A4/(B4*0.9)/3^0.5*1000/0.9,0)</f>
        <v>65</v>
      </c>
      <c r="D4" s="152">
        <f t="shared" ref="D4:D47" si="1">ROUNDUP(B4*2^0.5*0.93,0)</f>
        <v>290</v>
      </c>
      <c r="E4" s="152">
        <f t="shared" ref="E4:E47" si="2">ROUNDUP(A4*1000/D4,0)</f>
        <v>69</v>
      </c>
      <c r="F4" s="153">
        <f t="shared" ref="F4:F47" si="3">30.8*100*C4/(1000*10)</f>
        <v>20.02</v>
      </c>
      <c r="G4" s="154">
        <f t="shared" ref="G4:G47" si="4">C4/(H4*I4)</f>
        <v>1.8571428571428572</v>
      </c>
      <c r="H4" s="151">
        <v>35</v>
      </c>
      <c r="I4" s="151">
        <v>1</v>
      </c>
      <c r="J4" s="151">
        <f t="shared" ref="J4:J47" si="5">L4*0.052</f>
        <v>3.9</v>
      </c>
      <c r="K4" s="151">
        <v>16</v>
      </c>
      <c r="L4" s="151">
        <v>75</v>
      </c>
      <c r="M4" s="151" t="s">
        <v>353</v>
      </c>
      <c r="N4" s="151" t="s">
        <v>354</v>
      </c>
      <c r="O4" s="155">
        <f t="shared" ref="O4:O47" si="6">SUM(C4*1.25)</f>
        <v>81.25</v>
      </c>
      <c r="P4" s="151" t="s">
        <v>355</v>
      </c>
      <c r="Q4" s="151" t="s">
        <v>356</v>
      </c>
      <c r="R4" s="151"/>
      <c r="S4" s="156" t="s">
        <v>357</v>
      </c>
      <c r="T4" s="156" t="s">
        <v>358</v>
      </c>
      <c r="U4" s="151" t="s">
        <v>359</v>
      </c>
      <c r="V4" s="157" t="s">
        <v>360</v>
      </c>
    </row>
    <row r="5" spans="1:22" ht="16.5" x14ac:dyDescent="0.3">
      <c r="A5" s="150">
        <v>20</v>
      </c>
      <c r="B5" s="151">
        <v>380</v>
      </c>
      <c r="C5" s="152">
        <f t="shared" si="0"/>
        <v>38</v>
      </c>
      <c r="D5" s="152">
        <f t="shared" si="1"/>
        <v>500</v>
      </c>
      <c r="E5" s="152">
        <f t="shared" si="2"/>
        <v>40</v>
      </c>
      <c r="F5" s="153">
        <f t="shared" si="3"/>
        <v>11.704000000000001</v>
      </c>
      <c r="G5" s="154">
        <f t="shared" si="4"/>
        <v>1.52</v>
      </c>
      <c r="H5" s="151">
        <v>25</v>
      </c>
      <c r="I5" s="151">
        <v>1</v>
      </c>
      <c r="J5" s="151">
        <f t="shared" si="5"/>
        <v>2.6</v>
      </c>
      <c r="K5" s="151">
        <v>16</v>
      </c>
      <c r="L5" s="151">
        <v>50</v>
      </c>
      <c r="M5" s="151" t="s">
        <v>361</v>
      </c>
      <c r="N5" s="151" t="s">
        <v>362</v>
      </c>
      <c r="O5" s="155">
        <f t="shared" si="6"/>
        <v>47.5</v>
      </c>
      <c r="P5" s="151" t="s">
        <v>363</v>
      </c>
      <c r="Q5" s="151" t="s">
        <v>356</v>
      </c>
      <c r="R5" s="151"/>
      <c r="S5" s="156" t="s">
        <v>357</v>
      </c>
      <c r="T5" s="156" t="s">
        <v>355</v>
      </c>
      <c r="U5" s="151" t="s">
        <v>364</v>
      </c>
      <c r="V5" s="157" t="s">
        <v>360</v>
      </c>
    </row>
    <row r="6" spans="1:22" ht="16.5" x14ac:dyDescent="0.3">
      <c r="A6" s="150">
        <v>20</v>
      </c>
      <c r="B6" s="151">
        <v>440</v>
      </c>
      <c r="C6" s="152">
        <f t="shared" si="0"/>
        <v>33</v>
      </c>
      <c r="D6" s="152">
        <f t="shared" si="1"/>
        <v>579</v>
      </c>
      <c r="E6" s="152">
        <f t="shared" si="2"/>
        <v>35</v>
      </c>
      <c r="F6" s="153">
        <f t="shared" si="3"/>
        <v>10.164</v>
      </c>
      <c r="G6" s="154">
        <f t="shared" si="4"/>
        <v>1.32</v>
      </c>
      <c r="H6" s="151">
        <v>25</v>
      </c>
      <c r="I6" s="151">
        <v>1</v>
      </c>
      <c r="J6" s="151">
        <f t="shared" si="5"/>
        <v>2.6</v>
      </c>
      <c r="K6" s="151">
        <v>16</v>
      </c>
      <c r="L6" s="151">
        <v>50</v>
      </c>
      <c r="M6" s="151" t="s">
        <v>361</v>
      </c>
      <c r="N6" s="151" t="s">
        <v>362</v>
      </c>
      <c r="O6" s="155">
        <f t="shared" si="6"/>
        <v>41.25</v>
      </c>
      <c r="P6" s="151" t="s">
        <v>363</v>
      </c>
      <c r="Q6" s="151" t="s">
        <v>356</v>
      </c>
      <c r="R6" s="151"/>
      <c r="S6" s="156" t="s">
        <v>357</v>
      </c>
      <c r="T6" s="156" t="s">
        <v>355</v>
      </c>
      <c r="U6" s="151" t="s">
        <v>364</v>
      </c>
      <c r="V6" s="157" t="s">
        <v>360</v>
      </c>
    </row>
    <row r="7" spans="1:22" ht="16.5" x14ac:dyDescent="0.3">
      <c r="A7" s="150">
        <v>30</v>
      </c>
      <c r="B7" s="151">
        <v>220</v>
      </c>
      <c r="C7" s="152">
        <f t="shared" si="0"/>
        <v>98</v>
      </c>
      <c r="D7" s="152">
        <f t="shared" si="1"/>
        <v>290</v>
      </c>
      <c r="E7" s="152">
        <f t="shared" si="2"/>
        <v>104</v>
      </c>
      <c r="F7" s="153">
        <f t="shared" si="3"/>
        <v>30.184000000000001</v>
      </c>
      <c r="G7" s="154">
        <f t="shared" si="4"/>
        <v>1.96</v>
      </c>
      <c r="H7" s="151">
        <v>50</v>
      </c>
      <c r="I7" s="151">
        <v>1</v>
      </c>
      <c r="J7" s="151">
        <f t="shared" si="5"/>
        <v>6.5</v>
      </c>
      <c r="K7" s="151">
        <v>16</v>
      </c>
      <c r="L7" s="151">
        <v>125</v>
      </c>
      <c r="M7" s="151" t="s">
        <v>365</v>
      </c>
      <c r="N7" s="151" t="s">
        <v>366</v>
      </c>
      <c r="O7" s="155">
        <f t="shared" si="6"/>
        <v>122.5</v>
      </c>
      <c r="P7" s="151" t="s">
        <v>367</v>
      </c>
      <c r="Q7" s="151" t="s">
        <v>356</v>
      </c>
      <c r="R7" s="158" t="s">
        <v>360</v>
      </c>
      <c r="S7" s="156" t="s">
        <v>357</v>
      </c>
      <c r="T7" s="156" t="s">
        <v>368</v>
      </c>
      <c r="U7" s="151" t="s">
        <v>364</v>
      </c>
      <c r="V7" s="157" t="s">
        <v>360</v>
      </c>
    </row>
    <row r="8" spans="1:22" ht="16.5" x14ac:dyDescent="0.3">
      <c r="A8" s="150">
        <v>30</v>
      </c>
      <c r="B8" s="151">
        <v>380</v>
      </c>
      <c r="C8" s="152">
        <f t="shared" si="0"/>
        <v>57</v>
      </c>
      <c r="D8" s="152">
        <f t="shared" si="1"/>
        <v>500</v>
      </c>
      <c r="E8" s="152">
        <f t="shared" si="2"/>
        <v>60</v>
      </c>
      <c r="F8" s="153">
        <f t="shared" si="3"/>
        <v>17.556000000000001</v>
      </c>
      <c r="G8" s="154">
        <f t="shared" si="4"/>
        <v>1.6285714285714286</v>
      </c>
      <c r="H8" s="151">
        <v>35</v>
      </c>
      <c r="I8" s="151">
        <v>1</v>
      </c>
      <c r="J8" s="151">
        <f t="shared" si="5"/>
        <v>3.9</v>
      </c>
      <c r="K8" s="151">
        <v>16</v>
      </c>
      <c r="L8" s="151">
        <v>75</v>
      </c>
      <c r="M8" s="151" t="s">
        <v>353</v>
      </c>
      <c r="N8" s="151" t="s">
        <v>354</v>
      </c>
      <c r="O8" s="155">
        <f t="shared" si="6"/>
        <v>71.25</v>
      </c>
      <c r="P8" s="151" t="s">
        <v>355</v>
      </c>
      <c r="Q8" s="151" t="s">
        <v>356</v>
      </c>
      <c r="R8" s="158" t="s">
        <v>360</v>
      </c>
      <c r="S8" s="156" t="s">
        <v>357</v>
      </c>
      <c r="T8" s="156" t="s">
        <v>355</v>
      </c>
      <c r="U8" s="151" t="s">
        <v>364</v>
      </c>
      <c r="V8" s="157" t="s">
        <v>360</v>
      </c>
    </row>
    <row r="9" spans="1:22" ht="16.5" x14ac:dyDescent="0.3">
      <c r="A9" s="150">
        <v>30</v>
      </c>
      <c r="B9" s="151">
        <v>440</v>
      </c>
      <c r="C9" s="152">
        <f t="shared" si="0"/>
        <v>49</v>
      </c>
      <c r="D9" s="152">
        <f t="shared" si="1"/>
        <v>579</v>
      </c>
      <c r="E9" s="152">
        <f t="shared" si="2"/>
        <v>52</v>
      </c>
      <c r="F9" s="153">
        <f t="shared" si="3"/>
        <v>15.092000000000001</v>
      </c>
      <c r="G9" s="154">
        <f t="shared" si="4"/>
        <v>1.4</v>
      </c>
      <c r="H9" s="151">
        <v>35</v>
      </c>
      <c r="I9" s="151">
        <v>1</v>
      </c>
      <c r="J9" s="151">
        <f t="shared" si="5"/>
        <v>3.9</v>
      </c>
      <c r="K9" s="151">
        <v>16</v>
      </c>
      <c r="L9" s="151">
        <v>75</v>
      </c>
      <c r="M9" s="151" t="s">
        <v>353</v>
      </c>
      <c r="N9" s="151" t="s">
        <v>354</v>
      </c>
      <c r="O9" s="155">
        <f t="shared" si="6"/>
        <v>61.25</v>
      </c>
      <c r="P9" s="151" t="s">
        <v>355</v>
      </c>
      <c r="Q9" s="151" t="s">
        <v>356</v>
      </c>
      <c r="R9" s="158" t="s">
        <v>360</v>
      </c>
      <c r="S9" s="156" t="s">
        <v>357</v>
      </c>
      <c r="T9" s="156" t="s">
        <v>355</v>
      </c>
      <c r="U9" s="151" t="s">
        <v>364</v>
      </c>
      <c r="V9" s="157" t="s">
        <v>360</v>
      </c>
    </row>
    <row r="10" spans="1:22" ht="16.5" x14ac:dyDescent="0.3">
      <c r="A10" s="150">
        <v>50</v>
      </c>
      <c r="B10" s="151">
        <v>220</v>
      </c>
      <c r="C10" s="152">
        <f t="shared" si="0"/>
        <v>162</v>
      </c>
      <c r="D10" s="152">
        <f t="shared" si="1"/>
        <v>290</v>
      </c>
      <c r="E10" s="152">
        <f t="shared" si="2"/>
        <v>173</v>
      </c>
      <c r="F10" s="153">
        <f t="shared" si="3"/>
        <v>49.896000000000001</v>
      </c>
      <c r="G10" s="154">
        <f t="shared" si="4"/>
        <v>2.3142857142857145</v>
      </c>
      <c r="H10" s="151">
        <v>70</v>
      </c>
      <c r="I10" s="151">
        <v>1</v>
      </c>
      <c r="J10" s="151">
        <f t="shared" si="5"/>
        <v>10.4</v>
      </c>
      <c r="K10" s="151">
        <v>16</v>
      </c>
      <c r="L10" s="151">
        <v>200</v>
      </c>
      <c r="M10" s="151" t="s">
        <v>369</v>
      </c>
      <c r="N10" s="151" t="s">
        <v>370</v>
      </c>
      <c r="O10" s="155">
        <f t="shared" si="6"/>
        <v>202.5</v>
      </c>
      <c r="P10" s="151" t="s">
        <v>371</v>
      </c>
      <c r="Q10" s="151" t="s">
        <v>372</v>
      </c>
      <c r="R10" s="158" t="s">
        <v>360</v>
      </c>
      <c r="S10" s="156" t="s">
        <v>373</v>
      </c>
      <c r="T10" s="156" t="s">
        <v>374</v>
      </c>
      <c r="U10" s="274" t="s">
        <v>375</v>
      </c>
      <c r="V10" s="275"/>
    </row>
    <row r="11" spans="1:22" ht="16.5" x14ac:dyDescent="0.3">
      <c r="A11" s="150">
        <v>50</v>
      </c>
      <c r="B11" s="151">
        <v>380</v>
      </c>
      <c r="C11" s="152">
        <f t="shared" si="0"/>
        <v>94</v>
      </c>
      <c r="D11" s="152">
        <f t="shared" si="1"/>
        <v>500</v>
      </c>
      <c r="E11" s="152">
        <f t="shared" si="2"/>
        <v>100</v>
      </c>
      <c r="F11" s="153">
        <f t="shared" si="3"/>
        <v>28.952000000000002</v>
      </c>
      <c r="G11" s="154">
        <f t="shared" si="4"/>
        <v>1.3428571428571427</v>
      </c>
      <c r="H11" s="151">
        <v>70</v>
      </c>
      <c r="I11" s="151">
        <v>1</v>
      </c>
      <c r="J11" s="151">
        <f t="shared" si="5"/>
        <v>6.5</v>
      </c>
      <c r="K11" s="151">
        <v>16</v>
      </c>
      <c r="L11" s="151">
        <v>125</v>
      </c>
      <c r="M11" s="151" t="s">
        <v>376</v>
      </c>
      <c r="N11" s="151" t="s">
        <v>366</v>
      </c>
      <c r="O11" s="155">
        <f t="shared" si="6"/>
        <v>117.5</v>
      </c>
      <c r="P11" s="151" t="s">
        <v>367</v>
      </c>
      <c r="Q11" s="151" t="s">
        <v>356</v>
      </c>
      <c r="R11" s="158" t="s">
        <v>360</v>
      </c>
      <c r="S11" s="156" t="s">
        <v>357</v>
      </c>
      <c r="T11" s="156" t="s">
        <v>368</v>
      </c>
      <c r="U11" s="151" t="s">
        <v>364</v>
      </c>
      <c r="V11" s="157" t="s">
        <v>360</v>
      </c>
    </row>
    <row r="12" spans="1:22" ht="16.5" x14ac:dyDescent="0.3">
      <c r="A12" s="150">
        <v>50</v>
      </c>
      <c r="B12" s="151">
        <v>440</v>
      </c>
      <c r="C12" s="152">
        <f t="shared" si="0"/>
        <v>81</v>
      </c>
      <c r="D12" s="152">
        <f t="shared" si="1"/>
        <v>579</v>
      </c>
      <c r="E12" s="152">
        <f t="shared" si="2"/>
        <v>87</v>
      </c>
      <c r="F12" s="153">
        <f t="shared" si="3"/>
        <v>24.948</v>
      </c>
      <c r="G12" s="154">
        <f t="shared" si="4"/>
        <v>1.1571428571428573</v>
      </c>
      <c r="H12" s="151">
        <v>70</v>
      </c>
      <c r="I12" s="151">
        <v>1</v>
      </c>
      <c r="J12" s="151">
        <f t="shared" si="5"/>
        <v>5.2</v>
      </c>
      <c r="K12" s="151">
        <v>16</v>
      </c>
      <c r="L12" s="151">
        <v>100</v>
      </c>
      <c r="M12" s="151" t="s">
        <v>376</v>
      </c>
      <c r="N12" s="151" t="s">
        <v>366</v>
      </c>
      <c r="O12" s="155">
        <f t="shared" si="6"/>
        <v>101.25</v>
      </c>
      <c r="P12" s="151" t="s">
        <v>367</v>
      </c>
      <c r="Q12" s="151" t="s">
        <v>356</v>
      </c>
      <c r="R12" s="158" t="s">
        <v>360</v>
      </c>
      <c r="S12" s="156" t="s">
        <v>357</v>
      </c>
      <c r="T12" s="156" t="s">
        <v>368</v>
      </c>
      <c r="U12" s="151" t="s">
        <v>364</v>
      </c>
      <c r="V12" s="157" t="s">
        <v>360</v>
      </c>
    </row>
    <row r="13" spans="1:22" ht="16.5" x14ac:dyDescent="0.3">
      <c r="A13" s="150">
        <v>75</v>
      </c>
      <c r="B13" s="151">
        <v>220</v>
      </c>
      <c r="C13" s="152">
        <f t="shared" si="0"/>
        <v>243</v>
      </c>
      <c r="D13" s="152">
        <f t="shared" si="1"/>
        <v>290</v>
      </c>
      <c r="E13" s="152">
        <f t="shared" si="2"/>
        <v>259</v>
      </c>
      <c r="F13" s="153">
        <f t="shared" si="3"/>
        <v>74.843999999999994</v>
      </c>
      <c r="G13" s="154">
        <f t="shared" si="4"/>
        <v>1.7357142857142858</v>
      </c>
      <c r="H13" s="151">
        <v>70</v>
      </c>
      <c r="I13" s="151">
        <v>2</v>
      </c>
      <c r="J13" s="151">
        <f t="shared" si="5"/>
        <v>15.6</v>
      </c>
      <c r="K13" s="151">
        <v>16</v>
      </c>
      <c r="L13" s="151">
        <v>300</v>
      </c>
      <c r="M13" s="151" t="s">
        <v>377</v>
      </c>
      <c r="N13" s="151" t="s">
        <v>378</v>
      </c>
      <c r="O13" s="155">
        <f t="shared" si="6"/>
        <v>303.75</v>
      </c>
      <c r="P13" s="151" t="s">
        <v>379</v>
      </c>
      <c r="Q13" s="151" t="s">
        <v>372</v>
      </c>
      <c r="R13" s="158" t="s">
        <v>360</v>
      </c>
      <c r="S13" s="156" t="s">
        <v>380</v>
      </c>
      <c r="T13" s="156" t="s">
        <v>379</v>
      </c>
      <c r="U13" s="274" t="s">
        <v>375</v>
      </c>
      <c r="V13" s="275"/>
    </row>
    <row r="14" spans="1:22" ht="16.5" x14ac:dyDescent="0.3">
      <c r="A14" s="150">
        <v>75</v>
      </c>
      <c r="B14" s="151">
        <v>380</v>
      </c>
      <c r="C14" s="152">
        <f t="shared" si="0"/>
        <v>141</v>
      </c>
      <c r="D14" s="152">
        <f t="shared" si="1"/>
        <v>500</v>
      </c>
      <c r="E14" s="152">
        <f t="shared" si="2"/>
        <v>150</v>
      </c>
      <c r="F14" s="153">
        <f t="shared" si="3"/>
        <v>43.427999999999997</v>
      </c>
      <c r="G14" s="154">
        <f t="shared" si="4"/>
        <v>2.0142857142857142</v>
      </c>
      <c r="H14" s="151">
        <v>70</v>
      </c>
      <c r="I14" s="151">
        <v>1</v>
      </c>
      <c r="J14" s="151">
        <f t="shared" si="5"/>
        <v>9.1</v>
      </c>
      <c r="K14" s="151">
        <v>16</v>
      </c>
      <c r="L14" s="151">
        <v>175</v>
      </c>
      <c r="M14" s="151" t="s">
        <v>369</v>
      </c>
      <c r="N14" s="151" t="s">
        <v>370</v>
      </c>
      <c r="O14" s="155">
        <f t="shared" si="6"/>
        <v>176.25</v>
      </c>
      <c r="P14" s="151" t="s">
        <v>371</v>
      </c>
      <c r="Q14" s="151" t="s">
        <v>372</v>
      </c>
      <c r="R14" s="158" t="s">
        <v>360</v>
      </c>
      <c r="S14" s="156" t="s">
        <v>380</v>
      </c>
      <c r="T14" s="156" t="s">
        <v>371</v>
      </c>
      <c r="U14" s="274" t="s">
        <v>375</v>
      </c>
      <c r="V14" s="275"/>
    </row>
    <row r="15" spans="1:22" ht="16.5" x14ac:dyDescent="0.3">
      <c r="A15" s="150">
        <v>75</v>
      </c>
      <c r="B15" s="151">
        <v>440</v>
      </c>
      <c r="C15" s="152">
        <f t="shared" si="0"/>
        <v>122</v>
      </c>
      <c r="D15" s="152">
        <f t="shared" si="1"/>
        <v>579</v>
      </c>
      <c r="E15" s="152">
        <f t="shared" si="2"/>
        <v>130</v>
      </c>
      <c r="F15" s="153">
        <f t="shared" si="3"/>
        <v>37.576000000000001</v>
      </c>
      <c r="G15" s="154">
        <f t="shared" si="4"/>
        <v>1.7428571428571429</v>
      </c>
      <c r="H15" s="151">
        <v>70</v>
      </c>
      <c r="I15" s="151">
        <v>1</v>
      </c>
      <c r="J15" s="151">
        <f t="shared" si="5"/>
        <v>7.8</v>
      </c>
      <c r="K15" s="151">
        <v>16</v>
      </c>
      <c r="L15" s="151">
        <v>150</v>
      </c>
      <c r="M15" s="151" t="s">
        <v>369</v>
      </c>
      <c r="N15" s="151" t="s">
        <v>370</v>
      </c>
      <c r="O15" s="155">
        <f t="shared" si="6"/>
        <v>152.5</v>
      </c>
      <c r="P15" s="151" t="s">
        <v>371</v>
      </c>
      <c r="Q15" s="151" t="s">
        <v>372</v>
      </c>
      <c r="R15" s="158" t="s">
        <v>360</v>
      </c>
      <c r="S15" s="156" t="s">
        <v>380</v>
      </c>
      <c r="T15" s="156" t="s">
        <v>371</v>
      </c>
      <c r="U15" s="274" t="s">
        <v>375</v>
      </c>
      <c r="V15" s="275"/>
    </row>
    <row r="16" spans="1:22" ht="16.5" x14ac:dyDescent="0.3">
      <c r="A16" s="150">
        <v>100</v>
      </c>
      <c r="B16" s="151">
        <v>380</v>
      </c>
      <c r="C16" s="152">
        <f t="shared" si="0"/>
        <v>188</v>
      </c>
      <c r="D16" s="152">
        <f t="shared" si="1"/>
        <v>500</v>
      </c>
      <c r="E16" s="152">
        <f t="shared" si="2"/>
        <v>200</v>
      </c>
      <c r="F16" s="153">
        <f t="shared" si="3"/>
        <v>57.904000000000003</v>
      </c>
      <c r="G16" s="154">
        <f t="shared" si="4"/>
        <v>1.9789473684210526</v>
      </c>
      <c r="H16" s="151">
        <v>95</v>
      </c>
      <c r="I16" s="151">
        <v>1</v>
      </c>
      <c r="J16" s="151">
        <f t="shared" si="5"/>
        <v>10.4</v>
      </c>
      <c r="K16" s="151">
        <v>16</v>
      </c>
      <c r="L16" s="151">
        <v>200</v>
      </c>
      <c r="M16" s="151" t="s">
        <v>369</v>
      </c>
      <c r="N16" s="151" t="s">
        <v>381</v>
      </c>
      <c r="O16" s="155">
        <f t="shared" si="6"/>
        <v>235</v>
      </c>
      <c r="P16" s="151" t="s">
        <v>382</v>
      </c>
      <c r="Q16" s="151" t="s">
        <v>372</v>
      </c>
      <c r="R16" s="158" t="s">
        <v>360</v>
      </c>
      <c r="S16" s="156" t="s">
        <v>380</v>
      </c>
      <c r="T16" s="156" t="s">
        <v>379</v>
      </c>
      <c r="U16" s="274" t="s">
        <v>375</v>
      </c>
      <c r="V16" s="275"/>
    </row>
    <row r="17" spans="1:22" ht="16.5" x14ac:dyDescent="0.3">
      <c r="A17" s="150">
        <v>100</v>
      </c>
      <c r="B17" s="151">
        <v>440</v>
      </c>
      <c r="C17" s="152">
        <f t="shared" si="0"/>
        <v>162</v>
      </c>
      <c r="D17" s="152">
        <f t="shared" si="1"/>
        <v>579</v>
      </c>
      <c r="E17" s="152">
        <f t="shared" si="2"/>
        <v>173</v>
      </c>
      <c r="F17" s="153">
        <f t="shared" si="3"/>
        <v>49.896000000000001</v>
      </c>
      <c r="G17" s="154">
        <f t="shared" si="4"/>
        <v>1.7052631578947368</v>
      </c>
      <c r="H17" s="151">
        <v>95</v>
      </c>
      <c r="I17" s="151">
        <v>1</v>
      </c>
      <c r="J17" s="151">
        <f t="shared" si="5"/>
        <v>10.4</v>
      </c>
      <c r="K17" s="151">
        <v>16</v>
      </c>
      <c r="L17" s="151">
        <v>200</v>
      </c>
      <c r="M17" s="151" t="s">
        <v>369</v>
      </c>
      <c r="N17" s="151" t="s">
        <v>381</v>
      </c>
      <c r="O17" s="155">
        <f t="shared" si="6"/>
        <v>202.5</v>
      </c>
      <c r="P17" s="151" t="s">
        <v>382</v>
      </c>
      <c r="Q17" s="151" t="s">
        <v>372</v>
      </c>
      <c r="R17" s="158" t="s">
        <v>360</v>
      </c>
      <c r="S17" s="156" t="s">
        <v>380</v>
      </c>
      <c r="T17" s="156" t="s">
        <v>379</v>
      </c>
      <c r="U17" s="274" t="s">
        <v>375</v>
      </c>
      <c r="V17" s="275"/>
    </row>
    <row r="18" spans="1:22" ht="16.5" x14ac:dyDescent="0.3">
      <c r="A18" s="150">
        <v>125</v>
      </c>
      <c r="B18" s="151">
        <v>380</v>
      </c>
      <c r="C18" s="152">
        <f t="shared" si="0"/>
        <v>235</v>
      </c>
      <c r="D18" s="152">
        <f t="shared" si="1"/>
        <v>500</v>
      </c>
      <c r="E18" s="152">
        <f t="shared" si="2"/>
        <v>250</v>
      </c>
      <c r="F18" s="153">
        <f t="shared" si="3"/>
        <v>72.38</v>
      </c>
      <c r="G18" s="154">
        <f t="shared" si="4"/>
        <v>1.6785714285714286</v>
      </c>
      <c r="H18" s="151">
        <v>70</v>
      </c>
      <c r="I18" s="151">
        <v>2</v>
      </c>
      <c r="J18" s="151">
        <f t="shared" si="5"/>
        <v>13</v>
      </c>
      <c r="K18" s="151">
        <v>16</v>
      </c>
      <c r="L18" s="151">
        <v>250</v>
      </c>
      <c r="M18" s="151" t="s">
        <v>377</v>
      </c>
      <c r="N18" s="151" t="s">
        <v>378</v>
      </c>
      <c r="O18" s="155">
        <f t="shared" si="6"/>
        <v>293.75</v>
      </c>
      <c r="P18" s="151" t="s">
        <v>379</v>
      </c>
      <c r="Q18" s="151" t="s">
        <v>372</v>
      </c>
      <c r="R18" s="158" t="s">
        <v>360</v>
      </c>
      <c r="S18" s="156" t="s">
        <v>383</v>
      </c>
      <c r="T18" s="156" t="s">
        <v>379</v>
      </c>
      <c r="U18" s="274" t="s">
        <v>375</v>
      </c>
      <c r="V18" s="275"/>
    </row>
    <row r="19" spans="1:22" ht="16.5" x14ac:dyDescent="0.3">
      <c r="A19" s="150">
        <v>125</v>
      </c>
      <c r="B19" s="151">
        <v>440</v>
      </c>
      <c r="C19" s="152">
        <f t="shared" si="0"/>
        <v>203</v>
      </c>
      <c r="D19" s="152">
        <f t="shared" si="1"/>
        <v>579</v>
      </c>
      <c r="E19" s="152">
        <f t="shared" si="2"/>
        <v>216</v>
      </c>
      <c r="F19" s="153">
        <f t="shared" si="3"/>
        <v>62.524000000000001</v>
      </c>
      <c r="G19" s="154">
        <f t="shared" si="4"/>
        <v>1.45</v>
      </c>
      <c r="H19" s="151">
        <v>70</v>
      </c>
      <c r="I19" s="151">
        <v>2</v>
      </c>
      <c r="J19" s="151">
        <f t="shared" si="5"/>
        <v>13</v>
      </c>
      <c r="K19" s="151">
        <v>16</v>
      </c>
      <c r="L19" s="151">
        <v>250</v>
      </c>
      <c r="M19" s="151" t="s">
        <v>384</v>
      </c>
      <c r="N19" s="151" t="s">
        <v>381</v>
      </c>
      <c r="O19" s="155">
        <f t="shared" si="6"/>
        <v>253.75</v>
      </c>
      <c r="P19" s="151" t="s">
        <v>379</v>
      </c>
      <c r="Q19" s="151" t="s">
        <v>372</v>
      </c>
      <c r="R19" s="158" t="s">
        <v>360</v>
      </c>
      <c r="S19" s="156" t="s">
        <v>383</v>
      </c>
      <c r="T19" s="156" t="s">
        <v>379</v>
      </c>
      <c r="U19" s="274" t="s">
        <v>375</v>
      </c>
      <c r="V19" s="275"/>
    </row>
    <row r="20" spans="1:22" ht="16.5" x14ac:dyDescent="0.3">
      <c r="A20" s="150">
        <v>150</v>
      </c>
      <c r="B20" s="151">
        <v>380</v>
      </c>
      <c r="C20" s="152">
        <f t="shared" si="0"/>
        <v>282</v>
      </c>
      <c r="D20" s="152">
        <f t="shared" si="1"/>
        <v>500</v>
      </c>
      <c r="E20" s="152">
        <f t="shared" si="2"/>
        <v>300</v>
      </c>
      <c r="F20" s="153">
        <f t="shared" si="3"/>
        <v>86.855999999999995</v>
      </c>
      <c r="G20" s="154">
        <f t="shared" si="4"/>
        <v>2.0142857142857142</v>
      </c>
      <c r="H20" s="151">
        <v>70</v>
      </c>
      <c r="I20" s="151">
        <v>2</v>
      </c>
      <c r="J20" s="151">
        <f t="shared" si="5"/>
        <v>15.6</v>
      </c>
      <c r="K20" s="151">
        <v>25</v>
      </c>
      <c r="L20" s="151">
        <v>300</v>
      </c>
      <c r="M20" s="151" t="s">
        <v>377</v>
      </c>
      <c r="N20" s="151" t="s">
        <v>378</v>
      </c>
      <c r="O20" s="155">
        <f t="shared" si="6"/>
        <v>352.5</v>
      </c>
      <c r="P20" s="151" t="s">
        <v>385</v>
      </c>
      <c r="Q20" s="151" t="s">
        <v>372</v>
      </c>
      <c r="R20" s="158" t="s">
        <v>360</v>
      </c>
      <c r="S20" s="156" t="s">
        <v>383</v>
      </c>
      <c r="T20" s="156" t="s">
        <v>385</v>
      </c>
      <c r="U20" s="274" t="s">
        <v>375</v>
      </c>
      <c r="V20" s="275"/>
    </row>
    <row r="21" spans="1:22" ht="16.5" x14ac:dyDescent="0.3">
      <c r="A21" s="150">
        <v>150</v>
      </c>
      <c r="B21" s="151">
        <v>440</v>
      </c>
      <c r="C21" s="152">
        <f t="shared" si="0"/>
        <v>243</v>
      </c>
      <c r="D21" s="152">
        <f t="shared" si="1"/>
        <v>579</v>
      </c>
      <c r="E21" s="152">
        <f t="shared" si="2"/>
        <v>260</v>
      </c>
      <c r="F21" s="153">
        <f t="shared" si="3"/>
        <v>74.843999999999994</v>
      </c>
      <c r="G21" s="154">
        <f t="shared" si="4"/>
        <v>1.7357142857142858</v>
      </c>
      <c r="H21" s="151">
        <v>70</v>
      </c>
      <c r="I21" s="151">
        <v>2</v>
      </c>
      <c r="J21" s="151">
        <f t="shared" si="5"/>
        <v>15.6</v>
      </c>
      <c r="K21" s="151">
        <v>25</v>
      </c>
      <c r="L21" s="151">
        <v>300</v>
      </c>
      <c r="M21" s="151" t="s">
        <v>377</v>
      </c>
      <c r="N21" s="151" t="s">
        <v>378</v>
      </c>
      <c r="O21" s="155">
        <f t="shared" si="6"/>
        <v>303.75</v>
      </c>
      <c r="P21" s="151" t="s">
        <v>379</v>
      </c>
      <c r="Q21" s="151" t="s">
        <v>372</v>
      </c>
      <c r="R21" s="158" t="s">
        <v>360</v>
      </c>
      <c r="S21" s="156" t="s">
        <v>383</v>
      </c>
      <c r="T21" s="156" t="s">
        <v>385</v>
      </c>
      <c r="U21" s="274" t="s">
        <v>375</v>
      </c>
      <c r="V21" s="275"/>
    </row>
    <row r="22" spans="1:22" ht="16.5" x14ac:dyDescent="0.3">
      <c r="A22" s="150">
        <v>200</v>
      </c>
      <c r="B22" s="151">
        <v>380</v>
      </c>
      <c r="C22" s="152">
        <f t="shared" si="0"/>
        <v>376</v>
      </c>
      <c r="D22" s="152">
        <f t="shared" si="1"/>
        <v>500</v>
      </c>
      <c r="E22" s="152">
        <f t="shared" si="2"/>
        <v>400</v>
      </c>
      <c r="F22" s="153">
        <f t="shared" si="3"/>
        <v>115.80800000000001</v>
      </c>
      <c r="G22" s="154">
        <f t="shared" si="4"/>
        <v>1.9789473684210526</v>
      </c>
      <c r="H22" s="151">
        <v>95</v>
      </c>
      <c r="I22" s="151">
        <v>2</v>
      </c>
      <c r="J22" s="151">
        <f t="shared" si="5"/>
        <v>20.8</v>
      </c>
      <c r="K22" s="151">
        <v>25</v>
      </c>
      <c r="L22" s="151">
        <v>400</v>
      </c>
      <c r="M22" s="151" t="s">
        <v>386</v>
      </c>
      <c r="N22" s="151" t="s">
        <v>378</v>
      </c>
      <c r="O22" s="155">
        <f t="shared" si="6"/>
        <v>470</v>
      </c>
      <c r="P22" s="151" t="s">
        <v>387</v>
      </c>
      <c r="Q22" s="151" t="s">
        <v>388</v>
      </c>
      <c r="R22" s="158" t="s">
        <v>360</v>
      </c>
      <c r="S22" s="156" t="s">
        <v>383</v>
      </c>
      <c r="T22" s="156" t="s">
        <v>387</v>
      </c>
      <c r="U22" s="274" t="s">
        <v>375</v>
      </c>
      <c r="V22" s="275"/>
    </row>
    <row r="23" spans="1:22" ht="16.5" x14ac:dyDescent="0.3">
      <c r="A23" s="150">
        <v>200</v>
      </c>
      <c r="B23" s="151">
        <v>440</v>
      </c>
      <c r="C23" s="152">
        <f t="shared" si="0"/>
        <v>324</v>
      </c>
      <c r="D23" s="152">
        <f t="shared" si="1"/>
        <v>579</v>
      </c>
      <c r="E23" s="152">
        <f t="shared" si="2"/>
        <v>346</v>
      </c>
      <c r="F23" s="153">
        <f t="shared" si="3"/>
        <v>99.792000000000002</v>
      </c>
      <c r="G23" s="154">
        <f t="shared" si="4"/>
        <v>1.7052631578947368</v>
      </c>
      <c r="H23" s="151">
        <v>95</v>
      </c>
      <c r="I23" s="151">
        <v>2</v>
      </c>
      <c r="J23" s="151">
        <f t="shared" si="5"/>
        <v>20.8</v>
      </c>
      <c r="K23" s="151">
        <v>25</v>
      </c>
      <c r="L23" s="151">
        <v>400</v>
      </c>
      <c r="M23" s="151" t="s">
        <v>386</v>
      </c>
      <c r="N23" s="151" t="s">
        <v>378</v>
      </c>
      <c r="O23" s="155">
        <f t="shared" si="6"/>
        <v>405</v>
      </c>
      <c r="P23" s="151" t="s">
        <v>385</v>
      </c>
      <c r="Q23" s="151" t="s">
        <v>388</v>
      </c>
      <c r="R23" s="158" t="s">
        <v>360</v>
      </c>
      <c r="S23" s="156" t="s">
        <v>383</v>
      </c>
      <c r="T23" s="156" t="s">
        <v>387</v>
      </c>
      <c r="U23" s="274" t="s">
        <v>375</v>
      </c>
      <c r="V23" s="275"/>
    </row>
    <row r="24" spans="1:22" ht="16.5" x14ac:dyDescent="0.3">
      <c r="A24" s="150">
        <v>250</v>
      </c>
      <c r="B24" s="151">
        <v>380</v>
      </c>
      <c r="C24" s="152">
        <f t="shared" si="0"/>
        <v>469</v>
      </c>
      <c r="D24" s="152">
        <f t="shared" si="1"/>
        <v>500</v>
      </c>
      <c r="E24" s="152">
        <f t="shared" si="2"/>
        <v>500</v>
      </c>
      <c r="F24" s="153">
        <f t="shared" si="3"/>
        <v>144.452</v>
      </c>
      <c r="G24" s="154">
        <f t="shared" si="4"/>
        <v>1.9541666666666666</v>
      </c>
      <c r="H24" s="151">
        <v>120</v>
      </c>
      <c r="I24" s="151">
        <v>2</v>
      </c>
      <c r="J24" s="151">
        <f t="shared" si="5"/>
        <v>26</v>
      </c>
      <c r="K24" s="151">
        <v>35</v>
      </c>
      <c r="L24" s="151">
        <v>500</v>
      </c>
      <c r="M24" s="151" t="s">
        <v>389</v>
      </c>
      <c r="N24" s="151" t="s">
        <v>390</v>
      </c>
      <c r="O24" s="155">
        <f t="shared" si="6"/>
        <v>586.25</v>
      </c>
      <c r="P24" s="151" t="s">
        <v>391</v>
      </c>
      <c r="Q24" s="151" t="s">
        <v>388</v>
      </c>
      <c r="R24" s="158" t="s">
        <v>360</v>
      </c>
      <c r="S24" s="156" t="s">
        <v>392</v>
      </c>
      <c r="T24" s="156" t="s">
        <v>391</v>
      </c>
      <c r="U24" s="274" t="s">
        <v>375</v>
      </c>
      <c r="V24" s="275"/>
    </row>
    <row r="25" spans="1:22" ht="16.5" x14ac:dyDescent="0.3">
      <c r="A25" s="150">
        <v>250</v>
      </c>
      <c r="B25" s="151">
        <v>440</v>
      </c>
      <c r="C25" s="152">
        <f t="shared" si="0"/>
        <v>405</v>
      </c>
      <c r="D25" s="152">
        <f t="shared" si="1"/>
        <v>579</v>
      </c>
      <c r="E25" s="152">
        <f t="shared" si="2"/>
        <v>432</v>
      </c>
      <c r="F25" s="153">
        <f t="shared" si="3"/>
        <v>124.74</v>
      </c>
      <c r="G25" s="154">
        <f t="shared" si="4"/>
        <v>1.6875</v>
      </c>
      <c r="H25" s="151">
        <v>120</v>
      </c>
      <c r="I25" s="151">
        <v>2</v>
      </c>
      <c r="J25" s="151">
        <f t="shared" si="5"/>
        <v>26</v>
      </c>
      <c r="K25" s="151">
        <v>35</v>
      </c>
      <c r="L25" s="151">
        <v>500</v>
      </c>
      <c r="M25" s="151" t="s">
        <v>386</v>
      </c>
      <c r="N25" s="151" t="s">
        <v>393</v>
      </c>
      <c r="O25" s="155">
        <f t="shared" si="6"/>
        <v>506.25</v>
      </c>
      <c r="P25" s="151" t="s">
        <v>387</v>
      </c>
      <c r="Q25" s="151" t="s">
        <v>388</v>
      </c>
      <c r="R25" s="158" t="s">
        <v>360</v>
      </c>
      <c r="S25" s="156" t="s">
        <v>392</v>
      </c>
      <c r="T25" s="156" t="s">
        <v>391</v>
      </c>
      <c r="U25" s="274" t="s">
        <v>375</v>
      </c>
      <c r="V25" s="275"/>
    </row>
    <row r="26" spans="1:22" ht="16.5" x14ac:dyDescent="0.3">
      <c r="A26" s="150">
        <v>300</v>
      </c>
      <c r="B26" s="151">
        <v>380</v>
      </c>
      <c r="C26" s="152">
        <f t="shared" si="0"/>
        <v>563</v>
      </c>
      <c r="D26" s="152">
        <f t="shared" si="1"/>
        <v>500</v>
      </c>
      <c r="E26" s="152">
        <f t="shared" si="2"/>
        <v>600</v>
      </c>
      <c r="F26" s="153">
        <f t="shared" si="3"/>
        <v>173.404</v>
      </c>
      <c r="G26" s="154">
        <f t="shared" si="4"/>
        <v>1.8766666666666667</v>
      </c>
      <c r="H26" s="151">
        <v>150</v>
      </c>
      <c r="I26" s="151">
        <v>2</v>
      </c>
      <c r="J26" s="151">
        <f t="shared" si="5"/>
        <v>32.76</v>
      </c>
      <c r="K26" s="151">
        <v>35</v>
      </c>
      <c r="L26" s="151">
        <v>630</v>
      </c>
      <c r="M26" s="151" t="s">
        <v>394</v>
      </c>
      <c r="N26" s="151" t="s">
        <v>390</v>
      </c>
      <c r="O26" s="155">
        <f t="shared" si="6"/>
        <v>703.75</v>
      </c>
      <c r="P26" s="151" t="s">
        <v>395</v>
      </c>
      <c r="Q26" s="151" t="s">
        <v>388</v>
      </c>
      <c r="R26" s="158" t="s">
        <v>360</v>
      </c>
      <c r="S26" s="156" t="s">
        <v>392</v>
      </c>
      <c r="T26" s="156" t="s">
        <v>395</v>
      </c>
      <c r="U26" s="274" t="s">
        <v>375</v>
      </c>
      <c r="V26" s="275"/>
    </row>
    <row r="27" spans="1:22" ht="16.5" x14ac:dyDescent="0.3">
      <c r="A27" s="150">
        <v>300</v>
      </c>
      <c r="B27" s="151">
        <v>440</v>
      </c>
      <c r="C27" s="152">
        <f t="shared" si="0"/>
        <v>486</v>
      </c>
      <c r="D27" s="152">
        <f t="shared" si="1"/>
        <v>579</v>
      </c>
      <c r="E27" s="152">
        <f t="shared" si="2"/>
        <v>519</v>
      </c>
      <c r="F27" s="153">
        <f t="shared" si="3"/>
        <v>149.68799999999999</v>
      </c>
      <c r="G27" s="154">
        <f t="shared" si="4"/>
        <v>1.62</v>
      </c>
      <c r="H27" s="151">
        <v>150</v>
      </c>
      <c r="I27" s="151">
        <v>2</v>
      </c>
      <c r="J27" s="151">
        <f t="shared" si="5"/>
        <v>32.76</v>
      </c>
      <c r="K27" s="151">
        <v>35</v>
      </c>
      <c r="L27" s="151">
        <v>630</v>
      </c>
      <c r="M27" s="151" t="s">
        <v>394</v>
      </c>
      <c r="N27" s="151" t="s">
        <v>390</v>
      </c>
      <c r="O27" s="155">
        <f t="shared" si="6"/>
        <v>607.5</v>
      </c>
      <c r="P27" s="151" t="s">
        <v>391</v>
      </c>
      <c r="Q27" s="151" t="s">
        <v>388</v>
      </c>
      <c r="R27" s="158" t="s">
        <v>360</v>
      </c>
      <c r="S27" s="156" t="s">
        <v>392</v>
      </c>
      <c r="T27" s="156" t="s">
        <v>395</v>
      </c>
      <c r="U27" s="274" t="s">
        <v>375</v>
      </c>
      <c r="V27" s="275"/>
    </row>
    <row r="28" spans="1:22" ht="16.5" x14ac:dyDescent="0.3">
      <c r="A28" s="150">
        <v>350</v>
      </c>
      <c r="B28" s="151">
        <v>440</v>
      </c>
      <c r="C28" s="152">
        <f t="shared" si="0"/>
        <v>567</v>
      </c>
      <c r="D28" s="152">
        <f t="shared" si="1"/>
        <v>579</v>
      </c>
      <c r="E28" s="152">
        <f t="shared" si="2"/>
        <v>605</v>
      </c>
      <c r="F28" s="153">
        <f t="shared" si="3"/>
        <v>174.636</v>
      </c>
      <c r="G28" s="154">
        <f t="shared" si="4"/>
        <v>1.89</v>
      </c>
      <c r="H28" s="151">
        <v>150</v>
      </c>
      <c r="I28" s="151">
        <v>2</v>
      </c>
      <c r="J28" s="151">
        <f t="shared" si="5"/>
        <v>36.4</v>
      </c>
      <c r="K28" s="151">
        <v>50</v>
      </c>
      <c r="L28" s="151">
        <v>700</v>
      </c>
      <c r="M28" s="151" t="s">
        <v>396</v>
      </c>
      <c r="N28" s="151" t="s">
        <v>397</v>
      </c>
      <c r="O28" s="155">
        <f t="shared" si="6"/>
        <v>708.75</v>
      </c>
      <c r="P28" s="151" t="s">
        <v>395</v>
      </c>
      <c r="Q28" s="151" t="s">
        <v>388</v>
      </c>
      <c r="R28" s="158" t="s">
        <v>360</v>
      </c>
      <c r="S28" s="156" t="s">
        <v>392</v>
      </c>
      <c r="T28" s="156" t="s">
        <v>395</v>
      </c>
      <c r="U28" s="274" t="s">
        <v>375</v>
      </c>
      <c r="V28" s="275"/>
    </row>
    <row r="29" spans="1:22" ht="16.5" x14ac:dyDescent="0.3">
      <c r="A29" s="150">
        <v>400</v>
      </c>
      <c r="B29" s="151">
        <v>440</v>
      </c>
      <c r="C29" s="152">
        <f t="shared" si="0"/>
        <v>648</v>
      </c>
      <c r="D29" s="152">
        <f t="shared" si="1"/>
        <v>579</v>
      </c>
      <c r="E29" s="152">
        <f t="shared" si="2"/>
        <v>691</v>
      </c>
      <c r="F29" s="153">
        <f t="shared" si="3"/>
        <v>199.584</v>
      </c>
      <c r="G29" s="154">
        <f t="shared" si="4"/>
        <v>2.16</v>
      </c>
      <c r="H29" s="151">
        <v>150</v>
      </c>
      <c r="I29" s="151">
        <v>2</v>
      </c>
      <c r="J29" s="151">
        <f t="shared" si="5"/>
        <v>41.6</v>
      </c>
      <c r="K29" s="151">
        <v>50</v>
      </c>
      <c r="L29" s="151">
        <v>800</v>
      </c>
      <c r="M29" s="151" t="s">
        <v>396</v>
      </c>
      <c r="N29" s="151" t="s">
        <v>397</v>
      </c>
      <c r="O29" s="155">
        <f t="shared" si="6"/>
        <v>810</v>
      </c>
      <c r="P29" s="151" t="s">
        <v>395</v>
      </c>
      <c r="Q29" s="151" t="s">
        <v>398</v>
      </c>
      <c r="R29" s="158" t="s">
        <v>360</v>
      </c>
      <c r="S29" s="156" t="s">
        <v>392</v>
      </c>
      <c r="T29" s="156" t="s">
        <v>399</v>
      </c>
      <c r="U29" s="274" t="s">
        <v>375</v>
      </c>
      <c r="V29" s="275"/>
    </row>
    <row r="30" spans="1:22" ht="16.5" x14ac:dyDescent="0.3">
      <c r="A30" s="150">
        <v>450</v>
      </c>
      <c r="B30" s="151">
        <v>440</v>
      </c>
      <c r="C30" s="152">
        <f t="shared" si="0"/>
        <v>729</v>
      </c>
      <c r="D30" s="152">
        <f t="shared" si="1"/>
        <v>579</v>
      </c>
      <c r="E30" s="152">
        <f t="shared" si="2"/>
        <v>778</v>
      </c>
      <c r="F30" s="153"/>
      <c r="G30" s="154">
        <f t="shared" si="4"/>
        <v>1.9702702702702704</v>
      </c>
      <c r="H30" s="151">
        <v>185</v>
      </c>
      <c r="I30" s="151">
        <v>2</v>
      </c>
      <c r="J30" s="151">
        <f t="shared" si="5"/>
        <v>41.6</v>
      </c>
      <c r="K30" s="151">
        <v>50</v>
      </c>
      <c r="L30" s="151">
        <v>800</v>
      </c>
      <c r="M30" s="151" t="s">
        <v>396</v>
      </c>
      <c r="N30" s="151" t="s">
        <v>400</v>
      </c>
      <c r="O30" s="155">
        <f t="shared" si="6"/>
        <v>911.25</v>
      </c>
      <c r="P30" s="151" t="s">
        <v>401</v>
      </c>
      <c r="Q30" s="151" t="s">
        <v>398</v>
      </c>
      <c r="R30" s="158" t="s">
        <v>360</v>
      </c>
      <c r="S30" s="156" t="s">
        <v>392</v>
      </c>
      <c r="T30" s="156" t="s">
        <v>399</v>
      </c>
      <c r="U30" s="274" t="s">
        <v>375</v>
      </c>
      <c r="V30" s="275"/>
    </row>
    <row r="31" spans="1:22" ht="16.5" x14ac:dyDescent="0.3">
      <c r="A31" s="150">
        <v>500</v>
      </c>
      <c r="B31" s="151">
        <v>440</v>
      </c>
      <c r="C31" s="152">
        <f t="shared" si="0"/>
        <v>810</v>
      </c>
      <c r="D31" s="152">
        <f t="shared" si="1"/>
        <v>579</v>
      </c>
      <c r="E31" s="152">
        <f t="shared" si="2"/>
        <v>864</v>
      </c>
      <c r="F31" s="153">
        <f t="shared" si="3"/>
        <v>249.48</v>
      </c>
      <c r="G31" s="154">
        <f t="shared" si="4"/>
        <v>2.189189189189189</v>
      </c>
      <c r="H31" s="151">
        <v>185</v>
      </c>
      <c r="I31" s="151">
        <v>2</v>
      </c>
      <c r="J31" s="151">
        <f t="shared" si="5"/>
        <v>52</v>
      </c>
      <c r="K31" s="151">
        <v>70</v>
      </c>
      <c r="L31" s="151">
        <v>1000</v>
      </c>
      <c r="M31" s="151" t="s">
        <v>402</v>
      </c>
      <c r="N31" s="151" t="s">
        <v>403</v>
      </c>
      <c r="O31" s="155">
        <f t="shared" si="6"/>
        <v>1012.5</v>
      </c>
      <c r="P31" s="151" t="s">
        <v>399</v>
      </c>
      <c r="Q31" s="151" t="s">
        <v>398</v>
      </c>
      <c r="R31" s="158" t="s">
        <v>360</v>
      </c>
      <c r="S31" s="156" t="s">
        <v>404</v>
      </c>
      <c r="T31" s="156" t="s">
        <v>405</v>
      </c>
      <c r="U31" s="274" t="s">
        <v>375</v>
      </c>
      <c r="V31" s="275"/>
    </row>
    <row r="32" spans="1:22" ht="16.5" x14ac:dyDescent="0.3">
      <c r="A32" s="150">
        <v>600</v>
      </c>
      <c r="B32" s="151">
        <v>460</v>
      </c>
      <c r="C32" s="152">
        <f t="shared" si="0"/>
        <v>930</v>
      </c>
      <c r="D32" s="152">
        <f t="shared" si="1"/>
        <v>606</v>
      </c>
      <c r="E32" s="152">
        <f t="shared" si="2"/>
        <v>991</v>
      </c>
      <c r="F32" s="153">
        <f t="shared" si="3"/>
        <v>286.44</v>
      </c>
      <c r="G32" s="154">
        <f t="shared" si="4"/>
        <v>1.6756756756756757</v>
      </c>
      <c r="H32" s="151">
        <v>185</v>
      </c>
      <c r="I32" s="151">
        <v>3</v>
      </c>
      <c r="J32" s="151">
        <f t="shared" si="5"/>
        <v>62.4</v>
      </c>
      <c r="K32" s="151">
        <v>70</v>
      </c>
      <c r="L32" s="151">
        <v>1200</v>
      </c>
      <c r="M32" s="151" t="s">
        <v>406</v>
      </c>
      <c r="N32" s="151" t="s">
        <v>403</v>
      </c>
      <c r="O32" s="155">
        <f t="shared" si="6"/>
        <v>1162.5</v>
      </c>
      <c r="P32" s="151" t="s">
        <v>407</v>
      </c>
      <c r="Q32" s="151" t="s">
        <v>398</v>
      </c>
      <c r="R32" s="158" t="s">
        <v>360</v>
      </c>
      <c r="S32" s="156" t="s">
        <v>408</v>
      </c>
      <c r="T32" s="156" t="s">
        <v>405</v>
      </c>
      <c r="U32" s="151" t="s">
        <v>409</v>
      </c>
      <c r="V32" s="159" t="s">
        <v>410</v>
      </c>
    </row>
    <row r="33" spans="1:22" ht="16.5" x14ac:dyDescent="0.3">
      <c r="A33" s="150">
        <v>700</v>
      </c>
      <c r="B33" s="151">
        <v>460</v>
      </c>
      <c r="C33" s="152">
        <f t="shared" si="0"/>
        <v>1085</v>
      </c>
      <c r="D33" s="152">
        <f t="shared" si="1"/>
        <v>606</v>
      </c>
      <c r="E33" s="152">
        <f t="shared" si="2"/>
        <v>1156</v>
      </c>
      <c r="F33" s="153">
        <f t="shared" si="3"/>
        <v>334.18</v>
      </c>
      <c r="G33" s="154">
        <f t="shared" si="4"/>
        <v>1.4662162162162162</v>
      </c>
      <c r="H33" s="151">
        <v>185</v>
      </c>
      <c r="I33" s="151">
        <v>4</v>
      </c>
      <c r="J33" s="151">
        <f t="shared" si="5"/>
        <v>65</v>
      </c>
      <c r="K33" s="151">
        <v>70</v>
      </c>
      <c r="L33" s="151">
        <v>1250</v>
      </c>
      <c r="M33" s="151" t="s">
        <v>411</v>
      </c>
      <c r="N33" s="151" t="s">
        <v>412</v>
      </c>
      <c r="O33" s="155">
        <f t="shared" si="6"/>
        <v>1356.25</v>
      </c>
      <c r="P33" s="158" t="s">
        <v>413</v>
      </c>
      <c r="Q33" s="151" t="s">
        <v>414</v>
      </c>
      <c r="R33" s="158" t="s">
        <v>413</v>
      </c>
      <c r="S33" s="156" t="s">
        <v>415</v>
      </c>
      <c r="T33" s="156" t="s">
        <v>416</v>
      </c>
      <c r="U33" s="151" t="s">
        <v>417</v>
      </c>
      <c r="V33" s="159" t="s">
        <v>418</v>
      </c>
    </row>
    <row r="34" spans="1:22" ht="16.5" x14ac:dyDescent="0.3">
      <c r="A34" s="150">
        <v>750</v>
      </c>
      <c r="B34" s="151">
        <v>460</v>
      </c>
      <c r="C34" s="152">
        <f t="shared" si="0"/>
        <v>1163</v>
      </c>
      <c r="D34" s="152">
        <f t="shared" si="1"/>
        <v>606</v>
      </c>
      <c r="E34" s="152">
        <f t="shared" si="2"/>
        <v>1238</v>
      </c>
      <c r="F34" s="153">
        <f t="shared" si="3"/>
        <v>358.20400000000001</v>
      </c>
      <c r="G34" s="154">
        <f t="shared" si="4"/>
        <v>1.5716216216216217</v>
      </c>
      <c r="H34" s="151">
        <v>185</v>
      </c>
      <c r="I34" s="151">
        <v>4</v>
      </c>
      <c r="J34" s="151">
        <f t="shared" si="5"/>
        <v>65</v>
      </c>
      <c r="K34" s="151">
        <v>70</v>
      </c>
      <c r="L34" s="151">
        <v>1250</v>
      </c>
      <c r="M34" s="151" t="s">
        <v>411</v>
      </c>
      <c r="N34" s="151" t="s">
        <v>412</v>
      </c>
      <c r="O34" s="155">
        <f t="shared" si="6"/>
        <v>1453.75</v>
      </c>
      <c r="P34" s="158" t="s">
        <v>413</v>
      </c>
      <c r="Q34" s="151" t="s">
        <v>414</v>
      </c>
      <c r="R34" s="158" t="s">
        <v>413</v>
      </c>
      <c r="S34" s="156" t="s">
        <v>415</v>
      </c>
      <c r="T34" s="156" t="s">
        <v>419</v>
      </c>
      <c r="U34" s="151" t="s">
        <v>417</v>
      </c>
      <c r="V34" s="159" t="s">
        <v>418</v>
      </c>
    </row>
    <row r="35" spans="1:22" ht="16.5" x14ac:dyDescent="0.3">
      <c r="A35" s="150">
        <v>800</v>
      </c>
      <c r="B35" s="151">
        <v>460</v>
      </c>
      <c r="C35" s="152">
        <f t="shared" si="0"/>
        <v>1240</v>
      </c>
      <c r="D35" s="152">
        <f t="shared" si="1"/>
        <v>606</v>
      </c>
      <c r="E35" s="152">
        <f t="shared" si="2"/>
        <v>1321</v>
      </c>
      <c r="F35" s="153">
        <f t="shared" si="3"/>
        <v>381.92</v>
      </c>
      <c r="G35" s="154">
        <f t="shared" si="4"/>
        <v>1.6756756756756757</v>
      </c>
      <c r="H35" s="151">
        <v>185</v>
      </c>
      <c r="I35" s="151">
        <v>4</v>
      </c>
      <c r="J35" s="151">
        <f t="shared" si="5"/>
        <v>83.2</v>
      </c>
      <c r="K35" s="151">
        <v>95</v>
      </c>
      <c r="L35" s="151">
        <v>1600</v>
      </c>
      <c r="M35" s="151" t="s">
        <v>420</v>
      </c>
      <c r="N35" s="151" t="s">
        <v>421</v>
      </c>
      <c r="O35" s="155">
        <f t="shared" si="6"/>
        <v>1550</v>
      </c>
      <c r="P35" s="158" t="s">
        <v>413</v>
      </c>
      <c r="Q35" s="151" t="s">
        <v>414</v>
      </c>
      <c r="R35" s="158" t="s">
        <v>413</v>
      </c>
      <c r="S35" s="156" t="s">
        <v>415</v>
      </c>
      <c r="T35" s="156" t="s">
        <v>419</v>
      </c>
      <c r="U35" s="151" t="s">
        <v>417</v>
      </c>
      <c r="V35" s="159" t="s">
        <v>418</v>
      </c>
    </row>
    <row r="36" spans="1:22" ht="16.5" x14ac:dyDescent="0.3">
      <c r="A36" s="150">
        <v>1000</v>
      </c>
      <c r="B36" s="151">
        <v>460</v>
      </c>
      <c r="C36" s="152">
        <f t="shared" si="0"/>
        <v>1550</v>
      </c>
      <c r="D36" s="152">
        <f t="shared" si="1"/>
        <v>606</v>
      </c>
      <c r="E36" s="152">
        <f t="shared" si="2"/>
        <v>1651</v>
      </c>
      <c r="F36" s="153">
        <f t="shared" si="3"/>
        <v>477.4</v>
      </c>
      <c r="G36" s="154">
        <f t="shared" si="4"/>
        <v>1.6145833333333333</v>
      </c>
      <c r="H36" s="151">
        <v>240</v>
      </c>
      <c r="I36" s="151">
        <v>4</v>
      </c>
      <c r="J36" s="151">
        <f t="shared" si="5"/>
        <v>104</v>
      </c>
      <c r="K36" s="151">
        <v>120</v>
      </c>
      <c r="L36" s="151">
        <v>2000</v>
      </c>
      <c r="M36" s="151" t="s">
        <v>422</v>
      </c>
      <c r="N36" s="151" t="s">
        <v>423</v>
      </c>
      <c r="O36" s="155">
        <f t="shared" si="6"/>
        <v>1937.5</v>
      </c>
      <c r="P36" s="158" t="s">
        <v>413</v>
      </c>
      <c r="Q36" s="151" t="s">
        <v>424</v>
      </c>
      <c r="R36" s="151" t="s">
        <v>425</v>
      </c>
      <c r="S36" s="156" t="s">
        <v>415</v>
      </c>
      <c r="T36" s="156" t="s">
        <v>426</v>
      </c>
      <c r="U36" s="151" t="s">
        <v>417</v>
      </c>
      <c r="V36" s="159" t="s">
        <v>418</v>
      </c>
    </row>
    <row r="37" spans="1:22" ht="16.5" x14ac:dyDescent="0.3">
      <c r="A37" s="150">
        <v>1200</v>
      </c>
      <c r="B37" s="151">
        <v>460</v>
      </c>
      <c r="C37" s="152">
        <f t="shared" si="0"/>
        <v>1860</v>
      </c>
      <c r="D37" s="152">
        <f t="shared" si="1"/>
        <v>606</v>
      </c>
      <c r="E37" s="152">
        <f t="shared" si="2"/>
        <v>1981</v>
      </c>
      <c r="F37" s="153">
        <f t="shared" si="3"/>
        <v>572.88</v>
      </c>
      <c r="G37" s="154">
        <f t="shared" si="4"/>
        <v>1.55</v>
      </c>
      <c r="H37" s="151">
        <v>300</v>
      </c>
      <c r="I37" s="151">
        <v>4</v>
      </c>
      <c r="J37" s="151">
        <f t="shared" si="5"/>
        <v>130</v>
      </c>
      <c r="K37" s="151">
        <v>150</v>
      </c>
      <c r="L37" s="151">
        <v>2500</v>
      </c>
      <c r="M37" s="151" t="s">
        <v>427</v>
      </c>
      <c r="N37" s="151" t="s">
        <v>428</v>
      </c>
      <c r="O37" s="155">
        <f t="shared" si="6"/>
        <v>2325</v>
      </c>
      <c r="P37" s="158" t="s">
        <v>413</v>
      </c>
      <c r="Q37" s="151"/>
      <c r="R37" s="151" t="s">
        <v>425</v>
      </c>
      <c r="S37" s="156" t="s">
        <v>415</v>
      </c>
      <c r="T37" s="156" t="s">
        <v>426</v>
      </c>
      <c r="U37" s="151" t="s">
        <v>417</v>
      </c>
      <c r="V37" s="159" t="s">
        <v>429</v>
      </c>
    </row>
    <row r="38" spans="1:22" ht="16.5" x14ac:dyDescent="0.3">
      <c r="A38" s="150">
        <v>1250</v>
      </c>
      <c r="B38" s="151">
        <v>460</v>
      </c>
      <c r="C38" s="152">
        <f t="shared" si="0"/>
        <v>1937</v>
      </c>
      <c r="D38" s="152">
        <f t="shared" si="1"/>
        <v>606</v>
      </c>
      <c r="E38" s="152">
        <f t="shared" si="2"/>
        <v>2063</v>
      </c>
      <c r="F38" s="153">
        <f t="shared" si="3"/>
        <v>596.596</v>
      </c>
      <c r="G38" s="154">
        <f t="shared" si="4"/>
        <v>1.6141666666666667</v>
      </c>
      <c r="H38" s="151">
        <v>300</v>
      </c>
      <c r="I38" s="151">
        <v>4</v>
      </c>
      <c r="J38" s="151">
        <f t="shared" si="5"/>
        <v>130</v>
      </c>
      <c r="K38" s="151">
        <v>150</v>
      </c>
      <c r="L38" s="151">
        <v>2500</v>
      </c>
      <c r="M38" s="151" t="s">
        <v>430</v>
      </c>
      <c r="N38" s="151" t="s">
        <v>431</v>
      </c>
      <c r="O38" s="155">
        <f t="shared" si="6"/>
        <v>2421.25</v>
      </c>
      <c r="P38" s="158" t="s">
        <v>432</v>
      </c>
      <c r="Q38" s="151"/>
      <c r="R38" s="151" t="s">
        <v>433</v>
      </c>
      <c r="S38" s="156" t="s">
        <v>434</v>
      </c>
      <c r="T38" s="156" t="s">
        <v>435</v>
      </c>
      <c r="U38" s="151" t="s">
        <v>436</v>
      </c>
      <c r="V38" s="159" t="s">
        <v>429</v>
      </c>
    </row>
    <row r="39" spans="1:22" ht="16.5" x14ac:dyDescent="0.3">
      <c r="A39" s="150">
        <v>1500</v>
      </c>
      <c r="B39" s="151">
        <v>460</v>
      </c>
      <c r="C39" s="152">
        <f t="shared" si="0"/>
        <v>2325</v>
      </c>
      <c r="D39" s="152">
        <f t="shared" si="1"/>
        <v>606</v>
      </c>
      <c r="E39" s="152">
        <f t="shared" si="2"/>
        <v>2476</v>
      </c>
      <c r="F39" s="153">
        <f t="shared" si="3"/>
        <v>716.1</v>
      </c>
      <c r="G39" s="154">
        <f t="shared" si="4"/>
        <v>1.55</v>
      </c>
      <c r="H39" s="151">
        <v>300</v>
      </c>
      <c r="I39" s="151">
        <v>5</v>
      </c>
      <c r="J39" s="151">
        <f t="shared" si="5"/>
        <v>130</v>
      </c>
      <c r="K39" s="151">
        <v>150</v>
      </c>
      <c r="L39" s="151">
        <v>2500</v>
      </c>
      <c r="M39" s="151" t="s">
        <v>430</v>
      </c>
      <c r="N39" s="151" t="s">
        <v>431</v>
      </c>
      <c r="O39" s="155">
        <f t="shared" si="6"/>
        <v>2906.25</v>
      </c>
      <c r="P39" s="158" t="s">
        <v>432</v>
      </c>
      <c r="Q39" s="151" t="s">
        <v>437</v>
      </c>
      <c r="R39" s="151" t="s">
        <v>433</v>
      </c>
      <c r="S39" s="156" t="s">
        <v>434</v>
      </c>
      <c r="T39" s="156" t="s">
        <v>438</v>
      </c>
      <c r="U39" s="151" t="s">
        <v>417</v>
      </c>
      <c r="V39" s="159" t="s">
        <v>439</v>
      </c>
    </row>
    <row r="40" spans="1:22" ht="16.5" x14ac:dyDescent="0.3">
      <c r="A40" s="150">
        <v>1500</v>
      </c>
      <c r="B40" s="151">
        <v>650</v>
      </c>
      <c r="C40" s="152">
        <f t="shared" si="0"/>
        <v>1645</v>
      </c>
      <c r="D40" s="152">
        <f t="shared" si="1"/>
        <v>855</v>
      </c>
      <c r="E40" s="152">
        <f t="shared" si="2"/>
        <v>1755</v>
      </c>
      <c r="F40" s="153">
        <f t="shared" si="3"/>
        <v>506.66</v>
      </c>
      <c r="G40" s="154">
        <f t="shared" si="4"/>
        <v>1.7135416666666667</v>
      </c>
      <c r="H40" s="151">
        <v>240</v>
      </c>
      <c r="I40" s="151">
        <v>4</v>
      </c>
      <c r="J40" s="151">
        <f t="shared" si="5"/>
        <v>104</v>
      </c>
      <c r="K40" s="151">
        <v>120</v>
      </c>
      <c r="L40" s="151">
        <v>2000</v>
      </c>
      <c r="M40" s="151" t="s">
        <v>422</v>
      </c>
      <c r="N40" s="151" t="s">
        <v>423</v>
      </c>
      <c r="O40" s="155">
        <f t="shared" si="6"/>
        <v>2056.25</v>
      </c>
      <c r="P40" s="158" t="s">
        <v>413</v>
      </c>
      <c r="Q40" s="151"/>
      <c r="R40" s="151" t="s">
        <v>425</v>
      </c>
      <c r="S40" s="156" t="s">
        <v>415</v>
      </c>
      <c r="T40" s="156" t="s">
        <v>426</v>
      </c>
      <c r="U40" s="151" t="s">
        <v>417</v>
      </c>
      <c r="V40" s="159" t="s">
        <v>439</v>
      </c>
    </row>
    <row r="41" spans="1:22" ht="16.5" x14ac:dyDescent="0.3">
      <c r="A41" s="150">
        <v>1600</v>
      </c>
      <c r="B41" s="151">
        <v>690</v>
      </c>
      <c r="C41" s="152">
        <f>ROUNDUP(A41/(B41*0.9)/3^0.5*1000/0.9,0)</f>
        <v>1653</v>
      </c>
      <c r="D41" s="152">
        <f>ROUNDUP(B41*2^0.5*0.93,0)</f>
        <v>908</v>
      </c>
      <c r="E41" s="152">
        <f>ROUNDUP(A41*1000/D41,0)</f>
        <v>1763</v>
      </c>
      <c r="F41" s="153">
        <f>30.8*100*C41/(1000*10)</f>
        <v>509.12400000000002</v>
      </c>
      <c r="G41" s="154">
        <f>C41/(H41*I41)</f>
        <v>1.721875</v>
      </c>
      <c r="H41" s="151">
        <v>240</v>
      </c>
      <c r="I41" s="151">
        <v>4</v>
      </c>
      <c r="J41" s="151">
        <f>L41*0.052</f>
        <v>104</v>
      </c>
      <c r="K41" s="151">
        <v>120</v>
      </c>
      <c r="L41" s="151">
        <v>2000</v>
      </c>
      <c r="M41" s="151" t="s">
        <v>422</v>
      </c>
      <c r="N41" s="151" t="s">
        <v>423</v>
      </c>
      <c r="O41" s="155">
        <f>SUM(C41*1.25)</f>
        <v>2066.25</v>
      </c>
      <c r="P41" s="158" t="s">
        <v>360</v>
      </c>
      <c r="Q41" s="151"/>
      <c r="R41" s="151" t="s">
        <v>425</v>
      </c>
      <c r="S41" s="156" t="s">
        <v>415</v>
      </c>
      <c r="T41" s="156" t="s">
        <v>426</v>
      </c>
      <c r="U41" s="151" t="s">
        <v>409</v>
      </c>
      <c r="V41" s="159" t="s">
        <v>518</v>
      </c>
    </row>
    <row r="42" spans="1:22" ht="16.5" x14ac:dyDescent="0.3">
      <c r="A42" s="150">
        <v>2000</v>
      </c>
      <c r="B42" s="151">
        <v>460</v>
      </c>
      <c r="C42" s="152">
        <f t="shared" si="0"/>
        <v>3100</v>
      </c>
      <c r="D42" s="152">
        <f t="shared" si="1"/>
        <v>606</v>
      </c>
      <c r="E42" s="152">
        <f t="shared" si="2"/>
        <v>3301</v>
      </c>
      <c r="F42" s="153">
        <f t="shared" si="3"/>
        <v>954.8</v>
      </c>
      <c r="G42" s="154">
        <f t="shared" si="4"/>
        <v>1.2916666666666667</v>
      </c>
      <c r="H42" s="151">
        <v>400</v>
      </c>
      <c r="I42" s="151">
        <v>6</v>
      </c>
      <c r="J42" s="151">
        <f t="shared" si="5"/>
        <v>166.4</v>
      </c>
      <c r="K42" s="151">
        <v>185</v>
      </c>
      <c r="L42" s="151">
        <v>3200</v>
      </c>
      <c r="M42" s="151" t="s">
        <v>440</v>
      </c>
      <c r="N42" s="151" t="s">
        <v>441</v>
      </c>
      <c r="O42" s="155">
        <f t="shared" si="6"/>
        <v>3875</v>
      </c>
      <c r="P42" s="158" t="s">
        <v>413</v>
      </c>
      <c r="Q42" s="151" t="s">
        <v>442</v>
      </c>
      <c r="R42" s="151" t="s">
        <v>443</v>
      </c>
      <c r="S42" s="156" t="s">
        <v>415</v>
      </c>
      <c r="T42" s="156" t="s">
        <v>444</v>
      </c>
      <c r="U42" s="151" t="s">
        <v>417</v>
      </c>
      <c r="V42" s="159" t="s">
        <v>445</v>
      </c>
    </row>
    <row r="43" spans="1:22" ht="16.5" x14ac:dyDescent="0.3">
      <c r="A43" s="150">
        <v>2000</v>
      </c>
      <c r="B43" s="151">
        <v>650</v>
      </c>
      <c r="C43" s="152">
        <f t="shared" si="0"/>
        <v>2194</v>
      </c>
      <c r="D43" s="152">
        <f t="shared" si="1"/>
        <v>855</v>
      </c>
      <c r="E43" s="152">
        <f t="shared" si="2"/>
        <v>2340</v>
      </c>
      <c r="F43" s="153">
        <f t="shared" si="3"/>
        <v>675.75199999999995</v>
      </c>
      <c r="G43" s="154">
        <f t="shared" si="4"/>
        <v>1.4626666666666666</v>
      </c>
      <c r="H43" s="151">
        <v>300</v>
      </c>
      <c r="I43" s="151">
        <v>5</v>
      </c>
      <c r="J43" s="151">
        <f t="shared" si="5"/>
        <v>130</v>
      </c>
      <c r="K43" s="151">
        <v>150</v>
      </c>
      <c r="L43" s="151">
        <v>2500</v>
      </c>
      <c r="M43" s="151" t="s">
        <v>427</v>
      </c>
      <c r="N43" s="151" t="s">
        <v>428</v>
      </c>
      <c r="O43" s="155">
        <f t="shared" si="6"/>
        <v>2742.5</v>
      </c>
      <c r="P43" s="158" t="s">
        <v>413</v>
      </c>
      <c r="Q43" s="151" t="s">
        <v>446</v>
      </c>
      <c r="R43" s="151" t="s">
        <v>425</v>
      </c>
      <c r="S43" s="156" t="s">
        <v>415</v>
      </c>
      <c r="T43" s="156" t="s">
        <v>438</v>
      </c>
      <c r="U43" s="151" t="s">
        <v>417</v>
      </c>
      <c r="V43" s="159" t="s">
        <v>439</v>
      </c>
    </row>
    <row r="44" spans="1:22" ht="16.5" x14ac:dyDescent="0.3">
      <c r="A44" s="150">
        <v>2500</v>
      </c>
      <c r="B44" s="151">
        <v>460</v>
      </c>
      <c r="C44" s="152">
        <f t="shared" si="0"/>
        <v>3874</v>
      </c>
      <c r="D44" s="152">
        <f t="shared" si="1"/>
        <v>606</v>
      </c>
      <c r="E44" s="152">
        <f t="shared" si="2"/>
        <v>4126</v>
      </c>
      <c r="F44" s="153">
        <f t="shared" si="3"/>
        <v>1193.192</v>
      </c>
      <c r="G44" s="154">
        <f t="shared" si="4"/>
        <v>1.6141666666666667</v>
      </c>
      <c r="H44" s="151">
        <v>400</v>
      </c>
      <c r="I44" s="151">
        <v>6</v>
      </c>
      <c r="J44" s="151">
        <f t="shared" si="5"/>
        <v>208</v>
      </c>
      <c r="K44" s="151">
        <v>240</v>
      </c>
      <c r="L44" s="151">
        <v>4000</v>
      </c>
      <c r="M44" s="151" t="s">
        <v>447</v>
      </c>
      <c r="N44" s="151" t="s">
        <v>441</v>
      </c>
      <c r="O44" s="155">
        <f t="shared" si="6"/>
        <v>4842.5</v>
      </c>
      <c r="P44" s="158" t="s">
        <v>413</v>
      </c>
      <c r="Q44" s="151" t="s">
        <v>442</v>
      </c>
      <c r="R44" s="151" t="s">
        <v>443</v>
      </c>
      <c r="S44" s="156" t="s">
        <v>415</v>
      </c>
      <c r="T44" s="156" t="s">
        <v>448</v>
      </c>
      <c r="U44" s="151" t="s">
        <v>417</v>
      </c>
      <c r="V44" s="159" t="s">
        <v>445</v>
      </c>
    </row>
    <row r="45" spans="1:22" ht="16.5" x14ac:dyDescent="0.3">
      <c r="A45" s="160">
        <v>2500</v>
      </c>
      <c r="B45" s="151">
        <v>650</v>
      </c>
      <c r="C45" s="152">
        <f t="shared" si="0"/>
        <v>2742</v>
      </c>
      <c r="D45" s="152">
        <f t="shared" si="1"/>
        <v>855</v>
      </c>
      <c r="E45" s="152">
        <f t="shared" si="2"/>
        <v>2924</v>
      </c>
      <c r="F45" s="161"/>
      <c r="G45" s="154">
        <f t="shared" si="4"/>
        <v>1.1425000000000001</v>
      </c>
      <c r="H45" s="151">
        <v>400</v>
      </c>
      <c r="I45" s="151">
        <v>6</v>
      </c>
      <c r="J45" s="151">
        <f t="shared" si="5"/>
        <v>166.4</v>
      </c>
      <c r="K45" s="151">
        <v>185</v>
      </c>
      <c r="L45" s="151">
        <v>3200</v>
      </c>
      <c r="M45" s="151" t="s">
        <v>440</v>
      </c>
      <c r="N45" s="151" t="s">
        <v>441</v>
      </c>
      <c r="O45" s="155">
        <f t="shared" si="6"/>
        <v>3427.5</v>
      </c>
      <c r="P45" s="158" t="s">
        <v>413</v>
      </c>
      <c r="Q45" s="151" t="s">
        <v>442</v>
      </c>
      <c r="R45" s="151" t="s">
        <v>443</v>
      </c>
      <c r="S45" s="156" t="s">
        <v>415</v>
      </c>
      <c r="T45" s="156" t="s">
        <v>444</v>
      </c>
      <c r="U45" s="151" t="s">
        <v>417</v>
      </c>
      <c r="V45" s="159" t="s">
        <v>445</v>
      </c>
    </row>
    <row r="46" spans="1:22" ht="16.5" x14ac:dyDescent="0.3">
      <c r="A46" s="160">
        <v>3000</v>
      </c>
      <c r="B46" s="162">
        <v>460</v>
      </c>
      <c r="C46" s="163">
        <f>ROUNDUP(A46/(B46*0.9)/3^0.5*1000/0.9,0)</f>
        <v>4649</v>
      </c>
      <c r="D46" s="163">
        <f t="shared" si="1"/>
        <v>606</v>
      </c>
      <c r="E46" s="163">
        <f t="shared" si="2"/>
        <v>4951</v>
      </c>
      <c r="F46" s="161">
        <f>30.8*100*C46/(1000*10)</f>
        <v>1431.8920000000001</v>
      </c>
      <c r="G46" s="164">
        <f t="shared" si="4"/>
        <v>1.5496666666666667</v>
      </c>
      <c r="H46" s="162">
        <v>500</v>
      </c>
      <c r="I46" s="162">
        <v>6</v>
      </c>
      <c r="J46" s="162">
        <f t="shared" si="5"/>
        <v>208</v>
      </c>
      <c r="K46" s="162">
        <v>240</v>
      </c>
      <c r="L46" s="162">
        <v>4000</v>
      </c>
      <c r="M46" s="162" t="s">
        <v>447</v>
      </c>
      <c r="N46" s="162" t="s">
        <v>441</v>
      </c>
      <c r="O46" s="165">
        <f t="shared" si="6"/>
        <v>5811.25</v>
      </c>
      <c r="P46" s="166" t="s">
        <v>413</v>
      </c>
      <c r="Q46" s="162" t="s">
        <v>442</v>
      </c>
      <c r="R46" s="162" t="s">
        <v>443</v>
      </c>
      <c r="S46" s="156" t="s">
        <v>415</v>
      </c>
      <c r="T46" s="167" t="s">
        <v>449</v>
      </c>
      <c r="U46" s="162" t="s">
        <v>436</v>
      </c>
      <c r="V46" s="168" t="s">
        <v>450</v>
      </c>
    </row>
    <row r="47" spans="1:22" ht="17.25" thickBot="1" x14ac:dyDescent="0.35">
      <c r="A47" s="169">
        <v>3000</v>
      </c>
      <c r="B47" s="170">
        <v>650</v>
      </c>
      <c r="C47" s="171">
        <f t="shared" si="0"/>
        <v>3290</v>
      </c>
      <c r="D47" s="171">
        <f t="shared" si="1"/>
        <v>855</v>
      </c>
      <c r="E47" s="171">
        <f t="shared" si="2"/>
        <v>3509</v>
      </c>
      <c r="F47" s="172">
        <f t="shared" si="3"/>
        <v>1013.32</v>
      </c>
      <c r="G47" s="173">
        <f t="shared" si="4"/>
        <v>1.3708333333333333</v>
      </c>
      <c r="H47" s="170">
        <v>400</v>
      </c>
      <c r="I47" s="170">
        <v>6</v>
      </c>
      <c r="J47" s="170">
        <f t="shared" si="5"/>
        <v>166.4</v>
      </c>
      <c r="K47" s="170">
        <v>185</v>
      </c>
      <c r="L47" s="170">
        <v>3200</v>
      </c>
      <c r="M47" s="170" t="s">
        <v>451</v>
      </c>
      <c r="N47" s="170" t="s">
        <v>452</v>
      </c>
      <c r="O47" s="174">
        <f t="shared" si="6"/>
        <v>4112.5</v>
      </c>
      <c r="P47" s="175" t="s">
        <v>453</v>
      </c>
      <c r="Q47" s="170" t="s">
        <v>442</v>
      </c>
      <c r="R47" s="170" t="s">
        <v>454</v>
      </c>
      <c r="S47" s="176" t="s">
        <v>455</v>
      </c>
      <c r="T47" s="170" t="s">
        <v>456</v>
      </c>
      <c r="U47" s="170" t="s">
        <v>409</v>
      </c>
      <c r="V47" s="177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90" t="s">
        <v>189</v>
      </c>
      <c r="C2" s="292" t="s">
        <v>190</v>
      </c>
      <c r="D2" s="292"/>
      <c r="E2" s="292"/>
      <c r="F2" s="292"/>
      <c r="G2" s="292"/>
      <c r="H2" s="292"/>
      <c r="I2" s="292"/>
      <c r="J2" s="292"/>
      <c r="K2" s="292"/>
      <c r="L2" s="293" t="s">
        <v>191</v>
      </c>
      <c r="M2" s="293"/>
      <c r="N2" s="293"/>
      <c r="O2" s="294" t="s">
        <v>192</v>
      </c>
      <c r="P2" s="294"/>
      <c r="Q2" s="294"/>
      <c r="R2" s="295" t="s">
        <v>193</v>
      </c>
      <c r="S2" s="295"/>
      <c r="T2" s="296"/>
    </row>
    <row r="3" spans="2:20" ht="16.5" x14ac:dyDescent="0.15">
      <c r="B3" s="291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2021-05-06T00:12:25Z</dcterms:modified>
</cp:coreProperties>
</file>