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5_18_PSA01Y21-0015_18_일진글로벌_GEN1_2_열처리 전원장치\전장설계\350kW_SCAN\"/>
    </mc:Choice>
  </mc:AlternateContent>
  <bookViews>
    <workbookView xWindow="0" yWindow="0" windowWidth="28800" windowHeight="12975" tabRatio="821" activeTab="1"/>
  </bookViews>
  <sheets>
    <sheet name="GEN1_SCAN" sheetId="43" r:id="rId1"/>
    <sheet name="설계 결과표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C6" i="43" l="1"/>
  <c r="C8" i="43" s="1"/>
  <c r="D6" i="43"/>
  <c r="D8" i="43" s="1"/>
  <c r="E6" i="43"/>
  <c r="E8" i="43" s="1"/>
  <c r="F6" i="43"/>
  <c r="F8" i="43" s="1"/>
  <c r="C10" i="43"/>
  <c r="C38" i="43" s="1"/>
  <c r="C40" i="43" s="1"/>
  <c r="D10" i="43"/>
  <c r="D38" i="43" s="1"/>
  <c r="D40" i="43" s="1"/>
  <c r="E10" i="43"/>
  <c r="E11" i="43" s="1"/>
  <c r="F10" i="43"/>
  <c r="F38" i="43" s="1"/>
  <c r="F40" i="43" s="1"/>
  <c r="C11" i="43"/>
  <c r="C17" i="43"/>
  <c r="C23" i="43" s="1"/>
  <c r="C26" i="43" s="1"/>
  <c r="D17" i="43"/>
  <c r="D23" i="43" s="1"/>
  <c r="D26" i="43" s="1"/>
  <c r="E17" i="43"/>
  <c r="F17" i="43"/>
  <c r="F23" i="43" s="1"/>
  <c r="F26" i="43" s="1"/>
  <c r="F29" i="43" s="1"/>
  <c r="C19" i="43"/>
  <c r="D19" i="43"/>
  <c r="E19" i="43"/>
  <c r="F19" i="43"/>
  <c r="C33" i="43"/>
  <c r="D33" i="43"/>
  <c r="E33" i="43"/>
  <c r="F33" i="43"/>
  <c r="E38" i="43"/>
  <c r="E40" i="43" s="1"/>
  <c r="F11" i="43" l="1"/>
  <c r="D11" i="43"/>
  <c r="E22" i="43"/>
  <c r="E24" i="43" s="1"/>
  <c r="F22" i="43"/>
  <c r="F31" i="43" s="1"/>
  <c r="E23" i="43"/>
  <c r="E26" i="43" s="1"/>
  <c r="E29" i="43" s="1"/>
  <c r="D22" i="43"/>
  <c r="C22" i="43"/>
  <c r="C24" i="43" s="1"/>
  <c r="C29" i="43"/>
  <c r="D29" i="43"/>
  <c r="F44" i="43"/>
  <c r="F45" i="43" s="1"/>
  <c r="F30" i="43"/>
  <c r="F25" i="48"/>
  <c r="F26" i="48" s="1"/>
  <c r="G11" i="48"/>
  <c r="G12" i="48" s="1"/>
  <c r="F11" i="48"/>
  <c r="F12" i="48" s="1"/>
  <c r="F9" i="48"/>
  <c r="E25" i="43" l="1"/>
  <c r="E27" i="43" s="1"/>
  <c r="E32" i="43" s="1"/>
  <c r="E42" i="43" s="1"/>
  <c r="E31" i="43"/>
  <c r="E35" i="43" s="1"/>
  <c r="F24" i="43"/>
  <c r="F25" i="43"/>
  <c r="C25" i="43"/>
  <c r="C27" i="43" s="1"/>
  <c r="C32" i="43" s="1"/>
  <c r="C42" i="43" s="1"/>
  <c r="E44" i="43"/>
  <c r="E45" i="43" s="1"/>
  <c r="E46" i="43" s="1"/>
  <c r="E47" i="43" s="1"/>
  <c r="E30" i="43"/>
  <c r="D25" i="43"/>
  <c r="D24" i="43"/>
  <c r="C44" i="43"/>
  <c r="C45" i="43" s="1"/>
  <c r="C46" i="43" s="1"/>
  <c r="C47" i="43" s="1"/>
  <c r="C31" i="43"/>
  <c r="C30" i="43"/>
  <c r="D44" i="43"/>
  <c r="D45" i="43" s="1"/>
  <c r="D46" i="43" s="1"/>
  <c r="D47" i="43" s="1"/>
  <c r="D31" i="43"/>
  <c r="D30" i="43"/>
  <c r="F35" i="43"/>
  <c r="F34" i="43"/>
  <c r="Y42" i="43"/>
  <c r="Y36" i="43"/>
  <c r="Y37" i="43"/>
  <c r="J41" i="45"/>
  <c r="D41" i="45"/>
  <c r="E41" i="45" s="1"/>
  <c r="C41" i="45"/>
  <c r="O41" i="45" s="1"/>
  <c r="U73" i="43"/>
  <c r="U75" i="43" s="1"/>
  <c r="U67" i="43"/>
  <c r="U68" i="43" s="1"/>
  <c r="U47" i="43"/>
  <c r="U48" i="43" s="1"/>
  <c r="U28" i="43"/>
  <c r="U8" i="43"/>
  <c r="U9" i="43" s="1"/>
  <c r="Y31" i="43"/>
  <c r="Y27" i="43"/>
  <c r="Y23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Q54" i="43"/>
  <c r="Q57" i="43" s="1"/>
  <c r="Q59" i="43" s="1"/>
  <c r="M60" i="43"/>
  <c r="F68" i="43"/>
  <c r="E68" i="43"/>
  <c r="D68" i="43"/>
  <c r="C68" i="43"/>
  <c r="M54" i="43"/>
  <c r="Q49" i="43"/>
  <c r="M47" i="43"/>
  <c r="M48" i="43" s="1"/>
  <c r="M46" i="43"/>
  <c r="M37" i="43"/>
  <c r="M36" i="43"/>
  <c r="Q35" i="43"/>
  <c r="Q31" i="43"/>
  <c r="Q27" i="43"/>
  <c r="Q39" i="43" s="1"/>
  <c r="Q40" i="43" s="1"/>
  <c r="Q41" i="43" s="1"/>
  <c r="M27" i="43"/>
  <c r="M26" i="43"/>
  <c r="M25" i="43"/>
  <c r="Q11" i="43" s="1"/>
  <c r="Q20" i="43"/>
  <c r="Y16" i="43"/>
  <c r="Y17" i="43" s="1"/>
  <c r="Y18" i="43" s="1"/>
  <c r="Y8" i="43"/>
  <c r="Q8" i="43"/>
  <c r="M7" i="43"/>
  <c r="M9" i="43" s="1"/>
  <c r="M14" i="43" s="1"/>
  <c r="Q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U29" i="43"/>
  <c r="U32" i="43"/>
  <c r="U35" i="43" s="1"/>
  <c r="U37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E34" i="43" l="1"/>
  <c r="F27" i="43"/>
  <c r="F32" i="43" s="1"/>
  <c r="F42" i="43" s="1"/>
  <c r="D27" i="43"/>
  <c r="D32" i="43" s="1"/>
  <c r="D42" i="43" s="1"/>
  <c r="C34" i="43"/>
  <c r="C35" i="43"/>
  <c r="D34" i="43"/>
  <c r="D35" i="43"/>
  <c r="U76" i="43"/>
  <c r="M38" i="43"/>
  <c r="M39" i="43" s="1"/>
  <c r="Q42" i="43"/>
  <c r="Q43" i="43" s="1"/>
  <c r="Q36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U12" i="43"/>
  <c r="U16" i="43" s="1"/>
  <c r="U18" i="43" s="1"/>
  <c r="U20" i="43" s="1"/>
  <c r="U39" i="43"/>
  <c r="U40" i="43"/>
  <c r="U51" i="43"/>
  <c r="U54" i="43" s="1"/>
  <c r="U57" i="43" s="1"/>
  <c r="M28" i="43"/>
  <c r="Q13" i="43"/>
  <c r="F55" i="43" l="1"/>
  <c r="F54" i="43" s="1"/>
  <c r="U21" i="43"/>
  <c r="E55" i="43"/>
  <c r="E54" i="43" s="1"/>
  <c r="U59" i="43"/>
  <c r="U60" i="43"/>
  <c r="D55" i="43"/>
  <c r="C55" i="43"/>
  <c r="E60" i="43" l="1"/>
  <c r="E63" i="43" s="1"/>
  <c r="F60" i="43"/>
  <c r="F63" i="43" s="1"/>
  <c r="F61" i="43"/>
  <c r="E61" i="43"/>
  <c r="D54" i="43"/>
  <c r="D61" i="43"/>
  <c r="D60" i="43"/>
  <c r="D63" i="43" s="1"/>
  <c r="E51" i="43"/>
  <c r="F51" i="43"/>
  <c r="F46" i="43"/>
  <c r="F47" i="43" s="1"/>
  <c r="D51" i="43"/>
  <c r="C60" i="43"/>
  <c r="C63" i="43" s="1"/>
  <c r="C61" i="43"/>
  <c r="C54" i="43"/>
  <c r="C51" i="43"/>
  <c r="F56" i="43" l="1"/>
  <c r="F64" i="43"/>
  <c r="D64" i="43"/>
  <c r="D56" i="43"/>
  <c r="E56" i="43"/>
  <c r="E64" i="43"/>
  <c r="C56" i="43"/>
  <c r="C64" i="43"/>
  <c r="F70" i="43" l="1"/>
  <c r="F73" i="43" s="1"/>
  <c r="F69" i="43"/>
  <c r="F72" i="43" s="1"/>
  <c r="F71" i="43"/>
  <c r="F74" i="43" s="1"/>
  <c r="F76" i="43" s="1"/>
  <c r="E70" i="43"/>
  <c r="E73" i="43" s="1"/>
  <c r="E69" i="43"/>
  <c r="E72" i="43" s="1"/>
  <c r="E71" i="43"/>
  <c r="E74" i="43" s="1"/>
  <c r="E76" i="43" s="1"/>
  <c r="D71" i="43"/>
  <c r="D74" i="43" s="1"/>
  <c r="D76" i="43" s="1"/>
  <c r="D70" i="43"/>
  <c r="D73" i="43" s="1"/>
  <c r="D69" i="43"/>
  <c r="D72" i="43" s="1"/>
  <c r="C71" i="43"/>
  <c r="C74" i="43" s="1"/>
  <c r="C76" i="43" s="1"/>
  <c r="C70" i="43"/>
  <c r="C73" i="43" s="1"/>
  <c r="C69" i="43"/>
  <c r="C72" i="43" s="1"/>
  <c r="E89" i="43" l="1"/>
  <c r="E81" i="43"/>
  <c r="E87" i="43" s="1"/>
  <c r="E83" i="43"/>
  <c r="D89" i="43"/>
  <c r="D81" i="43"/>
  <c r="D87" i="43" s="1"/>
  <c r="D83" i="43"/>
  <c r="E90" i="43"/>
  <c r="E82" i="43"/>
  <c r="E88" i="43" s="1"/>
  <c r="E84" i="43"/>
  <c r="D84" i="43"/>
  <c r="D90" i="43"/>
  <c r="D82" i="43"/>
  <c r="D88" i="43" s="1"/>
  <c r="E78" i="43"/>
  <c r="E93" i="43"/>
  <c r="D78" i="43"/>
  <c r="D93" i="43"/>
  <c r="F78" i="43"/>
  <c r="F93" i="43"/>
  <c r="F83" i="43"/>
  <c r="F81" i="43"/>
  <c r="F87" i="43" s="1"/>
  <c r="F89" i="43"/>
  <c r="F84" i="43"/>
  <c r="F90" i="43"/>
  <c r="F82" i="43"/>
  <c r="F88" i="43" s="1"/>
  <c r="C84" i="43"/>
  <c r="C90" i="43"/>
  <c r="C82" i="43"/>
  <c r="C88" i="43" s="1"/>
  <c r="C78" i="43"/>
  <c r="C93" i="43"/>
  <c r="C89" i="43"/>
  <c r="C81" i="43"/>
  <c r="C87" i="43" s="1"/>
  <c r="C83" i="43"/>
</calcChain>
</file>

<file path=xl/sharedStrings.xml><?xml version="1.0" encoding="utf-8"?>
<sst xmlns="http://schemas.openxmlformats.org/spreadsheetml/2006/main" count="1229" uniqueCount="679">
  <si>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</si>
  <si>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</si>
  <si>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</si>
  <si>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</si>
  <si>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</si>
  <si>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</si>
  <si>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</si>
  <si>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</si>
  <si>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</si>
  <si>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</si>
  <si>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</si>
  <si>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</si>
  <si>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</si>
  <si>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</si>
  <si>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</si>
  <si>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</si>
  <si>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</si>
  <si>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</si>
  <si>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</si>
  <si>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</si>
  <si>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</si>
  <si>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</si>
  <si>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</si>
  <si>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</si>
  <si>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</si>
  <si>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</si>
  <si>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</si>
  <si>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</si>
  <si>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</si>
  <si>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</si>
  <si>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</si>
  <si>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</si>
  <si>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</si>
  <si>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</si>
  <si>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</si>
  <si>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</si>
  <si>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</si>
  <si>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</si>
  <si>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</si>
  <si>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</si>
  <si>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</si>
  <si>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</si>
  <si>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</si>
  <si>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</si>
  <si>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</si>
  <si>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</si>
  <si>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</si>
  <si>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</si>
  <si>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</si>
  <si>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</si>
  <si>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</si>
  <si>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</si>
  <si>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</si>
  <si>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</si>
  <si>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</si>
  <si>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</si>
  <si>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</si>
  <si>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</si>
  <si>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</si>
  <si>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</si>
  <si>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</si>
  <si>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</si>
  <si>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</si>
  <si>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</si>
  <si>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</si>
  <si>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</si>
  <si>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</si>
  <si>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</si>
  <si>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</si>
  <si>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</si>
  <si>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</si>
  <si>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</si>
  <si>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</si>
  <si>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</si>
  <si>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</si>
  <si>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</si>
  <si>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</si>
  <si>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</si>
  <si>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</si>
  <si>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</si>
  <si>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</si>
  <si>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</si>
  <si>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</si>
  <si>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</si>
  <si>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</si>
  <si>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</si>
  <si>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</si>
  <si>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</si>
  <si>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</si>
  <si>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</si>
  <si>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</si>
  <si>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</si>
  <si>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</si>
  <si>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</si>
  <si>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</si>
  <si>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</si>
  <si>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</si>
  <si>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</si>
  <si>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</si>
  <si>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</si>
  <si>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</si>
  <si>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</si>
  <si>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</si>
  <si>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</si>
  <si>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</si>
  <si>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</si>
  <si>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</si>
  <si>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</si>
  <si>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</si>
  <si>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</si>
  <si>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</si>
  <si>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</si>
  <si>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</si>
  <si>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</si>
  <si>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</si>
  <si>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</si>
  <si>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</si>
  <si>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</si>
  <si>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</si>
  <si>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</si>
  <si>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</si>
  <si>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</si>
  <si>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</si>
  <si>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</si>
  <si>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</si>
  <si>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</si>
  <si>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</si>
  <si>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</si>
  <si>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</si>
  <si>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</si>
  <si>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</si>
  <si>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</si>
  <si>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</si>
  <si>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</si>
  <si>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</si>
  <si>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</si>
  <si>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</si>
  <si>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</si>
  <si>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</si>
  <si>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</si>
  <si>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</si>
  <si>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</si>
  <si>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</si>
  <si>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</si>
  <si>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</si>
  <si>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</si>
  <si>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</si>
  <si>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</si>
  <si>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</si>
  <si>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</si>
  <si>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</si>
  <si>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</si>
  <si>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</si>
  <si>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</si>
  <si>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</si>
  <si>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</si>
  <si>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</si>
  <si>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</si>
  <si>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</si>
  <si>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</si>
  <si>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</si>
  <si>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</si>
  <si>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</si>
  <si>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</si>
  <si>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</si>
  <si>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</si>
  <si>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</si>
  <si>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</si>
  <si>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</si>
  <si>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</si>
  <si>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</si>
  <si>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</si>
  <si>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</si>
  <si>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</si>
  <si>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</si>
  <si>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</si>
  <si>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</si>
  <si>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</si>
  <si>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</si>
  <si>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</si>
  <si>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</si>
  <si>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</si>
  <si>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</si>
  <si>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</si>
  <si>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</si>
  <si>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</si>
  <si>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</si>
  <si>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</si>
  <si>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</si>
  <si>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</si>
  <si>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</si>
  <si>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</si>
  <si>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</si>
  <si>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</si>
  <si>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</si>
  <si>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</si>
  <si>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</si>
  <si>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</si>
  <si>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</si>
  <si>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</si>
  <si>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</si>
  <si>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</si>
  <si>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</si>
  <si>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</si>
  <si>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</si>
  <si>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</si>
  <si>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</si>
  <si>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</si>
  <si>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</si>
  <si>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</si>
  <si>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</si>
  <si>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</si>
  <si>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</si>
  <si>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</si>
  <si>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</si>
  <si>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</si>
  <si>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</si>
  <si>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</si>
  <si>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</si>
  <si>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</si>
  <si>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</si>
  <si>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</si>
  <si>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</si>
  <si>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</si>
  <si>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</si>
  <si>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</si>
  <si>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</si>
  <si>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</si>
  <si>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</si>
  <si>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</si>
  <si>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</si>
  <si>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</si>
  <si>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</si>
  <si>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</si>
  <si>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</si>
  <si>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</si>
  <si>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</si>
  <si>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</si>
  <si>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</si>
  <si>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</si>
  <si>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</si>
  <si>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</si>
  <si>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</si>
  <si>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</si>
  <si>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</si>
  <si>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</si>
  <si>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</si>
  <si>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</si>
  <si>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</si>
  <si>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</si>
  <si>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</si>
  <si>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</si>
  <si>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</si>
  <si>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</si>
  <si>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</si>
  <si>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</si>
  <si>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</si>
  <si>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</si>
  <si>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</si>
  <si>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</si>
  <si>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</si>
  <si>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</si>
  <si>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</si>
  <si>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</si>
  <si>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</si>
  <si>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</si>
  <si>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</si>
  <si>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</si>
  <si>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</si>
  <si>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</si>
  <si>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</si>
  <si>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</si>
  <si>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</si>
  <si>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</si>
  <si>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</si>
  <si>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</si>
  <si>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</si>
  <si>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</si>
  <si>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</si>
  <si>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</si>
  <si>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</si>
  <si>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</si>
  <si>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</si>
  <si>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</si>
  <si>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</si>
  <si>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</si>
  <si>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</si>
  <si>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</si>
  <si>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</si>
  <si>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</si>
  <si>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</si>
  <si>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</si>
  <si>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</si>
  <si>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</si>
  <si>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</si>
  <si>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</si>
  <si>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</si>
  <si>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</si>
  <si>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</si>
  <si>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</si>
  <si>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</si>
  <si>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</si>
  <si>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</si>
  <si>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</si>
  <si>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</si>
  <si>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</si>
  <si>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</si>
  <si>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</si>
  <si>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</si>
  <si>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</si>
  <si>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</si>
  <si>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</si>
  <si>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</si>
  <si>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</si>
  <si>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</si>
  <si>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</si>
  <si>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</si>
  <si>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</si>
  <si>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</si>
  <si>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</si>
  <si>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</si>
  <si>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</si>
  <si>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</si>
  <si>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</si>
  <si>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</si>
  <si>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</si>
  <si>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</si>
  <si>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</si>
  <si>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</si>
  <si>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</si>
  <si>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</si>
  <si>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</si>
  <si>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</si>
  <si>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</si>
  <si>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</si>
  <si>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</si>
  <si>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</si>
  <si>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</si>
  <si>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</si>
  <si>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</si>
  <si>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</si>
  <si>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</si>
  <si>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</si>
  <si>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</si>
  <si>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</si>
  <si>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</si>
  <si>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</si>
  <si>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</si>
  <si>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</si>
  <si>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</si>
  <si>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</si>
  <si>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</si>
  <si>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</si>
  <si>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</si>
  <si>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</si>
  <si>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</si>
  <si>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</si>
  <si>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</si>
  <si>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</si>
  <si>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</si>
  <si>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</si>
  <si>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</si>
  <si>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</si>
  <si>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</si>
  <si>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</si>
  <si>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</si>
  <si>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</si>
  <si>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</si>
  <si>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</si>
  <si>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</si>
  <si>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</si>
  <si>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</si>
  <si>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</si>
  <si>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</si>
  <si>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</si>
  <si>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</si>
  <si>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</si>
  <si>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</si>
  <si>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</si>
  <si>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</si>
  <si>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</si>
  <si>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</si>
  <si>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</si>
  <si>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</si>
  <si>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</si>
  <si>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</si>
  <si>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</si>
  <si>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</si>
  <si>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</si>
  <si>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</si>
  <si>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</si>
  <si>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</si>
  <si>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</si>
  <si>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</si>
  <si>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</si>
  <si>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</si>
  <si>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</si>
  <si>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</si>
  <si>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</si>
  <si>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</si>
  <si>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</si>
  <si>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</si>
  <si>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</si>
  <si>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</si>
  <si>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</si>
  <si>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</si>
  <si>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</si>
  <si>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</si>
  <si>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</si>
  <si>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</si>
  <si>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</si>
  <si>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</si>
  <si>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</si>
  <si>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</si>
  <si>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</si>
  <si>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</si>
  <si>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</si>
  <si>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</si>
  <si>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</si>
  <si>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</si>
  <si>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</si>
  <si>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</si>
  <si>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</si>
  <si>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</si>
  <si>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</si>
  <si>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</si>
  <si>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</si>
  <si>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</si>
  <si>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</si>
  <si>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</si>
  <si>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</si>
  <si>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</si>
  <si>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</si>
  <si>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</si>
  <si>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</si>
  <si>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</si>
  <si>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</si>
  <si>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</si>
  <si>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</si>
  <si>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</si>
  <si>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</si>
  <si>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</si>
  <si>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</si>
  <si>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</si>
  <si>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</si>
  <si>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</si>
  <si>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</si>
  <si>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</si>
  <si>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</si>
  <si>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</si>
  <si>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</si>
  <si>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</si>
  <si>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</si>
  <si>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</si>
  <si>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</si>
  <si>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</si>
  <si>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</si>
  <si>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</si>
  <si>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</si>
  <si>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</si>
  <si>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</si>
  <si>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</si>
  <si>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</si>
  <si>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</si>
  <si>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</si>
  <si>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</si>
  <si>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</si>
  <si>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</si>
  <si>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</si>
  <si>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</si>
  <si>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</si>
  <si>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</si>
  <si>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</si>
  <si>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</si>
  <si>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</si>
  <si>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</si>
  <si>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</si>
  <si>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</si>
  <si>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</si>
  <si>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</si>
  <si>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</si>
  <si>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</si>
  <si>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</si>
  <si>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</si>
  <si>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</si>
  <si>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</si>
  <si>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</si>
  <si>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</si>
  <si>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</si>
  <si>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</si>
  <si>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</si>
  <si>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</si>
  <si>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</si>
  <si>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</si>
  <si>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</si>
  <si>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</si>
  <si>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</si>
  <si>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</si>
  <si>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</si>
  <si>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</si>
  <si>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</si>
  <si>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</si>
  <si>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</si>
  <si>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</si>
  <si>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</si>
  <si>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</si>
  <si>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</si>
  <si>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</si>
  <si>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</si>
  <si>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</si>
  <si>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</si>
  <si>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</si>
  <si>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</si>
  <si>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</si>
  <si>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</si>
  <si>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</si>
  <si>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</si>
  <si>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</si>
  <si>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</si>
  <si>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</si>
  <si>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</si>
  <si>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</si>
  <si>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</si>
  <si>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</si>
  <si>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</si>
  <si>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</si>
  <si>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</si>
  <si>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</si>
  <si>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</si>
  <si>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</si>
  <si>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</si>
  <si>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</si>
  <si>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</si>
  <si>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</si>
  <si>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</si>
  <si>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</si>
  <si>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</si>
  <si>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</si>
  <si>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</si>
  <si>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</si>
  <si>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</si>
  <si>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</si>
  <si>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</si>
  <si>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</si>
  <si>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</si>
  <si>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</si>
  <si>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</si>
  <si>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</si>
  <si>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</si>
  <si>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</si>
  <si>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</si>
  <si>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</si>
  <si>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</si>
  <si>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</si>
  <si>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</si>
  <si>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</si>
  <si>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</si>
  <si>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</si>
  <si>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</si>
  <si>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</si>
  <si>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</si>
  <si>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</si>
  <si>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</si>
  <si>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</si>
  <si>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</si>
  <si>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</si>
  <si>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</si>
  <si>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</si>
  <si>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</si>
  <si>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</si>
  <si>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</si>
  <si>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</si>
  <si>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</si>
  <si>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</si>
  <si>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</si>
  <si>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</si>
  <si>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</si>
  <si>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</si>
  <si>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</si>
  <si>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</si>
  <si>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</si>
  <si>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</si>
  <si>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</si>
  <si>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</si>
  <si>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</si>
  <si>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</si>
  <si>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</si>
  <si>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</si>
  <si>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</si>
  <si>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</si>
  <si>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</si>
  <si>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</si>
  <si>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</si>
  <si>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</si>
  <si>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</si>
  <si>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</si>
  <si>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</si>
  <si>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</si>
  <si>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</si>
  <si>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</si>
  <si>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</si>
  <si>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</si>
  <si>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</si>
  <si>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</si>
  <si>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</si>
  <si>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</si>
  <si>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</si>
  <si>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</si>
  <si>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</si>
  <si>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</si>
  <si>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</si>
  <si>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</si>
  <si>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</si>
  <si>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</si>
  <si>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</si>
  <si>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</si>
  <si>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</si>
  <si>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</si>
  <si>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</si>
  <si>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</si>
  <si>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</si>
  <si>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</si>
  <si>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</si>
  <si>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</si>
  <si>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</si>
  <si>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</si>
  <si>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</si>
  <si>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</si>
  <si>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</si>
  <si>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</si>
  <si>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</si>
  <si>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</si>
  <si>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</si>
  <si>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</si>
  <si>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</si>
  <si>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</si>
  <si>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</si>
  <si>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</si>
  <si>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50uF * 56EA = 2800uF</t>
    <phoneticPr fontId="2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</si>
  <si>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</si>
  <si>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</si>
  <si>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MAIN C/T</t>
    <phoneticPr fontId="2" type="noConversion"/>
  </si>
  <si>
    <t>FM+LBPWM</t>
    <phoneticPr fontId="7" type="noConversion"/>
  </si>
  <si>
    <t>[6.9URD33TTF0800] 690V 800A</t>
    <phoneticPr fontId="7" type="noConversion"/>
  </si>
  <si>
    <t>X</t>
    <phoneticPr fontId="3" type="noConversion"/>
  </si>
  <si>
    <t>직렬공진회로(Full Bridge)</t>
    <phoneticPr fontId="3" type="noConversion"/>
  </si>
  <si>
    <t>FM+LBPWM</t>
    <phoneticPr fontId="3" type="noConversion"/>
  </si>
  <si>
    <t>MCCB</t>
    <phoneticPr fontId="3" type="noConversion"/>
  </si>
  <si>
    <t>MCCB(핸들)</t>
    <phoneticPr fontId="2" type="noConversion"/>
  </si>
  <si>
    <t>MAIN MC</t>
    <phoneticPr fontId="2" type="noConversion"/>
  </si>
  <si>
    <t>CT탭비</t>
    <phoneticPr fontId="2" type="noConversion"/>
  </si>
  <si>
    <t>사용안함</t>
    <phoneticPr fontId="3" type="noConversion"/>
  </si>
  <si>
    <t>405A</t>
    <phoneticPr fontId="7" type="noConversion"/>
  </si>
  <si>
    <t>432A</t>
    <phoneticPr fontId="7" type="noConversion"/>
  </si>
  <si>
    <t>2021.08.16</t>
    <phoneticPr fontId="3" type="noConversion"/>
  </si>
  <si>
    <t>2021.09.15</t>
    <phoneticPr fontId="2" type="noConversion"/>
  </si>
  <si>
    <t>GEN1_SCAN</t>
    <phoneticPr fontId="2" type="noConversion"/>
  </si>
  <si>
    <t>GEN1_SCAN 가열</t>
    <phoneticPr fontId="7" type="noConversion"/>
  </si>
  <si>
    <t>50kHz</t>
    <phoneticPr fontId="7" type="noConversion"/>
  </si>
  <si>
    <t>IMF2HD12 : 800A IGBT용_내부 2병렬 구조</t>
    <phoneticPr fontId="2" type="noConversion"/>
  </si>
  <si>
    <r>
      <t>[FZ800R12KS4_B2] 1200V, 800A, MODULE</t>
    </r>
    <r>
      <rPr>
        <sz val="10"/>
        <color indexed="8"/>
        <rFont val="맑은 고딕"/>
        <family val="3"/>
        <charset val="129"/>
      </rPr>
      <t xml:space="preserve"> , Full Bridge 2병렬</t>
    </r>
    <phoneticPr fontId="7" type="noConversion"/>
  </si>
  <si>
    <t>[CT-T96F-T300_1] 전류검출용 CT 300:1, 차폐케이스 적용</t>
    <phoneticPr fontId="2" type="noConversion"/>
  </si>
  <si>
    <t>CI3D0009</t>
  </si>
  <si>
    <t>[PSPC0200-S] 2UF 525VAC 800A, 6m 동판, 동판 한쪽 면: 탭 , 동판 다른 면: 모서리  HOLE 가공</t>
  </si>
  <si>
    <t>I118+I140 조합</t>
    <phoneticPr fontId="2" type="noConversion"/>
  </si>
  <si>
    <t>I118+I140 조합, 중족단면적 78.54cm^2, 권선 몰드형, 냉각판 적용
1차: 0, 1, 2 , 12 , 13, 14  2차: 2/2/2/2/…….기본 탭비 12:2
상세사양 개발팀 문의</t>
    <phoneticPr fontId="2" type="noConversion"/>
  </si>
  <si>
    <t>4~5 (3~6까지 설계)</t>
    <phoneticPr fontId="7" type="noConversion"/>
  </si>
  <si>
    <t>최대 850A (150kW 기준 700A)</t>
    <phoneticPr fontId="2" type="noConversion"/>
  </si>
  <si>
    <t>최대 5200A (150kW 기준 4000A)</t>
    <phoneticPr fontId="2" type="noConversion"/>
  </si>
  <si>
    <t>IH GATE_DRIVER_100W_V1.1(2016.07.04)</t>
    <phoneticPr fontId="2" type="noConversion"/>
  </si>
  <si>
    <t>일진글로벌_GEN1_SCAN</t>
    <phoneticPr fontId="3" type="noConversion"/>
  </si>
  <si>
    <t>2021.07.27</t>
    <phoneticPr fontId="2" type="noConversion"/>
  </si>
  <si>
    <t>LCD 최대 설정값: 800A</t>
    <phoneticPr fontId="2" type="noConversion"/>
  </si>
  <si>
    <t>LTT00043</t>
    <phoneticPr fontId="2" type="noConversion"/>
  </si>
  <si>
    <t>4직렬 3병렬, TOTAL: 1.5uF 2100V 2400A, 부스바 4직4병 가능구조 필요</t>
    <phoneticPr fontId="3" type="noConversion"/>
  </si>
  <si>
    <t>EBS203c, 250A</t>
    <phoneticPr fontId="3" type="noConversion"/>
  </si>
  <si>
    <t>[DH250]250AF 외부조작핸들(직결형)</t>
    <phoneticPr fontId="2" type="noConversion"/>
  </si>
  <si>
    <t>MC-265a</t>
    <phoneticPr fontId="2" type="noConversion"/>
  </si>
  <si>
    <t>350(150)kW_440V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</si>
</sst>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</numFmts>
  <fonts count="2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59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35" xfId="2" applyNumberFormat="1" applyFont="1" applyFill="1" applyBorder="1">
      <alignment vertical="center"/>
    </xf>
    <xf numFmtId="187" fontId="12" fillId="4" borderId="36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  <xf numFmtId="0" fontId="14" fillId="0" borderId="23" xfId="0" applyFont="1" applyBorder="1" applyAlignment="1">
      <alignment horizontal="left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1557705</xdr:colOff>
      <xdr:row>20</xdr:row>
      <xdr:rowOff>58555</xdr:rowOff>
    </xdr:from>
    <xdr:to>
      <xdr:col>23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1695356</xdr:colOff>
      <xdr:row>20</xdr:row>
      <xdr:rowOff>55621</xdr:rowOff>
    </xdr:from>
    <xdr:to>
      <xdr:col>23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24</xdr:row>
      <xdr:rowOff>56203</xdr:rowOff>
    </xdr:from>
    <xdr:to>
      <xdr:col>23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1690298</xdr:colOff>
      <xdr:row>24</xdr:row>
      <xdr:rowOff>54429</xdr:rowOff>
    </xdr:from>
    <xdr:to>
      <xdr:col>23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24</xdr:row>
      <xdr:rowOff>53245</xdr:rowOff>
    </xdr:from>
    <xdr:to>
      <xdr:col>23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1950107</xdr:colOff>
      <xdr:row>24</xdr:row>
      <xdr:rowOff>54428</xdr:rowOff>
    </xdr:from>
    <xdr:to>
      <xdr:col>23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1553159</xdr:colOff>
      <xdr:row>28</xdr:row>
      <xdr:rowOff>23664</xdr:rowOff>
    </xdr:from>
    <xdr:to>
      <xdr:col>23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28</xdr:row>
      <xdr:rowOff>23230</xdr:rowOff>
    </xdr:from>
    <xdr:to>
      <xdr:col>23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1664555</xdr:colOff>
      <xdr:row>28</xdr:row>
      <xdr:rowOff>120160</xdr:rowOff>
    </xdr:from>
    <xdr:to>
      <xdr:col>23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28</xdr:row>
      <xdr:rowOff>124239</xdr:rowOff>
    </xdr:from>
    <xdr:to>
      <xdr:col>23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3"/>
  <sheetViews>
    <sheetView zoomScale="80" zoomScaleNormal="80" workbookViewId="0">
      <selection activeCell="J26" sqref="J26"/>
    </sheetView>
  </sheetViews>
  <sheetFormatPr defaultColWidth="8.88671875" defaultRowHeight="13.5"/>
  <cols>
    <col min="1" max="1" width="8.88671875" style="1"/>
    <col min="2" max="2" width="40.77734375" style="1" customWidth="1"/>
    <col min="3" max="6" width="9.33203125" style="1" customWidth="1"/>
    <col min="7" max="7" width="2.88671875" style="1" customWidth="1"/>
    <col min="8" max="8" width="6.33203125" style="1" customWidth="1"/>
    <col min="9" max="9" width="8.21875" style="1" bestFit="1" customWidth="1"/>
    <col min="10" max="10" width="67.33203125" style="1" customWidth="1"/>
    <col min="11" max="11" width="4" style="1" customWidth="1"/>
    <col min="12" max="12" width="19.109375" style="1" customWidth="1"/>
    <col min="13" max="14" width="12.77734375" style="1" bestFit="1" customWidth="1"/>
    <col min="15" max="15" width="12.109375" style="1" bestFit="1" customWidth="1"/>
    <col min="16" max="16" width="20.88671875" style="1" bestFit="1" customWidth="1"/>
    <col min="17" max="17" width="10.109375" style="1" bestFit="1" customWidth="1"/>
    <col min="18" max="18" width="8.88671875" style="1"/>
    <col min="19" max="19" width="4.44140625" style="1" customWidth="1"/>
    <col min="20" max="20" width="17.5546875" style="1" bestFit="1" customWidth="1"/>
    <col min="21" max="21" width="8.88671875" style="1"/>
    <col min="22" max="22" width="10.77734375" style="1" bestFit="1" customWidth="1"/>
    <col min="23" max="23" width="4.5546875" style="1" customWidth="1"/>
    <col min="24" max="24" width="30.6640625" style="1" customWidth="1"/>
    <col min="25" max="25" width="9" style="1" bestFit="1" customWidth="1"/>
    <col min="26" max="26" width="8.77734375" style="1" bestFit="1" customWidth="1"/>
    <col min="27" max="16384" width="8.88671875" style="1"/>
  </cols>
  <sheetData>
    <row r="1" spans="2:27" ht="18" thickBot="1">
      <c r="B1" s="58" t="s">
        <v>290</v>
      </c>
      <c r="C1" s="219" t="s">
        <v>656</v>
      </c>
      <c r="D1" s="220"/>
      <c r="E1" s="220"/>
      <c r="F1" s="220"/>
    </row>
    <row r="2" spans="2:27" ht="16.5">
      <c r="B2" s="46" t="s">
        <v>216</v>
      </c>
      <c r="C2" s="47"/>
      <c r="D2" s="172" t="s">
        <v>635</v>
      </c>
      <c r="E2" s="173" t="s">
        <v>636</v>
      </c>
      <c r="F2" s="47"/>
      <c r="G2" s="47"/>
      <c r="H2" s="47"/>
      <c r="I2" s="47" t="s">
        <v>273</v>
      </c>
      <c r="J2" s="47" t="s">
        <v>221</v>
      </c>
    </row>
    <row r="3" spans="2:27" ht="16.5">
      <c r="B3" s="48" t="s">
        <v>18</v>
      </c>
      <c r="C3" s="144">
        <v>150</v>
      </c>
      <c r="D3" s="174">
        <v>150</v>
      </c>
      <c r="E3" s="175">
        <v>150</v>
      </c>
      <c r="F3" s="158">
        <v>150</v>
      </c>
      <c r="G3" s="158"/>
      <c r="H3" s="48" t="s">
        <v>1</v>
      </c>
      <c r="I3" s="49">
        <v>1</v>
      </c>
      <c r="J3" s="50" t="s">
        <v>219</v>
      </c>
      <c r="L3" s="216" t="s">
        <v>258</v>
      </c>
      <c r="M3" s="216"/>
      <c r="N3" s="216"/>
      <c r="O3" s="13"/>
      <c r="P3" s="217" t="s">
        <v>217</v>
      </c>
      <c r="Q3" s="217"/>
      <c r="R3" s="217"/>
      <c r="S3" s="13"/>
      <c r="T3" s="217" t="s">
        <v>488</v>
      </c>
      <c r="U3" s="217"/>
      <c r="V3" s="217"/>
      <c r="W3" s="13"/>
      <c r="X3" s="216" t="s">
        <v>238</v>
      </c>
      <c r="Y3" s="216"/>
      <c r="Z3" s="216"/>
      <c r="AA3" s="14"/>
    </row>
    <row r="4" spans="2:27" ht="16.5">
      <c r="B4" s="48" t="s">
        <v>499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48" t="s">
        <v>0</v>
      </c>
      <c r="I4" s="49">
        <v>2</v>
      </c>
      <c r="J4" s="50" t="s">
        <v>220</v>
      </c>
      <c r="L4" s="5" t="s">
        <v>10</v>
      </c>
      <c r="M4" s="7">
        <v>1</v>
      </c>
      <c r="N4" s="5" t="s">
        <v>11</v>
      </c>
      <c r="O4" s="13" t="s">
        <v>628</v>
      </c>
      <c r="P4" s="5" t="s">
        <v>20</v>
      </c>
      <c r="Q4" s="7">
        <v>400</v>
      </c>
      <c r="R4" s="5" t="s">
        <v>0</v>
      </c>
      <c r="S4" s="13"/>
      <c r="T4" s="5" t="s">
        <v>188</v>
      </c>
      <c r="U4" s="3" t="s">
        <v>189</v>
      </c>
      <c r="V4" s="3"/>
      <c r="W4" s="13"/>
      <c r="X4" s="6" t="s">
        <v>106</v>
      </c>
      <c r="Y4" s="7">
        <v>16.329999999999998</v>
      </c>
      <c r="Z4" s="6" t="s">
        <v>15</v>
      </c>
      <c r="AA4" s="143" t="s">
        <v>630</v>
      </c>
    </row>
    <row r="5" spans="2:27" ht="16.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62"/>
      <c r="I5" s="49"/>
      <c r="J5" s="48" t="s">
        <v>478</v>
      </c>
      <c r="L5" s="5" t="s">
        <v>12</v>
      </c>
      <c r="M5" s="7">
        <v>128</v>
      </c>
      <c r="N5" s="5" t="s">
        <v>13</v>
      </c>
      <c r="O5" s="13"/>
      <c r="P5" s="5" t="s">
        <v>466</v>
      </c>
      <c r="Q5" s="7">
        <v>0.04</v>
      </c>
      <c r="R5" s="5" t="s">
        <v>19</v>
      </c>
      <c r="S5" s="13"/>
      <c r="T5" s="12" t="s">
        <v>190</v>
      </c>
      <c r="U5" s="15">
        <v>1.75</v>
      </c>
      <c r="V5" s="12" t="s">
        <v>191</v>
      </c>
      <c r="W5" s="13"/>
      <c r="X5" s="6" t="s">
        <v>107</v>
      </c>
      <c r="Y5" s="7">
        <v>1400</v>
      </c>
      <c r="Z5" s="6" t="s">
        <v>2</v>
      </c>
      <c r="AA5" s="14"/>
    </row>
    <row r="6" spans="2:27" ht="16.5">
      <c r="B6" s="48" t="s">
        <v>64</v>
      </c>
      <c r="C6" s="146">
        <f t="shared" ref="C6" si="0">ROUND(C3*1000/(C4*0.9)/1.732/C5,1)</f>
        <v>243</v>
      </c>
      <c r="D6" s="178">
        <f t="shared" ref="D6" si="1">ROUND(D3*1000/(D4*0.9)/1.732/D5,1)</f>
        <v>243</v>
      </c>
      <c r="E6" s="179">
        <f t="shared" ref="E6" si="2">ROUND(E3*1000/(E4*0.9)/1.732/E5,1)</f>
        <v>243</v>
      </c>
      <c r="F6" s="160">
        <f t="shared" ref="F6" si="3">ROUND(F3*1000/(F4*0.9)/1.732/F5,1)</f>
        <v>243</v>
      </c>
      <c r="G6" s="160"/>
      <c r="H6" s="162" t="s">
        <v>2</v>
      </c>
      <c r="I6" s="49"/>
      <c r="J6" s="48" t="s">
        <v>270</v>
      </c>
      <c r="L6" s="5" t="s">
        <v>14</v>
      </c>
      <c r="M6" s="7">
        <v>8</v>
      </c>
      <c r="N6" s="5" t="s">
        <v>13</v>
      </c>
      <c r="O6" s="13"/>
      <c r="P6" s="5" t="s">
        <v>21</v>
      </c>
      <c r="Q6" s="7">
        <v>36</v>
      </c>
      <c r="R6" s="5" t="s">
        <v>22</v>
      </c>
      <c r="S6" s="13"/>
      <c r="T6" s="12" t="s">
        <v>192</v>
      </c>
      <c r="U6" s="16">
        <v>3.8999999999999998E-3</v>
      </c>
      <c r="V6" s="12" t="s">
        <v>193</v>
      </c>
      <c r="W6" s="13"/>
      <c r="X6" s="6" t="s">
        <v>108</v>
      </c>
      <c r="Y6" s="7">
        <v>2800</v>
      </c>
      <c r="Z6" s="6" t="s">
        <v>27</v>
      </c>
      <c r="AA6" s="14"/>
    </row>
    <row r="7" spans="2:27" ht="16.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62" t="s">
        <v>74</v>
      </c>
      <c r="I7" s="49"/>
      <c r="J7" s="48"/>
      <c r="L7" s="5" t="s">
        <v>97</v>
      </c>
      <c r="M7" s="8">
        <f>(M5*M4)*(M5*M4)/(101.6*(4.5*M5+10*M6))</f>
        <v>0.24582293067025163</v>
      </c>
      <c r="N7" s="5" t="s">
        <v>15</v>
      </c>
      <c r="O7" s="13"/>
      <c r="P7" s="5" t="s">
        <v>23</v>
      </c>
      <c r="Q7" s="7">
        <v>400000</v>
      </c>
      <c r="R7" s="5" t="s">
        <v>24</v>
      </c>
      <c r="S7" s="13"/>
      <c r="T7" s="12" t="s">
        <v>194</v>
      </c>
      <c r="U7" s="17">
        <v>45</v>
      </c>
      <c r="V7" s="12" t="s">
        <v>48</v>
      </c>
      <c r="W7" s="13"/>
      <c r="X7" s="6" t="s">
        <v>262</v>
      </c>
      <c r="Y7" s="7">
        <v>580</v>
      </c>
      <c r="Z7" s="6" t="s">
        <v>0</v>
      </c>
      <c r="AA7" s="14"/>
    </row>
    <row r="8" spans="2:27" ht="16.5">
      <c r="B8" s="48" t="s">
        <v>65</v>
      </c>
      <c r="C8" s="147">
        <f t="shared" ref="C8" si="4">ROUND(C6/C7,0)</f>
        <v>122</v>
      </c>
      <c r="D8" s="180">
        <f t="shared" ref="D8" si="5">ROUND(D6/D7,0)</f>
        <v>122</v>
      </c>
      <c r="E8" s="181">
        <f t="shared" ref="E8" si="6">ROUND(E6/E7,0)</f>
        <v>122</v>
      </c>
      <c r="F8" s="161">
        <f t="shared" ref="F8" si="7">ROUND(F6/F7,0)</f>
        <v>122</v>
      </c>
      <c r="G8" s="161"/>
      <c r="H8" s="162" t="s">
        <v>3</v>
      </c>
      <c r="I8" s="49"/>
      <c r="J8" s="48"/>
      <c r="L8" s="5" t="s">
        <v>98</v>
      </c>
      <c r="M8" s="7">
        <v>100</v>
      </c>
      <c r="N8" s="5" t="s">
        <v>7</v>
      </c>
      <c r="O8" s="13"/>
      <c r="P8" s="5" t="s">
        <v>25</v>
      </c>
      <c r="Q8" s="25">
        <f>(5000*Q4)/(Q5*Q6*Q7)</f>
        <v>3.4722222222222223</v>
      </c>
      <c r="R8" s="5" t="s">
        <v>218</v>
      </c>
      <c r="S8" s="13"/>
      <c r="T8" s="12" t="s">
        <v>195</v>
      </c>
      <c r="U8" s="16">
        <f>U5*(1+U6*(U7-20))</f>
        <v>1.9206249999999998</v>
      </c>
      <c r="V8" s="12" t="s">
        <v>191</v>
      </c>
      <c r="W8" s="13"/>
      <c r="X8" s="6" t="s">
        <v>261</v>
      </c>
      <c r="Y8" s="25">
        <f>SQRT(Y7^2+Y4*Y5^2/Y6)</f>
        <v>589.77198984014149</v>
      </c>
      <c r="Z8" s="6" t="s">
        <v>0</v>
      </c>
      <c r="AA8" s="14"/>
    </row>
    <row r="9" spans="2:27" ht="16.5">
      <c r="B9" s="48"/>
      <c r="C9" s="148"/>
      <c r="D9" s="182"/>
      <c r="E9" s="183"/>
      <c r="F9" s="162"/>
      <c r="G9" s="162"/>
      <c r="H9" s="162"/>
      <c r="I9" s="49"/>
      <c r="J9" s="48"/>
      <c r="L9" s="5" t="s">
        <v>95</v>
      </c>
      <c r="M9" s="8">
        <f>M7*M8/100</f>
        <v>0.24582293067025163</v>
      </c>
      <c r="N9" s="5" t="s">
        <v>15</v>
      </c>
      <c r="O9" s="13"/>
      <c r="P9" s="13"/>
      <c r="Q9" s="13"/>
      <c r="R9" s="13"/>
      <c r="S9" s="13"/>
      <c r="T9" s="12" t="s">
        <v>196</v>
      </c>
      <c r="U9" s="18">
        <f>1/(U8/100000000)</f>
        <v>52066384.64041654</v>
      </c>
      <c r="V9" s="12" t="s">
        <v>197</v>
      </c>
      <c r="W9" s="13"/>
      <c r="X9" s="13"/>
      <c r="Y9" s="13"/>
      <c r="Z9" s="13"/>
      <c r="AA9" s="14"/>
    </row>
    <row r="10" spans="2:27" ht="16.5">
      <c r="B10" s="48" t="s">
        <v>16</v>
      </c>
      <c r="C10" s="146">
        <f t="shared" ref="C10" si="8">ROUND(C4*2^0.5*0.93,1)</f>
        <v>578.70000000000005</v>
      </c>
      <c r="D10" s="178">
        <f t="shared" ref="D10" si="9">ROUND(D4*2^0.5*0.93,1)</f>
        <v>578.70000000000005</v>
      </c>
      <c r="E10" s="179">
        <f t="shared" ref="E10" si="10">ROUND(E4*2^0.5*0.93,1)</f>
        <v>578.70000000000005</v>
      </c>
      <c r="F10" s="160">
        <f t="shared" ref="F10" si="11">ROUND(F4*2^0.5*0.93,1)</f>
        <v>578.70000000000005</v>
      </c>
      <c r="G10" s="160"/>
      <c r="H10" s="162" t="s">
        <v>0</v>
      </c>
      <c r="I10" s="49"/>
      <c r="J10" s="48" t="s">
        <v>269</v>
      </c>
      <c r="L10" s="6" t="s">
        <v>94</v>
      </c>
      <c r="M10" s="7">
        <v>2</v>
      </c>
      <c r="N10" s="5" t="s">
        <v>15</v>
      </c>
      <c r="O10" s="13"/>
      <c r="P10" s="217" t="s">
        <v>501</v>
      </c>
      <c r="Q10" s="217"/>
      <c r="R10" s="217"/>
      <c r="S10" s="13"/>
      <c r="T10" s="12" t="s">
        <v>198</v>
      </c>
      <c r="U10" s="3">
        <v>1</v>
      </c>
      <c r="V10" s="12" t="s">
        <v>199</v>
      </c>
      <c r="W10" s="13"/>
      <c r="X10" s="216" t="s">
        <v>249</v>
      </c>
      <c r="Y10" s="216"/>
      <c r="Z10" s="216"/>
      <c r="AA10" s="14"/>
    </row>
    <row r="11" spans="2:27" ht="16.5">
      <c r="B11" s="48" t="s">
        <v>17</v>
      </c>
      <c r="C11" s="146">
        <f t="shared" ref="C11" si="12">ROUND(C3*1000/C10,1)</f>
        <v>259.2</v>
      </c>
      <c r="D11" s="178">
        <f t="shared" ref="D11" si="13">ROUND(D3*1000/D10,1)</f>
        <v>259.2</v>
      </c>
      <c r="E11" s="179">
        <f t="shared" ref="E11" si="14">ROUND(E3*1000/E10,1)</f>
        <v>259.2</v>
      </c>
      <c r="F11" s="160">
        <f t="shared" ref="F11" si="15">ROUND(F3*1000/F10,1)</f>
        <v>259.2</v>
      </c>
      <c r="G11" s="160"/>
      <c r="H11" s="162" t="s">
        <v>2</v>
      </c>
      <c r="I11" s="49"/>
      <c r="J11" s="48" t="s">
        <v>271</v>
      </c>
      <c r="L11" s="6" t="s">
        <v>259</v>
      </c>
      <c r="M11" s="7">
        <v>11</v>
      </c>
      <c r="N11" s="5" t="s">
        <v>42</v>
      </c>
      <c r="O11" s="13"/>
      <c r="P11" s="5" t="s">
        <v>26</v>
      </c>
      <c r="Q11" s="7">
        <f>M25</f>
        <v>1.5</v>
      </c>
      <c r="R11" s="5" t="s">
        <v>27</v>
      </c>
      <c r="S11" s="13"/>
      <c r="T11" s="12" t="s">
        <v>37</v>
      </c>
      <c r="U11" s="19">
        <v>1000</v>
      </c>
      <c r="V11" s="12" t="s">
        <v>200</v>
      </c>
      <c r="W11" s="13"/>
      <c r="X11" s="5" t="s">
        <v>108</v>
      </c>
      <c r="Y11" s="7">
        <v>2800</v>
      </c>
      <c r="Z11" s="5" t="s">
        <v>27</v>
      </c>
      <c r="AA11" s="143" t="s">
        <v>630</v>
      </c>
    </row>
    <row r="12" spans="2:27" ht="16.5">
      <c r="B12" s="48"/>
      <c r="C12" s="148"/>
      <c r="D12" s="182"/>
      <c r="E12" s="183"/>
      <c r="F12" s="162"/>
      <c r="G12" s="162"/>
      <c r="H12" s="162"/>
      <c r="I12" s="49"/>
      <c r="J12" s="48"/>
      <c r="L12" s="6" t="s">
        <v>96</v>
      </c>
      <c r="M12" s="7">
        <v>1</v>
      </c>
      <c r="N12" s="5" t="s">
        <v>66</v>
      </c>
      <c r="O12" s="13"/>
      <c r="P12" s="5" t="s">
        <v>28</v>
      </c>
      <c r="Q12" s="112">
        <f>M14</f>
        <v>31.744574611100447</v>
      </c>
      <c r="R12" s="5" t="s">
        <v>15</v>
      </c>
      <c r="S12" s="13"/>
      <c r="T12" s="12" t="s">
        <v>230</v>
      </c>
      <c r="U12" s="31">
        <f>503.3*SQRT((U8/100000000)/(U10*U11))*1000</f>
        <v>2.205709020034714</v>
      </c>
      <c r="V12" s="12" t="s">
        <v>201</v>
      </c>
      <c r="W12" s="13"/>
      <c r="X12" s="5" t="s">
        <v>110</v>
      </c>
      <c r="Y12" s="7">
        <v>580</v>
      </c>
      <c r="Z12" s="5" t="s">
        <v>0</v>
      </c>
      <c r="AA12" s="14"/>
    </row>
    <row r="13" spans="2:27" ht="16.5">
      <c r="B13" s="46" t="s">
        <v>215</v>
      </c>
      <c r="C13" s="148"/>
      <c r="D13" s="182"/>
      <c r="E13" s="183"/>
      <c r="F13" s="162"/>
      <c r="G13" s="162"/>
      <c r="H13" s="162"/>
      <c r="I13" s="49"/>
      <c r="J13" s="48"/>
      <c r="L13" s="6" t="s">
        <v>99</v>
      </c>
      <c r="M13" s="20">
        <v>1</v>
      </c>
      <c r="N13" s="5" t="s">
        <v>67</v>
      </c>
      <c r="O13" s="13"/>
      <c r="P13" s="5" t="s">
        <v>29</v>
      </c>
      <c r="Q13" s="25">
        <f>1/(2*3.14*SQRT((Q11/1000000)*(Q12/1000000)))</f>
        <v>23075.970275359959</v>
      </c>
      <c r="R13" s="5" t="s">
        <v>30</v>
      </c>
      <c r="S13" s="13"/>
      <c r="T13" s="12" t="s">
        <v>231</v>
      </c>
      <c r="U13" s="26">
        <v>6126</v>
      </c>
      <c r="V13" s="12" t="s">
        <v>201</v>
      </c>
      <c r="W13" s="13"/>
      <c r="X13" s="5" t="s">
        <v>107</v>
      </c>
      <c r="Y13" s="7">
        <v>1400</v>
      </c>
      <c r="Z13" s="5" t="s">
        <v>2</v>
      </c>
      <c r="AA13" s="14"/>
    </row>
    <row r="14" spans="2:27" ht="16.5">
      <c r="B14" s="48" t="s">
        <v>75</v>
      </c>
      <c r="C14" s="144">
        <v>9.9700000000000006</v>
      </c>
      <c r="D14" s="174">
        <v>9.9700000000000006</v>
      </c>
      <c r="E14" s="175">
        <v>6.05</v>
      </c>
      <c r="F14" s="158">
        <v>6.05</v>
      </c>
      <c r="G14" s="158"/>
      <c r="H14" s="162" t="s">
        <v>15</v>
      </c>
      <c r="I14" s="49">
        <v>3</v>
      </c>
      <c r="J14" s="50" t="s">
        <v>267</v>
      </c>
      <c r="L14" s="6" t="s">
        <v>260</v>
      </c>
      <c r="M14" s="30">
        <f>M9/M12*M13*M11^2+M10</f>
        <v>31.744574611100447</v>
      </c>
      <c r="N14" s="5" t="s">
        <v>15</v>
      </c>
      <c r="O14" s="13"/>
      <c r="P14" s="13"/>
      <c r="Q14" s="13"/>
      <c r="R14" s="13"/>
      <c r="S14" s="13"/>
      <c r="T14" s="12" t="s">
        <v>257</v>
      </c>
      <c r="U14" s="26">
        <v>2</v>
      </c>
      <c r="V14" s="12" t="s">
        <v>201</v>
      </c>
      <c r="W14" s="13"/>
      <c r="X14" s="5" t="s">
        <v>112</v>
      </c>
      <c r="Y14" s="7">
        <v>8000</v>
      </c>
      <c r="Z14" s="5" t="s">
        <v>24</v>
      </c>
      <c r="AA14" s="14"/>
    </row>
    <row r="15" spans="2:27" ht="16.5">
      <c r="B15" s="48" t="s">
        <v>650</v>
      </c>
      <c r="C15" s="210">
        <v>6</v>
      </c>
      <c r="D15" s="211">
        <v>6</v>
      </c>
      <c r="E15" s="212">
        <v>6</v>
      </c>
      <c r="F15" s="213">
        <v>6</v>
      </c>
      <c r="G15" s="213"/>
      <c r="H15" s="162"/>
      <c r="I15" s="49"/>
      <c r="J15" s="50"/>
      <c r="L15" s="207"/>
      <c r="M15" s="208"/>
      <c r="N15" s="209"/>
      <c r="O15" s="13"/>
      <c r="P15" s="13"/>
      <c r="Q15" s="13"/>
      <c r="R15" s="13"/>
      <c r="S15" s="13"/>
      <c r="T15" s="12"/>
      <c r="U15" s="26"/>
      <c r="V15" s="12"/>
      <c r="W15" s="13"/>
      <c r="X15" s="5"/>
      <c r="Y15" s="7"/>
      <c r="Z15" s="5"/>
      <c r="AA15" s="14"/>
    </row>
    <row r="16" spans="2:27" ht="16.5">
      <c r="B16" s="48" t="s">
        <v>76</v>
      </c>
      <c r="C16" s="144">
        <v>1.5</v>
      </c>
      <c r="D16" s="174">
        <v>1.5</v>
      </c>
      <c r="E16" s="175">
        <v>1.5</v>
      </c>
      <c r="F16" s="158">
        <v>1.5</v>
      </c>
      <c r="G16" s="158"/>
      <c r="H16" s="162" t="s">
        <v>27</v>
      </c>
      <c r="I16" s="49">
        <v>4</v>
      </c>
      <c r="J16" s="50" t="s">
        <v>272</v>
      </c>
      <c r="K16" s="2"/>
      <c r="L16" s="13"/>
      <c r="M16" s="13"/>
      <c r="N16" s="13"/>
      <c r="O16" s="13"/>
      <c r="P16" s="217" t="s">
        <v>224</v>
      </c>
      <c r="Q16" s="217"/>
      <c r="R16" s="217"/>
      <c r="S16" s="13"/>
      <c r="T16" s="12" t="s">
        <v>255</v>
      </c>
      <c r="U16" s="27">
        <f>MIN(U12,U14)</f>
        <v>2</v>
      </c>
      <c r="V16" s="12" t="s">
        <v>201</v>
      </c>
      <c r="W16" s="13"/>
      <c r="X16" s="5" t="s">
        <v>113</v>
      </c>
      <c r="Y16" s="8">
        <f>(1.414*Y13*0.421)/(2*3.14159*Y14*Y12*2*Y11*0.000001)*2*100</f>
        <v>1.020948951722338</v>
      </c>
      <c r="Z16" s="5" t="s">
        <v>7</v>
      </c>
      <c r="AA16" s="14"/>
    </row>
    <row r="17" spans="2:27" ht="16.5">
      <c r="B17" s="48" t="s">
        <v>77</v>
      </c>
      <c r="C17" s="149">
        <f>1000/(2*PI()*(C14*C16)^0.5)</f>
        <v>41.155409087146175</v>
      </c>
      <c r="D17" s="184">
        <f>1000/(2*PI()*(D14*D16)^0.5)</f>
        <v>41.155409087146175</v>
      </c>
      <c r="E17" s="185">
        <f>1000/(2*PI()*(E14*E16)^0.5)</f>
        <v>52.831971193867936</v>
      </c>
      <c r="F17" s="163">
        <f>1000/(2*PI()*(F14*F16)^0.5)</f>
        <v>52.831971193867936</v>
      </c>
      <c r="G17" s="163"/>
      <c r="H17" s="162" t="s">
        <v>4</v>
      </c>
      <c r="I17" s="49"/>
      <c r="J17" s="48" t="s">
        <v>223</v>
      </c>
      <c r="L17" s="216" t="s">
        <v>202</v>
      </c>
      <c r="M17" s="216"/>
      <c r="N17" s="216"/>
      <c r="O17" s="13"/>
      <c r="P17" s="5" t="s">
        <v>31</v>
      </c>
      <c r="Q17" s="7">
        <v>40</v>
      </c>
      <c r="R17" s="5" t="s">
        <v>32</v>
      </c>
      <c r="S17" s="13"/>
      <c r="T17" s="12" t="s">
        <v>253</v>
      </c>
      <c r="U17" s="26">
        <v>60</v>
      </c>
      <c r="V17" s="12" t="s">
        <v>201</v>
      </c>
      <c r="W17" s="13"/>
      <c r="X17" s="5" t="s">
        <v>109</v>
      </c>
      <c r="Y17" s="25">
        <f>Y12*Y16/100</f>
        <v>5.9215039199895605</v>
      </c>
      <c r="Z17" s="5" t="s">
        <v>0</v>
      </c>
      <c r="AA17" s="14"/>
    </row>
    <row r="18" spans="2:27" ht="16.5">
      <c r="B18" s="48" t="s">
        <v>78</v>
      </c>
      <c r="C18" s="144">
        <v>30</v>
      </c>
      <c r="D18" s="174">
        <v>30</v>
      </c>
      <c r="E18" s="175">
        <v>30</v>
      </c>
      <c r="F18" s="158">
        <v>30</v>
      </c>
      <c r="G18" s="158"/>
      <c r="H18" s="162" t="s">
        <v>79</v>
      </c>
      <c r="I18" s="49">
        <v>6</v>
      </c>
      <c r="J18" s="50" t="s">
        <v>250</v>
      </c>
      <c r="L18" s="21" t="s">
        <v>207</v>
      </c>
      <c r="M18" s="22">
        <v>2</v>
      </c>
      <c r="N18" s="21" t="s">
        <v>27</v>
      </c>
      <c r="O18" s="13" t="s">
        <v>629</v>
      </c>
      <c r="P18" s="5" t="s">
        <v>33</v>
      </c>
      <c r="Q18" s="7">
        <v>17.34</v>
      </c>
      <c r="R18" s="5" t="s">
        <v>4</v>
      </c>
      <c r="S18" s="13"/>
      <c r="T18" s="12" t="s">
        <v>252</v>
      </c>
      <c r="U18" s="27">
        <f>U16*U17</f>
        <v>120</v>
      </c>
      <c r="V18" s="12" t="s">
        <v>227</v>
      </c>
      <c r="W18" s="13"/>
      <c r="X18" s="5" t="s">
        <v>111</v>
      </c>
      <c r="Y18" s="25">
        <f>2*3.14159*Y14*Y11*0.000001*Y17</f>
        <v>833.41160000000013</v>
      </c>
      <c r="Z18" s="5" t="s">
        <v>2</v>
      </c>
      <c r="AA18" s="14"/>
    </row>
    <row r="19" spans="2:27" ht="16.5">
      <c r="B19" s="48" t="s">
        <v>80</v>
      </c>
      <c r="C19" s="147">
        <f t="shared" ref="C19" si="16">ROUNDUP(TAN(PI()*C18/180),3)</f>
        <v>0.57799999999999996</v>
      </c>
      <c r="D19" s="180">
        <f t="shared" ref="D19" si="17">ROUNDUP(TAN(PI()*D18/180),3)</f>
        <v>0.57799999999999996</v>
      </c>
      <c r="E19" s="181">
        <f t="shared" ref="E19" si="18">ROUNDUP(TAN(PI()*E18/180),3)</f>
        <v>0.57799999999999996</v>
      </c>
      <c r="F19" s="161">
        <f t="shared" ref="F19" si="19">ROUNDUP(TAN(PI()*F18/180),3)</f>
        <v>0.57799999999999996</v>
      </c>
      <c r="G19" s="161"/>
      <c r="H19" s="162"/>
      <c r="I19" s="49"/>
      <c r="J19" s="48"/>
      <c r="L19" s="21" t="s">
        <v>203</v>
      </c>
      <c r="M19" s="22">
        <v>1</v>
      </c>
      <c r="N19" s="21" t="s">
        <v>210</v>
      </c>
      <c r="O19" s="13"/>
      <c r="P19" s="5" t="s">
        <v>34</v>
      </c>
      <c r="Q19" s="7">
        <v>1396</v>
      </c>
      <c r="R19" s="5" t="s">
        <v>2</v>
      </c>
      <c r="S19" s="13"/>
      <c r="T19" s="12" t="s">
        <v>232</v>
      </c>
      <c r="U19" s="26">
        <v>850</v>
      </c>
      <c r="V19" s="4" t="s">
        <v>228</v>
      </c>
      <c r="W19" s="13"/>
      <c r="X19" s="13"/>
      <c r="Y19" s="13"/>
      <c r="Z19" s="13"/>
      <c r="AA19" s="14"/>
    </row>
    <row r="20" spans="2:27" ht="16.5">
      <c r="B20" s="48"/>
      <c r="C20" s="148"/>
      <c r="D20" s="182"/>
      <c r="E20" s="183"/>
      <c r="F20" s="162"/>
      <c r="G20" s="162"/>
      <c r="H20" s="162"/>
      <c r="I20" s="49"/>
      <c r="J20" s="48"/>
      <c r="L20" s="21" t="s">
        <v>205</v>
      </c>
      <c r="M20" s="22">
        <v>525</v>
      </c>
      <c r="N20" s="21" t="s">
        <v>0</v>
      </c>
      <c r="O20" s="13"/>
      <c r="P20" s="5" t="s">
        <v>35</v>
      </c>
      <c r="Q20" s="25">
        <f>(Q19)/(2*3.14*Q18*1000*(Q17/1000000))</f>
        <v>320.49162864846198</v>
      </c>
      <c r="R20" s="5" t="s">
        <v>0</v>
      </c>
      <c r="S20" s="13"/>
      <c r="T20" s="12" t="s">
        <v>491</v>
      </c>
      <c r="U20" s="28">
        <f>U19/U18</f>
        <v>7.083333333333333</v>
      </c>
      <c r="V20" s="4" t="s">
        <v>228</v>
      </c>
      <c r="W20" s="13"/>
      <c r="X20" s="216" t="s">
        <v>486</v>
      </c>
      <c r="Y20" s="216"/>
      <c r="Z20" s="216"/>
      <c r="AA20" s="14"/>
    </row>
    <row r="21" spans="2:27" ht="16.5">
      <c r="B21" s="48" t="s">
        <v>41</v>
      </c>
      <c r="C21" s="150">
        <v>3</v>
      </c>
      <c r="D21" s="186">
        <v>4.78</v>
      </c>
      <c r="E21" s="187">
        <v>4.2699999999999996</v>
      </c>
      <c r="F21" s="164">
        <v>6</v>
      </c>
      <c r="G21" s="164"/>
      <c r="H21" s="162"/>
      <c r="I21" s="49">
        <v>5</v>
      </c>
      <c r="J21" s="50" t="s">
        <v>268</v>
      </c>
      <c r="L21" s="21" t="s">
        <v>206</v>
      </c>
      <c r="M21" s="22">
        <v>800</v>
      </c>
      <c r="N21" s="21" t="s">
        <v>2</v>
      </c>
      <c r="O21" s="13"/>
      <c r="P21" s="13"/>
      <c r="Q21" s="13"/>
      <c r="R21" s="13"/>
      <c r="S21" s="13"/>
      <c r="T21" s="12" t="s">
        <v>233</v>
      </c>
      <c r="U21" s="28">
        <f>U8/100000000*(U19^2)/(U18/1000000)*U13/1000</f>
        <v>708.39612265624987</v>
      </c>
      <c r="V21" s="4" t="s">
        <v>229</v>
      </c>
      <c r="W21" s="13"/>
      <c r="X21" s="81" t="s">
        <v>480</v>
      </c>
      <c r="Y21" s="48">
        <v>0.9133</v>
      </c>
      <c r="Z21" s="48" t="s">
        <v>479</v>
      </c>
      <c r="AA21" s="14"/>
    </row>
    <row r="22" spans="2:27" ht="16.5">
      <c r="B22" s="48" t="s">
        <v>81</v>
      </c>
      <c r="C22" s="151">
        <f t="shared" ref="C22" si="20">C17*((C19/C21)+(((C19/C21)^2+4)^0.5))/2</f>
        <v>45.310569217312541</v>
      </c>
      <c r="D22" s="188">
        <f t="shared" ref="D22" si="21">D17*((D19/D21)+(((D19/D21)^2+4)^0.5))/2</f>
        <v>43.71882744122977</v>
      </c>
      <c r="E22" s="189">
        <f t="shared" ref="E22" si="22">E17*((E19/E21)+(((E19/E21)^2+4)^0.5))/2</f>
        <v>56.528585889348328</v>
      </c>
      <c r="F22" s="165">
        <f t="shared" ref="F22" si="23">F17*((F19/F21)+(((F19/F21)^2+4)^0.5))/2</f>
        <v>55.437961455041162</v>
      </c>
      <c r="G22" s="165"/>
      <c r="H22" s="162" t="s">
        <v>4</v>
      </c>
      <c r="I22" s="49"/>
      <c r="J22" s="51" t="s">
        <v>248</v>
      </c>
      <c r="L22" s="21" t="s">
        <v>204</v>
      </c>
      <c r="M22" s="22">
        <v>1</v>
      </c>
      <c r="N22" s="21" t="s">
        <v>210</v>
      </c>
      <c r="O22" s="13"/>
      <c r="P22" s="217" t="s">
        <v>225</v>
      </c>
      <c r="Q22" s="217"/>
      <c r="R22" s="217"/>
      <c r="S22" s="13"/>
      <c r="T22" s="13"/>
      <c r="U22" s="13"/>
      <c r="V22" s="13"/>
      <c r="W22" s="13"/>
      <c r="X22" s="21" t="s">
        <v>481</v>
      </c>
      <c r="Y22" s="57">
        <v>3</v>
      </c>
      <c r="Z22" s="48" t="s">
        <v>305</v>
      </c>
      <c r="AA22" s="14"/>
    </row>
    <row r="23" spans="2:27" ht="16.5">
      <c r="B23" s="48" t="s">
        <v>285</v>
      </c>
      <c r="C23" s="152">
        <f>2*PI()*C17*C14</f>
        <v>2578.1130050226016</v>
      </c>
      <c r="D23" s="190">
        <f>2*PI()*D17*D14</f>
        <v>2578.1130050226016</v>
      </c>
      <c r="E23" s="191">
        <f>2*PI()*E17*E14</f>
        <v>2008.3160441856091</v>
      </c>
      <c r="F23" s="166">
        <f>2*PI()*F17*F14</f>
        <v>2008.3160441856091</v>
      </c>
      <c r="G23" s="166"/>
      <c r="H23" s="162" t="s">
        <v>83</v>
      </c>
      <c r="I23" s="49"/>
      <c r="J23" s="48"/>
      <c r="L23" s="21" t="s">
        <v>211</v>
      </c>
      <c r="M23" s="22">
        <v>4</v>
      </c>
      <c r="N23" s="21" t="s">
        <v>67</v>
      </c>
      <c r="O23" s="13"/>
      <c r="P23" s="6" t="s">
        <v>152</v>
      </c>
      <c r="Q23" s="7">
        <v>600</v>
      </c>
      <c r="R23" s="5" t="s">
        <v>153</v>
      </c>
      <c r="S23" s="13"/>
      <c r="T23" s="217" t="s">
        <v>489</v>
      </c>
      <c r="U23" s="217"/>
      <c r="V23" s="217"/>
      <c r="W23" s="13"/>
      <c r="X23" s="21" t="s">
        <v>482</v>
      </c>
      <c r="Y23" s="80">
        <f>Y21*Y22</f>
        <v>2.7399</v>
      </c>
      <c r="Z23" s="48" t="s">
        <v>479</v>
      </c>
      <c r="AA23" s="14"/>
    </row>
    <row r="24" spans="2:27" ht="16.5">
      <c r="B24" s="48" t="s">
        <v>82</v>
      </c>
      <c r="C24" s="152">
        <f>2*PI()*C22*C14</f>
        <v>2838.4061865786334</v>
      </c>
      <c r="D24" s="190">
        <f>2*PI()*D22*D14</f>
        <v>2738.6941374317703</v>
      </c>
      <c r="E24" s="191">
        <f>2*PI()*E22*E14</f>
        <v>2148.8364607883359</v>
      </c>
      <c r="F24" s="166">
        <f>2*PI()*F22*F14</f>
        <v>2107.3782584895321</v>
      </c>
      <c r="G24" s="166"/>
      <c r="H24" s="162" t="s">
        <v>83</v>
      </c>
      <c r="I24" s="49"/>
      <c r="J24" s="48"/>
      <c r="L24" s="21" t="s">
        <v>212</v>
      </c>
      <c r="M24" s="22">
        <v>3</v>
      </c>
      <c r="N24" s="21" t="s">
        <v>66</v>
      </c>
      <c r="O24" s="13"/>
      <c r="P24" s="6" t="s">
        <v>263</v>
      </c>
      <c r="Q24" s="7">
        <v>22</v>
      </c>
      <c r="R24" s="5" t="s">
        <v>154</v>
      </c>
      <c r="S24" s="13"/>
      <c r="T24" s="5" t="s">
        <v>188</v>
      </c>
      <c r="U24" s="3" t="s">
        <v>189</v>
      </c>
      <c r="V24" s="3"/>
      <c r="W24" s="13"/>
      <c r="X24" s="21"/>
      <c r="Y24" s="48"/>
      <c r="Z24" s="48"/>
      <c r="AA24" s="14"/>
    </row>
    <row r="25" spans="2:27" ht="16.5">
      <c r="B25" s="48" t="s">
        <v>84</v>
      </c>
      <c r="C25" s="152">
        <f t="shared" ref="C25" si="24">1000000/(2*PI()*C22*C16)</f>
        <v>2341.6897476109457</v>
      </c>
      <c r="D25" s="190">
        <f t="shared" ref="D25" si="25">1000000/(2*PI()*D22*D16)</f>
        <v>2426.9474184143928</v>
      </c>
      <c r="E25" s="191">
        <f t="shared" ref="E25" si="26">1000000/(2*PI()*E22*E16)</f>
        <v>1876.9847808025552</v>
      </c>
      <c r="F25" s="166">
        <f t="shared" ref="F25" si="27">1000000/(2*PI()*F22*F16)</f>
        <v>1913.9104795663184</v>
      </c>
      <c r="G25" s="166"/>
      <c r="H25" s="162" t="s">
        <v>83</v>
      </c>
      <c r="I25" s="49"/>
      <c r="J25" s="48"/>
      <c r="L25" s="21" t="s">
        <v>239</v>
      </c>
      <c r="M25" s="29">
        <f>M18*(M22/M19)*M24/M23</f>
        <v>1.5</v>
      </c>
      <c r="N25" s="21" t="s">
        <v>27</v>
      </c>
      <c r="O25" s="13"/>
      <c r="P25" s="6" t="s">
        <v>157</v>
      </c>
      <c r="Q25" s="7">
        <v>66</v>
      </c>
      <c r="R25" s="5" t="s">
        <v>158</v>
      </c>
      <c r="S25" s="13"/>
      <c r="T25" s="12" t="s">
        <v>190</v>
      </c>
      <c r="U25" s="15">
        <v>1.75</v>
      </c>
      <c r="V25" s="12" t="s">
        <v>191</v>
      </c>
      <c r="W25" s="13"/>
      <c r="X25" s="81" t="s">
        <v>483</v>
      </c>
      <c r="Y25" s="48">
        <v>0.48</v>
      </c>
      <c r="Z25" s="48" t="s">
        <v>479</v>
      </c>
      <c r="AA25" s="14"/>
    </row>
    <row r="26" spans="2:27" ht="16.5">
      <c r="B26" s="48" t="s">
        <v>68</v>
      </c>
      <c r="C26" s="153">
        <f t="shared" ref="C26" si="28">C23/C21</f>
        <v>859.37100167420056</v>
      </c>
      <c r="D26" s="192">
        <f t="shared" ref="D26" si="29">D23/D21</f>
        <v>539.35418515117181</v>
      </c>
      <c r="E26" s="193">
        <f t="shared" ref="E26" si="30">E23/E21</f>
        <v>470.33162627297645</v>
      </c>
      <c r="F26" s="167">
        <f t="shared" ref="F26" si="31">F23/F21</f>
        <v>334.71934069760152</v>
      </c>
      <c r="G26" s="167"/>
      <c r="H26" s="162" t="s">
        <v>83</v>
      </c>
      <c r="I26" s="49"/>
      <c r="J26" s="48"/>
      <c r="L26" s="21" t="s">
        <v>208</v>
      </c>
      <c r="M26" s="23">
        <f>M20*M23</f>
        <v>2100</v>
      </c>
      <c r="N26" s="21" t="s">
        <v>0</v>
      </c>
      <c r="O26" s="13"/>
      <c r="P26" s="6" t="s">
        <v>161</v>
      </c>
      <c r="Q26" s="7">
        <v>1</v>
      </c>
      <c r="R26" s="5"/>
      <c r="S26" s="13"/>
      <c r="T26" s="12" t="s">
        <v>192</v>
      </c>
      <c r="U26" s="16">
        <v>3.8999999999999998E-3</v>
      </c>
      <c r="V26" s="12" t="s">
        <v>193</v>
      </c>
      <c r="W26" s="13"/>
      <c r="X26" s="21" t="s">
        <v>484</v>
      </c>
      <c r="Y26" s="57">
        <v>5</v>
      </c>
      <c r="Z26" s="48" t="s">
        <v>305</v>
      </c>
      <c r="AA26" s="14"/>
    </row>
    <row r="27" spans="2:27" ht="16.5">
      <c r="B27" s="48" t="s">
        <v>85</v>
      </c>
      <c r="C27" s="152">
        <f t="shared" ref="C27" si="32">(C26^2+(C24-C25)^2)^0.5</f>
        <v>992.59545599365879</v>
      </c>
      <c r="D27" s="190">
        <f t="shared" ref="D27" si="33">(D26^2+(D24-D25)^2)^0.5</f>
        <v>622.96785941024621</v>
      </c>
      <c r="E27" s="191">
        <f t="shared" ref="E27" si="34">(E26^2+(E24-E25)^2)^0.5</f>
        <v>543.24504101158084</v>
      </c>
      <c r="F27" s="166">
        <f t="shared" ref="F27" si="35">(F26^2+(F24-F25)^2)^0.5</f>
        <v>386.60938751990818</v>
      </c>
      <c r="G27" s="166"/>
      <c r="H27" s="162" t="s">
        <v>83</v>
      </c>
      <c r="I27" s="49"/>
      <c r="J27" s="48"/>
      <c r="L27" s="21" t="s">
        <v>209</v>
      </c>
      <c r="M27" s="23">
        <f>M21*(M22/M19)*M24</f>
        <v>2400</v>
      </c>
      <c r="N27" s="21" t="s">
        <v>2</v>
      </c>
      <c r="O27" s="13"/>
      <c r="P27" s="6" t="s">
        <v>164</v>
      </c>
      <c r="Q27" s="8">
        <f>Q24*Q25*Q26*2</f>
        <v>2904</v>
      </c>
      <c r="R27" s="5" t="s">
        <v>154</v>
      </c>
      <c r="S27" s="13"/>
      <c r="T27" s="12" t="s">
        <v>194</v>
      </c>
      <c r="U27" s="17">
        <v>45</v>
      </c>
      <c r="V27" s="12" t="s">
        <v>48</v>
      </c>
      <c r="W27" s="13"/>
      <c r="X27" s="21" t="s">
        <v>485</v>
      </c>
      <c r="Y27" s="80">
        <f>Y25*Y26</f>
        <v>2.4</v>
      </c>
      <c r="Z27" s="48" t="s">
        <v>479</v>
      </c>
      <c r="AA27" s="14"/>
    </row>
    <row r="28" spans="2:27" ht="16.5">
      <c r="B28" s="48"/>
      <c r="C28" s="154"/>
      <c r="D28" s="194"/>
      <c r="E28" s="195"/>
      <c r="F28" s="168"/>
      <c r="G28" s="168"/>
      <c r="H28" s="162"/>
      <c r="I28" s="49"/>
      <c r="J28" s="48"/>
      <c r="L28" s="21" t="s">
        <v>47</v>
      </c>
      <c r="M28" s="23">
        <f>M26*M27/1000</f>
        <v>5040</v>
      </c>
      <c r="N28" s="21" t="s">
        <v>47</v>
      </c>
      <c r="O28" s="13"/>
      <c r="P28" s="6" t="s">
        <v>167</v>
      </c>
      <c r="Q28" s="7">
        <v>6</v>
      </c>
      <c r="R28" s="5" t="s">
        <v>168</v>
      </c>
      <c r="S28" s="13"/>
      <c r="T28" s="12" t="s">
        <v>195</v>
      </c>
      <c r="U28" s="16">
        <f>U25*(1+U26*(U27-20))</f>
        <v>1.9206249999999998</v>
      </c>
      <c r="V28" s="12" t="s">
        <v>191</v>
      </c>
      <c r="W28" s="13"/>
      <c r="X28" s="21"/>
      <c r="Y28" s="48"/>
      <c r="Z28" s="48"/>
      <c r="AA28" s="14"/>
    </row>
    <row r="29" spans="2:27" ht="16.5">
      <c r="B29" s="48" t="s">
        <v>105</v>
      </c>
      <c r="C29" s="155">
        <f>(C3*1000000/C26)^0.5</f>
        <v>417.78734619294346</v>
      </c>
      <c r="D29" s="196">
        <f>(D3*1000000/D26)^0.5</f>
        <v>527.36172106507206</v>
      </c>
      <c r="E29" s="197">
        <f>(E3*1000000/E26)^0.5</f>
        <v>564.73348346571959</v>
      </c>
      <c r="F29" s="169">
        <f>(F3*1000000/F26)^0.5</f>
        <v>669.43008444405325</v>
      </c>
      <c r="G29" s="169"/>
      <c r="H29" s="162" t="s">
        <v>2</v>
      </c>
      <c r="I29" s="49"/>
      <c r="J29" s="51" t="s">
        <v>247</v>
      </c>
      <c r="L29" s="13"/>
      <c r="M29" s="13"/>
      <c r="N29" s="13"/>
      <c r="O29" s="13"/>
      <c r="P29" s="6" t="s">
        <v>169</v>
      </c>
      <c r="Q29" s="7">
        <v>3300</v>
      </c>
      <c r="R29" s="5" t="s">
        <v>170</v>
      </c>
      <c r="S29" s="13"/>
      <c r="T29" s="12" t="s">
        <v>196</v>
      </c>
      <c r="U29" s="18">
        <f>1/(U28/100000000)</f>
        <v>52066384.64041654</v>
      </c>
      <c r="V29" s="12" t="s">
        <v>197</v>
      </c>
      <c r="W29" s="13"/>
      <c r="X29" s="81" t="s">
        <v>483</v>
      </c>
      <c r="Y29" s="48">
        <v>0.4133</v>
      </c>
      <c r="Z29" s="48" t="s">
        <v>479</v>
      </c>
      <c r="AA29" s="14"/>
    </row>
    <row r="30" spans="2:27" ht="16.5">
      <c r="B30" s="48" t="s">
        <v>103</v>
      </c>
      <c r="C30" s="152">
        <f t="shared" ref="C30" si="36">C29*C26/1000</f>
        <v>359.03433018463585</v>
      </c>
      <c r="D30" s="190">
        <f t="shared" ref="D30" si="37">D29*D26/1000</f>
        <v>284.43475134497146</v>
      </c>
      <c r="E30" s="191">
        <f t="shared" ref="E30" si="38">E29*E26/1000</f>
        <v>265.6120176892349</v>
      </c>
      <c r="F30" s="166">
        <f t="shared" ref="F30" si="39">F29*F26/1000</f>
        <v>224.07119650825322</v>
      </c>
      <c r="G30" s="166"/>
      <c r="H30" s="162" t="s">
        <v>0</v>
      </c>
      <c r="I30" s="49"/>
      <c r="J30" s="48"/>
      <c r="L30" s="216" t="s">
        <v>213</v>
      </c>
      <c r="M30" s="216"/>
      <c r="N30" s="216"/>
      <c r="O30" s="13"/>
      <c r="P30" s="6" t="s">
        <v>171</v>
      </c>
      <c r="Q30" s="7">
        <v>1</v>
      </c>
      <c r="R30" s="5" t="s">
        <v>172</v>
      </c>
      <c r="S30" s="13"/>
      <c r="T30" s="12" t="s">
        <v>198</v>
      </c>
      <c r="U30" s="3">
        <v>1</v>
      </c>
      <c r="V30" s="12" t="s">
        <v>199</v>
      </c>
      <c r="W30" s="13"/>
      <c r="X30" s="21" t="s">
        <v>484</v>
      </c>
      <c r="Y30" s="57">
        <v>5</v>
      </c>
      <c r="Z30" s="48" t="s">
        <v>305</v>
      </c>
      <c r="AA30" s="14"/>
    </row>
    <row r="31" spans="2:27" ht="16.5">
      <c r="B31" s="48" t="s">
        <v>286</v>
      </c>
      <c r="C31" s="155">
        <f t="shared" ref="C31" si="40">C29/(2*3.14159*C22*1000*C16/1000000)</f>
        <v>978.32917162089996</v>
      </c>
      <c r="D31" s="196">
        <f t="shared" ref="D31" si="41">D29/(2*3.14159*D22*1000*D16/1000000)</f>
        <v>1279.880248578045</v>
      </c>
      <c r="E31" s="197">
        <f t="shared" ref="E31" si="42">E29/(2*3.14159*E22*1000*E16/1000000)</f>
        <v>1059.9970490159717</v>
      </c>
      <c r="F31" s="169">
        <f t="shared" ref="F31" si="43">F29/(2*3.14159*F22*1000*F16/1000000)</f>
        <v>1281.2303361634067</v>
      </c>
      <c r="G31" s="169"/>
      <c r="H31" s="162" t="s">
        <v>0</v>
      </c>
      <c r="I31" s="49"/>
      <c r="J31" s="51" t="s">
        <v>71</v>
      </c>
      <c r="L31" s="6" t="s">
        <v>37</v>
      </c>
      <c r="M31" s="7">
        <v>11095</v>
      </c>
      <c r="N31" s="6" t="s">
        <v>24</v>
      </c>
      <c r="O31" s="13"/>
      <c r="P31" s="6" t="s">
        <v>173</v>
      </c>
      <c r="Q31" s="8">
        <f>Q29*Q30</f>
        <v>3300</v>
      </c>
      <c r="R31" s="5" t="s">
        <v>170</v>
      </c>
      <c r="S31" s="13"/>
      <c r="T31" s="12" t="s">
        <v>37</v>
      </c>
      <c r="U31" s="19">
        <v>1000</v>
      </c>
      <c r="V31" s="12" t="s">
        <v>200</v>
      </c>
      <c r="W31" s="13"/>
      <c r="X31" s="21" t="s">
        <v>485</v>
      </c>
      <c r="Y31" s="80">
        <f>Y29*Y30</f>
        <v>2.0665</v>
      </c>
      <c r="Z31" s="48" t="s">
        <v>479</v>
      </c>
      <c r="AA31" s="14"/>
    </row>
    <row r="32" spans="2:27" ht="16.5">
      <c r="B32" s="48" t="s">
        <v>104</v>
      </c>
      <c r="C32" s="152">
        <f t="shared" ref="C32" si="44">C29*C27/1000</f>
        <v>414.69382140276531</v>
      </c>
      <c r="D32" s="190">
        <f t="shared" ref="D32" si="45">D29*D27/1000</f>
        <v>328.52940250681132</v>
      </c>
      <c r="E32" s="191">
        <f t="shared" ref="E32" si="46">E29*E27/1000</f>
        <v>306.78866438594775</v>
      </c>
      <c r="F32" s="166">
        <f t="shared" ref="F32" si="47">F29*F27/1000</f>
        <v>258.80795493431583</v>
      </c>
      <c r="G32" s="166"/>
      <c r="H32" s="162" t="s">
        <v>0</v>
      </c>
      <c r="I32" s="49"/>
      <c r="J32" s="48"/>
      <c r="L32" s="6" t="s">
        <v>52</v>
      </c>
      <c r="M32" s="7">
        <v>12.33</v>
      </c>
      <c r="N32" s="6" t="s">
        <v>27</v>
      </c>
      <c r="O32" s="13"/>
      <c r="P32" s="5"/>
      <c r="Q32" s="5"/>
      <c r="R32" s="5"/>
      <c r="S32" s="13"/>
      <c r="T32" s="12" t="s">
        <v>230</v>
      </c>
      <c r="U32" s="31">
        <f>503.3*SQRT((U28/100000000)/(U30*U31))*1000</f>
        <v>2.205709020034714</v>
      </c>
      <c r="V32" s="12" t="s">
        <v>201</v>
      </c>
      <c r="W32" s="13"/>
      <c r="X32" s="13"/>
      <c r="Y32" s="13"/>
      <c r="Z32" s="13"/>
      <c r="AA32" s="14"/>
    </row>
    <row r="33" spans="2:27" ht="16.5">
      <c r="B33" s="48" t="s">
        <v>102</v>
      </c>
      <c r="C33" s="156">
        <f t="shared" ref="C33" si="48">ROUNDUP(COS(PI()*C18/180),3)</f>
        <v>0.86699999999999999</v>
      </c>
      <c r="D33" s="198">
        <f t="shared" ref="D33" si="49">ROUNDUP(COS(PI()*D18/180),3)</f>
        <v>0.86699999999999999</v>
      </c>
      <c r="E33" s="199">
        <f t="shared" ref="E33" si="50">ROUNDUP(COS(PI()*E18/180),3)</f>
        <v>0.86699999999999999</v>
      </c>
      <c r="F33" s="170">
        <f t="shared" ref="F33" si="51">ROUNDUP(COS(PI()*F18/180),3)</f>
        <v>0.86699999999999999</v>
      </c>
      <c r="G33" s="170"/>
      <c r="H33" s="162"/>
      <c r="I33" s="49"/>
      <c r="J33" s="48"/>
      <c r="L33" s="6" t="s">
        <v>53</v>
      </c>
      <c r="M33" s="7">
        <v>660</v>
      </c>
      <c r="N33" s="6" t="s">
        <v>2</v>
      </c>
      <c r="O33" s="13"/>
      <c r="P33" s="9" t="s">
        <v>174</v>
      </c>
      <c r="Q33" s="218" t="s">
        <v>175</v>
      </c>
      <c r="R33" s="218"/>
      <c r="S33" s="13"/>
      <c r="T33" s="12" t="s">
        <v>231</v>
      </c>
      <c r="U33" s="26">
        <v>6126</v>
      </c>
      <c r="V33" s="12" t="s">
        <v>201</v>
      </c>
      <c r="W33" s="13"/>
      <c r="X33" s="217" t="s">
        <v>493</v>
      </c>
      <c r="Y33" s="217"/>
      <c r="Z33" s="217"/>
      <c r="AA33" s="14"/>
    </row>
    <row r="34" spans="2:27" ht="16.5">
      <c r="B34" s="48" t="s">
        <v>101</v>
      </c>
      <c r="C34" s="157">
        <f t="shared" ref="C34" si="52">C31/(C26*C29/1000)</f>
        <v>2.7248903220975764</v>
      </c>
      <c r="D34" s="200">
        <f t="shared" ref="D34" si="53">D31/(D26*D29/1000)</f>
        <v>4.4997323376487346</v>
      </c>
      <c r="E34" s="201">
        <f t="shared" ref="E34" si="54">E31/(E26*E29/1000)</f>
        <v>3.9907721730278198</v>
      </c>
      <c r="F34" s="171">
        <f t="shared" ref="F34" si="55">F31/(F26*F29/1000)</f>
        <v>5.7179608808676807</v>
      </c>
      <c r="G34" s="171"/>
      <c r="H34" s="162"/>
      <c r="I34" s="49"/>
      <c r="J34" s="51" t="s">
        <v>244</v>
      </c>
      <c r="L34" s="6" t="s">
        <v>54</v>
      </c>
      <c r="M34" s="7">
        <v>158</v>
      </c>
      <c r="N34" s="6" t="s">
        <v>1</v>
      </c>
      <c r="O34" s="13"/>
      <c r="P34" s="6" t="s">
        <v>176</v>
      </c>
      <c r="Q34" s="7">
        <v>30</v>
      </c>
      <c r="R34" s="5" t="s">
        <v>177</v>
      </c>
      <c r="S34" s="13"/>
      <c r="T34" s="12" t="s">
        <v>256</v>
      </c>
      <c r="U34" s="26">
        <v>2</v>
      </c>
      <c r="V34" s="12" t="s">
        <v>201</v>
      </c>
      <c r="W34" s="13"/>
      <c r="X34" s="5" t="s">
        <v>494</v>
      </c>
      <c r="Y34" s="7">
        <v>440</v>
      </c>
      <c r="Z34" s="5" t="s">
        <v>0</v>
      </c>
      <c r="AA34" s="14"/>
    </row>
    <row r="35" spans="2:27" ht="16.5">
      <c r="B35" s="48" t="s">
        <v>287</v>
      </c>
      <c r="C35" s="155">
        <f t="shared" ref="C35" si="56">C31+C29*C19*C26/1000</f>
        <v>1185.8510144676195</v>
      </c>
      <c r="D35" s="196">
        <f t="shared" ref="D35" si="57">D31+D29*D19*D26/1000</f>
        <v>1444.2835348554386</v>
      </c>
      <c r="E35" s="197">
        <f t="shared" ref="E35" si="58">E31+E29*E19*E26/1000</f>
        <v>1213.5207952403496</v>
      </c>
      <c r="F35" s="169">
        <f t="shared" ref="F35" si="59">F31+F29*F19*F26/1000</f>
        <v>1410.7434877451772</v>
      </c>
      <c r="G35" s="169"/>
      <c r="H35" s="162" t="s">
        <v>0</v>
      </c>
      <c r="I35" s="49"/>
      <c r="J35" s="51" t="s">
        <v>243</v>
      </c>
      <c r="L35" s="6" t="s">
        <v>264</v>
      </c>
      <c r="M35" s="7">
        <v>1</v>
      </c>
      <c r="N35" s="6" t="s">
        <v>42</v>
      </c>
      <c r="O35" s="13"/>
      <c r="P35" s="6" t="s">
        <v>178</v>
      </c>
      <c r="Q35" s="10">
        <f>Q29*SQRT(2)*SIN(Q34*PI()/180)</f>
        <v>2333.4523779156066</v>
      </c>
      <c r="R35" s="5" t="s">
        <v>179</v>
      </c>
      <c r="S35" s="13"/>
      <c r="T35" s="12" t="s">
        <v>255</v>
      </c>
      <c r="U35" s="27">
        <f>MIN(U32,U34)</f>
        <v>2</v>
      </c>
      <c r="V35" s="12" t="s">
        <v>201</v>
      </c>
      <c r="W35" s="13"/>
      <c r="X35" s="5" t="s">
        <v>64</v>
      </c>
      <c r="Y35" s="7">
        <v>567</v>
      </c>
      <c r="Z35" s="5" t="s">
        <v>2</v>
      </c>
      <c r="AA35" s="14"/>
    </row>
    <row r="36" spans="2:27" ht="16.5">
      <c r="B36" s="48"/>
      <c r="C36" s="148"/>
      <c r="D36" s="182"/>
      <c r="E36" s="183"/>
      <c r="F36" s="162"/>
      <c r="G36" s="162"/>
      <c r="H36" s="162"/>
      <c r="I36" s="49"/>
      <c r="J36" s="48"/>
      <c r="L36" s="6" t="s">
        <v>55</v>
      </c>
      <c r="M36" s="8">
        <f>(M33*M35)/(2*3.1415*M31*(M32/1000000))</f>
        <v>767.86786458304721</v>
      </c>
      <c r="N36" s="6" t="s">
        <v>56</v>
      </c>
      <c r="O36" s="13"/>
      <c r="P36" s="6" t="s">
        <v>180</v>
      </c>
      <c r="Q36" s="24">
        <f>Q23*Q27/Q35</f>
        <v>746.7047609329943</v>
      </c>
      <c r="R36" s="5" t="s">
        <v>181</v>
      </c>
      <c r="S36" s="13"/>
      <c r="T36" s="12" t="s">
        <v>234</v>
      </c>
      <c r="U36" s="26">
        <v>30</v>
      </c>
      <c r="V36" s="12" t="s">
        <v>201</v>
      </c>
      <c r="W36" s="13"/>
      <c r="X36" s="5" t="s">
        <v>497</v>
      </c>
      <c r="Y36" s="25">
        <f>Y34</f>
        <v>440</v>
      </c>
      <c r="Z36" s="5" t="s">
        <v>495</v>
      </c>
      <c r="AA36" s="14"/>
    </row>
    <row r="37" spans="2:27" ht="16.5">
      <c r="B37" s="48" t="s">
        <v>86</v>
      </c>
      <c r="C37" s="147">
        <v>1</v>
      </c>
      <c r="D37" s="180">
        <v>1</v>
      </c>
      <c r="E37" s="181">
        <v>1</v>
      </c>
      <c r="F37" s="161">
        <v>1</v>
      </c>
      <c r="G37" s="161"/>
      <c r="H37" s="162"/>
      <c r="I37" s="49"/>
      <c r="J37" s="48" t="s">
        <v>87</v>
      </c>
      <c r="L37" s="6" t="s">
        <v>57</v>
      </c>
      <c r="M37" s="8">
        <f>M33*M35</f>
        <v>660</v>
      </c>
      <c r="N37" s="6"/>
      <c r="O37" s="13"/>
      <c r="P37" s="5"/>
      <c r="Q37" s="5"/>
      <c r="R37" s="5"/>
      <c r="S37" s="13"/>
      <c r="T37" s="12" t="s">
        <v>254</v>
      </c>
      <c r="U37" s="27">
        <f>(PI()*(U36/2)^2)-(PI()*(U36/2-U35)^2)</f>
        <v>175.92918860102839</v>
      </c>
      <c r="V37" s="12" t="s">
        <v>227</v>
      </c>
      <c r="W37" s="13"/>
      <c r="X37" s="5" t="s">
        <v>498</v>
      </c>
      <c r="Y37" s="25">
        <f>Y35*1.25</f>
        <v>708.75</v>
      </c>
      <c r="Z37" s="5" t="s">
        <v>496</v>
      </c>
      <c r="AA37" s="14"/>
    </row>
    <row r="38" spans="2:27" ht="16.5">
      <c r="B38" s="48" t="s">
        <v>288</v>
      </c>
      <c r="C38" s="152">
        <f>C10/C37*4/PI()/2^0.5</f>
        <v>521.01305216011724</v>
      </c>
      <c r="D38" s="190">
        <f>D10/D37*4/PI()/2^0.5</f>
        <v>521.01305216011724</v>
      </c>
      <c r="E38" s="191">
        <f>E10/E37*4/PI()/2^0.5</f>
        <v>521.01305216011724</v>
      </c>
      <c r="F38" s="166">
        <f>F10/F37*4/PI()/2^0.5</f>
        <v>521.01305216011724</v>
      </c>
      <c r="G38" s="166"/>
      <c r="H38" s="162" t="s">
        <v>0</v>
      </c>
      <c r="I38" s="49"/>
      <c r="J38" s="48" t="s">
        <v>222</v>
      </c>
      <c r="L38" s="6" t="s">
        <v>47</v>
      </c>
      <c r="M38" s="8">
        <f>M36*M37/1000</f>
        <v>506.79279062481112</v>
      </c>
      <c r="N38" s="6" t="s">
        <v>47</v>
      </c>
      <c r="O38" s="13"/>
      <c r="P38" s="9" t="s">
        <v>182</v>
      </c>
      <c r="Q38" s="6"/>
      <c r="R38" s="6"/>
      <c r="S38" s="13"/>
      <c r="T38" s="12" t="s">
        <v>232</v>
      </c>
      <c r="U38" s="26">
        <v>850</v>
      </c>
      <c r="V38" s="4" t="s">
        <v>228</v>
      </c>
      <c r="W38" s="13"/>
      <c r="X38" s="13"/>
      <c r="Y38" s="13"/>
      <c r="Z38" s="13"/>
      <c r="AA38" s="14"/>
    </row>
    <row r="39" spans="2:27" ht="16.5">
      <c r="B39" s="48" t="s">
        <v>88</v>
      </c>
      <c r="C39" s="147">
        <v>1</v>
      </c>
      <c r="D39" s="180">
        <v>1</v>
      </c>
      <c r="E39" s="181">
        <v>1</v>
      </c>
      <c r="F39" s="161">
        <v>1</v>
      </c>
      <c r="G39" s="161"/>
      <c r="H39" s="162" t="s">
        <v>42</v>
      </c>
      <c r="I39" s="49"/>
      <c r="J39" s="48" t="s">
        <v>245</v>
      </c>
      <c r="L39" s="6" t="s">
        <v>41</v>
      </c>
      <c r="M39" s="25">
        <f>M38/M34</f>
        <v>3.207549307751969</v>
      </c>
      <c r="N39" s="6"/>
      <c r="O39" s="13"/>
      <c r="P39" s="6" t="s">
        <v>183</v>
      </c>
      <c r="Q39" s="10">
        <f>Q23*Q27/Q28/1000</f>
        <v>290.39999999999998</v>
      </c>
      <c r="R39" s="5" t="s">
        <v>179</v>
      </c>
      <c r="S39" s="13"/>
      <c r="T39" s="12" t="s">
        <v>491</v>
      </c>
      <c r="U39" s="28">
        <f>U38/U37</f>
        <v>4.8314893438611097</v>
      </c>
      <c r="V39" s="4" t="s">
        <v>228</v>
      </c>
      <c r="W39" s="13"/>
      <c r="X39" s="217" t="s">
        <v>500</v>
      </c>
      <c r="Y39" s="217"/>
      <c r="Z39" s="217"/>
      <c r="AA39" s="14"/>
    </row>
    <row r="40" spans="2:27" ht="16.5">
      <c r="B40" s="48" t="s">
        <v>89</v>
      </c>
      <c r="C40" s="147">
        <f t="shared" ref="C40" si="60">ROUND(C38/C39,1)</f>
        <v>521</v>
      </c>
      <c r="D40" s="180">
        <f t="shared" ref="D40" si="61">ROUND(D38/D39,1)</f>
        <v>521</v>
      </c>
      <c r="E40" s="181">
        <f t="shared" ref="E40" si="62">ROUND(E38/E39,1)</f>
        <v>521</v>
      </c>
      <c r="F40" s="161">
        <f t="shared" ref="F40" si="63">ROUND(F38/F39,1)</f>
        <v>521</v>
      </c>
      <c r="G40" s="161"/>
      <c r="H40" s="162" t="s">
        <v>0</v>
      </c>
      <c r="I40" s="49"/>
      <c r="J40" s="48" t="s">
        <v>289</v>
      </c>
      <c r="L40" s="13"/>
      <c r="M40" s="13"/>
      <c r="N40" s="13"/>
      <c r="O40" s="13"/>
      <c r="P40" s="6" t="s">
        <v>184</v>
      </c>
      <c r="Q40" s="10">
        <f>Q39/SIN(Q34*PI()/180)/SQRT(2)</f>
        <v>410.68761851314684</v>
      </c>
      <c r="R40" s="5" t="s">
        <v>170</v>
      </c>
      <c r="S40" s="13"/>
      <c r="T40" s="12" t="s">
        <v>233</v>
      </c>
      <c r="U40" s="28">
        <f>U28/100000000*(U38^2)/(U37/1000000)*U33/1000</f>
        <v>483.19176251946334</v>
      </c>
      <c r="V40" s="4" t="s">
        <v>229</v>
      </c>
      <c r="W40" s="13"/>
      <c r="X40" s="5" t="s">
        <v>26</v>
      </c>
      <c r="Y40" s="7">
        <v>4200</v>
      </c>
      <c r="Z40" s="5" t="s">
        <v>27</v>
      </c>
      <c r="AA40" s="143" t="s">
        <v>631</v>
      </c>
    </row>
    <row r="41" spans="2:27" ht="16.5">
      <c r="B41" s="48"/>
      <c r="C41" s="148"/>
      <c r="D41" s="182"/>
      <c r="E41" s="183"/>
      <c r="F41" s="162"/>
      <c r="G41" s="162"/>
      <c r="H41" s="162"/>
      <c r="I41" s="49"/>
      <c r="J41" s="48"/>
      <c r="L41" s="216" t="s">
        <v>214</v>
      </c>
      <c r="M41" s="216"/>
      <c r="N41" s="216"/>
      <c r="O41" s="13"/>
      <c r="P41" s="6" t="s">
        <v>173</v>
      </c>
      <c r="Q41" s="24">
        <f>Q40*Q30</f>
        <v>410.68761851314684</v>
      </c>
      <c r="R41" s="5" t="s">
        <v>170</v>
      </c>
      <c r="S41" s="13"/>
      <c r="T41" s="13"/>
      <c r="U41" s="13"/>
      <c r="V41" s="13"/>
      <c r="W41" s="13"/>
      <c r="X41" s="5" t="s">
        <v>28</v>
      </c>
      <c r="Y41" s="7">
        <v>375</v>
      </c>
      <c r="Z41" s="5" t="s">
        <v>15</v>
      </c>
      <c r="AA41" s="14"/>
    </row>
    <row r="42" spans="2:27" ht="16.5">
      <c r="B42" s="48" t="s">
        <v>72</v>
      </c>
      <c r="C42" s="157">
        <f t="shared" ref="C42" si="64">C32/C40*100</f>
        <v>79.595743071548043</v>
      </c>
      <c r="D42" s="200">
        <f t="shared" ref="D42" si="65">D32/D40*100</f>
        <v>63.057466891902372</v>
      </c>
      <c r="E42" s="201">
        <f t="shared" ref="E42" si="66">E32/E40*100</f>
        <v>58.884580496343141</v>
      </c>
      <c r="F42" s="171">
        <f t="shared" ref="F42" si="67">F32/F40*100</f>
        <v>49.675231273381158</v>
      </c>
      <c r="G42" s="171"/>
      <c r="H42" s="162" t="s">
        <v>7</v>
      </c>
      <c r="I42" s="49"/>
      <c r="J42" s="52" t="s">
        <v>251</v>
      </c>
      <c r="L42" s="21" t="s">
        <v>18</v>
      </c>
      <c r="M42" s="22">
        <v>40</v>
      </c>
      <c r="N42" s="21" t="s">
        <v>240</v>
      </c>
      <c r="O42" s="13"/>
      <c r="P42" s="6" t="s">
        <v>185</v>
      </c>
      <c r="Q42" s="10">
        <f>Q41/Q31*100</f>
        <v>12.445079348883239</v>
      </c>
      <c r="R42" s="11" t="s">
        <v>186</v>
      </c>
      <c r="S42" s="13"/>
      <c r="T42" s="217" t="s">
        <v>490</v>
      </c>
      <c r="U42" s="217"/>
      <c r="V42" s="217"/>
      <c r="W42" s="13"/>
      <c r="X42" s="5" t="s">
        <v>29</v>
      </c>
      <c r="Y42" s="25">
        <f>1/(2*3.14*SQRT((Y40/1000000)*(Y41/1000000)))</f>
        <v>126.88201797605028</v>
      </c>
      <c r="Z42" s="5" t="s">
        <v>30</v>
      </c>
      <c r="AA42" s="14"/>
    </row>
    <row r="43" spans="2:27" ht="16.5">
      <c r="B43" s="48"/>
      <c r="C43" s="148"/>
      <c r="D43" s="182"/>
      <c r="E43" s="183"/>
      <c r="F43" s="162"/>
      <c r="G43" s="162"/>
      <c r="H43" s="162"/>
      <c r="I43" s="49"/>
      <c r="J43" s="48"/>
      <c r="L43" s="21" t="s">
        <v>100</v>
      </c>
      <c r="M43" s="22">
        <v>127</v>
      </c>
      <c r="N43" s="21" t="s">
        <v>2</v>
      </c>
      <c r="O43" s="13"/>
      <c r="P43" s="6" t="s">
        <v>187</v>
      </c>
      <c r="Q43" s="10">
        <f>Q42*Q42/100</f>
        <v>1.5488000000000006</v>
      </c>
      <c r="R43" s="11" t="s">
        <v>186</v>
      </c>
      <c r="S43" s="13"/>
      <c r="T43" s="5" t="s">
        <v>188</v>
      </c>
      <c r="U43" s="3" t="s">
        <v>189</v>
      </c>
      <c r="V43" s="3"/>
      <c r="W43" s="13"/>
      <c r="X43" s="13"/>
      <c r="Y43" s="13"/>
      <c r="Z43" s="13"/>
      <c r="AA43" s="14"/>
    </row>
    <row r="44" spans="2:27" ht="16.5">
      <c r="B44" s="48" t="s">
        <v>90</v>
      </c>
      <c r="C44" s="155">
        <f t="shared" ref="C44" si="68">C29/C39</f>
        <v>417.78734619294346</v>
      </c>
      <c r="D44" s="196">
        <f t="shared" ref="D44" si="69">D29/D39</f>
        <v>527.36172106507206</v>
      </c>
      <c r="E44" s="197">
        <f t="shared" ref="E44" si="70">E29/E39</f>
        <v>564.73348346571959</v>
      </c>
      <c r="F44" s="169">
        <f t="shared" ref="F44" si="71">F29/F39</f>
        <v>669.43008444405325</v>
      </c>
      <c r="G44" s="169"/>
      <c r="H44" s="162" t="s">
        <v>2</v>
      </c>
      <c r="I44" s="49"/>
      <c r="J44" s="51" t="s">
        <v>246</v>
      </c>
      <c r="L44" s="21" t="s">
        <v>44</v>
      </c>
      <c r="M44" s="22">
        <v>401</v>
      </c>
      <c r="N44" s="21" t="s">
        <v>0</v>
      </c>
      <c r="O44" s="13"/>
      <c r="P44" s="13"/>
      <c r="Q44" s="13"/>
      <c r="R44" s="13"/>
      <c r="S44" s="13"/>
      <c r="T44" s="12" t="s">
        <v>190</v>
      </c>
      <c r="U44" s="15">
        <v>1.75</v>
      </c>
      <c r="V44" s="12" t="s">
        <v>191</v>
      </c>
      <c r="W44" s="13"/>
      <c r="X44" s="13"/>
      <c r="Y44" s="13"/>
      <c r="Z44" s="13"/>
      <c r="AA44" s="14"/>
    </row>
    <row r="45" spans="2:27" ht="16.5">
      <c r="B45" s="48" t="s">
        <v>91</v>
      </c>
      <c r="C45" s="152">
        <f t="shared" ref="C45" si="72">ROUND(C44*2^0.5*2/PI(),0)</f>
        <v>376</v>
      </c>
      <c r="D45" s="190">
        <f t="shared" ref="D45" si="73">ROUND(D44*2^0.5*2/PI(),0)</f>
        <v>475</v>
      </c>
      <c r="E45" s="191">
        <f t="shared" ref="E45" si="74">ROUND(E44*2^0.5*2/PI(),0)</f>
        <v>508</v>
      </c>
      <c r="F45" s="166">
        <f t="shared" ref="F45" si="75">ROUND(F44*2^0.5*2/PI(),0)</f>
        <v>603</v>
      </c>
      <c r="G45" s="166"/>
      <c r="H45" s="162" t="s">
        <v>2</v>
      </c>
      <c r="I45" s="49"/>
      <c r="J45" s="48"/>
      <c r="L45" s="21" t="s">
        <v>467</v>
      </c>
      <c r="M45" s="22">
        <v>1</v>
      </c>
      <c r="N45" s="21"/>
      <c r="O45" s="13"/>
      <c r="P45" s="217" t="s">
        <v>226</v>
      </c>
      <c r="Q45" s="217"/>
      <c r="R45" s="217"/>
      <c r="S45" s="13"/>
      <c r="T45" s="12" t="s">
        <v>192</v>
      </c>
      <c r="U45" s="16">
        <v>3.8999999999999998E-3</v>
      </c>
      <c r="V45" s="12" t="s">
        <v>193</v>
      </c>
      <c r="W45" s="13"/>
      <c r="X45" s="13"/>
      <c r="Y45" s="13"/>
      <c r="Z45" s="13"/>
      <c r="AA45" s="14"/>
    </row>
    <row r="46" spans="2:27" ht="16.5">
      <c r="B46" s="48" t="s">
        <v>92</v>
      </c>
      <c r="C46" s="152">
        <f t="shared" ref="C46" si="76">C45/C37</f>
        <v>376</v>
      </c>
      <c r="D46" s="190">
        <f t="shared" ref="D46" si="77">D45/D37</f>
        <v>475</v>
      </c>
      <c r="E46" s="191">
        <f t="shared" ref="E46" si="78">E45/E37</f>
        <v>508</v>
      </c>
      <c r="F46" s="166">
        <f t="shared" ref="F46" si="79">F45/F37</f>
        <v>603</v>
      </c>
      <c r="G46" s="166"/>
      <c r="H46" s="162" t="s">
        <v>2</v>
      </c>
      <c r="I46" s="49"/>
      <c r="J46" s="48"/>
      <c r="L46" s="21" t="s">
        <v>56</v>
      </c>
      <c r="M46" s="23">
        <f>M44*0.9/M45</f>
        <v>360.90000000000003</v>
      </c>
      <c r="N46" s="21" t="s">
        <v>0</v>
      </c>
      <c r="O46" s="13"/>
      <c r="P46" s="6" t="s">
        <v>155</v>
      </c>
      <c r="Q46" s="7">
        <v>387.2</v>
      </c>
      <c r="R46" s="6" t="s">
        <v>156</v>
      </c>
      <c r="S46" s="13"/>
      <c r="T46" s="12" t="s">
        <v>194</v>
      </c>
      <c r="U46" s="17">
        <v>45</v>
      </c>
      <c r="V46" s="12" t="s">
        <v>48</v>
      </c>
      <c r="W46" s="13"/>
      <c r="X46" s="13"/>
      <c r="Y46" s="13"/>
      <c r="Z46" s="13"/>
      <c r="AA46" s="14"/>
    </row>
    <row r="47" spans="2:27" ht="17.25" thickBot="1">
      <c r="B47" s="48" t="s">
        <v>93</v>
      </c>
      <c r="C47" s="153">
        <f>ROUND(C46/C11,3)</f>
        <v>1.4510000000000001</v>
      </c>
      <c r="D47" s="202">
        <f>ROUND(D46/D11,3)</f>
        <v>1.833</v>
      </c>
      <c r="E47" s="203">
        <f>ROUND(E46/E11,3)</f>
        <v>1.96</v>
      </c>
      <c r="F47" s="167">
        <f>ROUND(F46/F11,3)</f>
        <v>2.3260000000000001</v>
      </c>
      <c r="G47" s="167"/>
      <c r="H47" s="162"/>
      <c r="I47" s="49"/>
      <c r="J47" s="48"/>
      <c r="L47" s="21" t="s">
        <v>241</v>
      </c>
      <c r="M47" s="23">
        <f>(M42*1000)/(M43*M44*0.9/M45)</f>
        <v>0.87270886650390644</v>
      </c>
      <c r="N47" s="21"/>
      <c r="O47" s="13"/>
      <c r="P47" s="6" t="s">
        <v>159</v>
      </c>
      <c r="Q47" s="7">
        <v>500</v>
      </c>
      <c r="R47" s="6" t="s">
        <v>160</v>
      </c>
      <c r="S47" s="13"/>
      <c r="T47" s="12" t="s">
        <v>195</v>
      </c>
      <c r="U47" s="16">
        <f>U44*(1+U45*(U46-20))</f>
        <v>1.9206249999999998</v>
      </c>
      <c r="V47" s="12" t="s">
        <v>191</v>
      </c>
      <c r="W47" s="13"/>
      <c r="X47" s="13"/>
      <c r="Y47" s="13"/>
      <c r="Z47" s="13"/>
      <c r="AA47" s="14"/>
    </row>
    <row r="48" spans="2:27" ht="16.5">
      <c r="B48" s="47"/>
      <c r="C48" s="47"/>
      <c r="D48" s="47"/>
      <c r="E48" s="47"/>
      <c r="F48" s="204"/>
      <c r="G48" s="205"/>
      <c r="H48" s="47"/>
      <c r="I48" s="47"/>
      <c r="J48" s="47"/>
      <c r="L48" s="21" t="s">
        <v>242</v>
      </c>
      <c r="M48" s="62">
        <f>DEGREES(ACOS(M47))</f>
        <v>29.225030363895115</v>
      </c>
      <c r="N48" s="21"/>
      <c r="O48" s="13"/>
      <c r="P48" s="6" t="s">
        <v>162</v>
      </c>
      <c r="Q48" s="7">
        <v>100</v>
      </c>
      <c r="R48" s="6" t="s">
        <v>163</v>
      </c>
      <c r="S48" s="13"/>
      <c r="T48" s="12" t="s">
        <v>196</v>
      </c>
      <c r="U48" s="18">
        <f>1/(U47/100000000)</f>
        <v>52066384.64041654</v>
      </c>
      <c r="V48" s="12" t="s">
        <v>197</v>
      </c>
      <c r="W48" s="13"/>
      <c r="X48" s="13"/>
      <c r="Y48" s="13"/>
      <c r="Z48" s="13"/>
      <c r="AA48" s="14"/>
    </row>
    <row r="49" spans="2:27" ht="16.5">
      <c r="B49" s="46" t="s">
        <v>291</v>
      </c>
      <c r="C49" s="47" t="s">
        <v>529</v>
      </c>
      <c r="D49" s="47"/>
      <c r="E49" s="47"/>
      <c r="F49" s="47"/>
      <c r="G49" s="47"/>
      <c r="H49" s="47"/>
      <c r="I49" s="47"/>
      <c r="J49" s="47"/>
      <c r="L49" s="13"/>
      <c r="M49" s="13"/>
      <c r="N49" s="13"/>
      <c r="O49" s="13"/>
      <c r="P49" s="6" t="s">
        <v>165</v>
      </c>
      <c r="Q49" s="25">
        <f>Q46*Q47/Q48</f>
        <v>1936</v>
      </c>
      <c r="R49" s="6" t="s">
        <v>166</v>
      </c>
      <c r="S49" s="13"/>
      <c r="T49" s="12" t="s">
        <v>198</v>
      </c>
      <c r="U49" s="3">
        <v>1</v>
      </c>
      <c r="V49" s="12" t="s">
        <v>199</v>
      </c>
      <c r="W49" s="13"/>
      <c r="X49" s="13"/>
      <c r="Y49" s="13"/>
      <c r="Z49" s="13"/>
      <c r="AA49" s="14"/>
    </row>
    <row r="50" spans="2:27" ht="16.5">
      <c r="B50" s="32" t="s">
        <v>275</v>
      </c>
      <c r="C50" s="34">
        <v>1</v>
      </c>
      <c r="D50" s="34">
        <v>1</v>
      </c>
      <c r="E50" s="34">
        <v>1</v>
      </c>
      <c r="F50" s="34">
        <v>1</v>
      </c>
      <c r="G50" s="34"/>
      <c r="H50" s="32" t="s">
        <v>49</v>
      </c>
      <c r="I50" s="49">
        <v>6</v>
      </c>
      <c r="J50" s="35" t="s">
        <v>279</v>
      </c>
      <c r="L50" s="216" t="s">
        <v>266</v>
      </c>
      <c r="M50" s="216"/>
      <c r="N50" s="216"/>
      <c r="O50" s="13"/>
      <c r="P50" s="13"/>
      <c r="Q50" s="13"/>
      <c r="R50" s="13"/>
      <c r="S50" s="13"/>
      <c r="T50" s="12" t="s">
        <v>37</v>
      </c>
      <c r="U50" s="19">
        <v>10000</v>
      </c>
      <c r="V50" s="12" t="s">
        <v>200</v>
      </c>
      <c r="W50" s="13"/>
      <c r="X50" s="13"/>
      <c r="Y50" s="13"/>
      <c r="Z50" s="13" t="s">
        <v>235</v>
      </c>
      <c r="AA50" s="14"/>
    </row>
    <row r="51" spans="2:27" ht="16.5">
      <c r="B51" s="32" t="s">
        <v>114</v>
      </c>
      <c r="C51" s="55">
        <f t="shared" ref="C51:F51" si="80">C44/C50</f>
        <v>417.78734619294346</v>
      </c>
      <c r="D51" s="55">
        <f t="shared" si="80"/>
        <v>527.36172106507206</v>
      </c>
      <c r="E51" s="55">
        <f t="shared" si="80"/>
        <v>564.73348346571959</v>
      </c>
      <c r="F51" s="55">
        <f t="shared" si="80"/>
        <v>669.43008444405325</v>
      </c>
      <c r="G51" s="55"/>
      <c r="H51" s="32" t="s">
        <v>2</v>
      </c>
      <c r="I51" s="49"/>
      <c r="J51" s="32" t="s">
        <v>278</v>
      </c>
      <c r="L51" s="32" t="s">
        <v>36</v>
      </c>
      <c r="M51" s="33">
        <v>200</v>
      </c>
      <c r="N51" s="32" t="s">
        <v>13</v>
      </c>
      <c r="O51" s="13"/>
      <c r="P51" s="217" t="s">
        <v>306</v>
      </c>
      <c r="Q51" s="217"/>
      <c r="R51" s="217"/>
      <c r="S51" s="13"/>
      <c r="T51" s="12" t="s">
        <v>230</v>
      </c>
      <c r="U51" s="31">
        <f>503.3*SQRT((U47/100000000)/(U49*U50))*1000</f>
        <v>0.69750643588876649</v>
      </c>
      <c r="V51" s="12" t="s">
        <v>201</v>
      </c>
      <c r="W51" s="13"/>
      <c r="X51" s="13"/>
      <c r="Y51" s="13"/>
      <c r="Z51" s="13"/>
      <c r="AA51" s="14"/>
    </row>
    <row r="52" spans="2:27" ht="16.5">
      <c r="B52" s="32" t="s">
        <v>8</v>
      </c>
      <c r="C52" s="38">
        <v>27</v>
      </c>
      <c r="D52" s="38">
        <v>27</v>
      </c>
      <c r="E52" s="38">
        <v>27</v>
      </c>
      <c r="F52" s="38">
        <v>27</v>
      </c>
      <c r="G52" s="38"/>
      <c r="H52" s="32" t="s">
        <v>45</v>
      </c>
      <c r="I52" s="49">
        <v>7</v>
      </c>
      <c r="J52" s="35" t="s">
        <v>117</v>
      </c>
      <c r="L52" s="32" t="s">
        <v>38</v>
      </c>
      <c r="M52" s="33">
        <v>3</v>
      </c>
      <c r="N52" s="32" t="s">
        <v>13</v>
      </c>
      <c r="O52" s="13"/>
      <c r="P52" s="21" t="s">
        <v>296</v>
      </c>
      <c r="Q52" s="22">
        <v>15.4</v>
      </c>
      <c r="R52" s="21" t="s">
        <v>13</v>
      </c>
      <c r="S52" s="13"/>
      <c r="T52" s="12" t="s">
        <v>231</v>
      </c>
      <c r="U52" s="26">
        <v>16000</v>
      </c>
      <c r="V52" s="12" t="s">
        <v>201</v>
      </c>
      <c r="W52" s="13"/>
      <c r="X52" s="13"/>
      <c r="Y52" s="13"/>
      <c r="Z52" s="13"/>
      <c r="AA52" s="14"/>
    </row>
    <row r="53" spans="2:27" ht="16.5">
      <c r="B53" s="32" t="s">
        <v>118</v>
      </c>
      <c r="C53" s="38">
        <v>25</v>
      </c>
      <c r="D53" s="38">
        <v>25</v>
      </c>
      <c r="E53" s="38">
        <v>25</v>
      </c>
      <c r="F53" s="38">
        <v>25</v>
      </c>
      <c r="G53" s="38"/>
      <c r="H53" s="32" t="s">
        <v>0</v>
      </c>
      <c r="I53" s="49">
        <v>8</v>
      </c>
      <c r="J53" s="35" t="s">
        <v>119</v>
      </c>
      <c r="L53" s="32" t="s">
        <v>39</v>
      </c>
      <c r="M53" s="33">
        <v>300</v>
      </c>
      <c r="N53" s="32" t="s">
        <v>13</v>
      </c>
      <c r="O53" s="13"/>
      <c r="P53" s="21" t="s">
        <v>297</v>
      </c>
      <c r="Q53" s="22">
        <v>2</v>
      </c>
      <c r="R53" s="21" t="s">
        <v>13</v>
      </c>
      <c r="S53" s="13"/>
      <c r="T53" s="12" t="s">
        <v>256</v>
      </c>
      <c r="U53" s="26">
        <v>2</v>
      </c>
      <c r="V53" s="12" t="s">
        <v>201</v>
      </c>
      <c r="W53" s="13"/>
      <c r="X53" s="13"/>
      <c r="Y53" s="13"/>
      <c r="Z53" s="13"/>
      <c r="AA53" s="14"/>
    </row>
    <row r="54" spans="2:27" ht="16.5">
      <c r="B54" s="32" t="s">
        <v>9</v>
      </c>
      <c r="C54" s="42">
        <f t="shared" ref="C54:F54" si="81">C53*C52/1000000*C55*1000</f>
        <v>30.584634221685967</v>
      </c>
      <c r="D54" s="42">
        <f t="shared" si="81"/>
        <v>29.510208522830094</v>
      </c>
      <c r="E54" s="42">
        <f t="shared" si="81"/>
        <v>38.156795475310126</v>
      </c>
      <c r="F54" s="42">
        <f t="shared" si="81"/>
        <v>37.420623982152783</v>
      </c>
      <c r="G54" s="42"/>
      <c r="H54" s="32" t="s">
        <v>6</v>
      </c>
      <c r="I54" s="49"/>
      <c r="J54" s="32"/>
      <c r="L54" s="32" t="s">
        <v>75</v>
      </c>
      <c r="M54" s="63">
        <f>12.5*(M52/10)*(M53/10)/(M51/10)</f>
        <v>5.625</v>
      </c>
      <c r="N54" s="32" t="s">
        <v>40</v>
      </c>
      <c r="O54" s="13"/>
      <c r="P54" s="21" t="s">
        <v>299</v>
      </c>
      <c r="Q54" s="23">
        <f>Q52+Q53*2</f>
        <v>19.399999999999999</v>
      </c>
      <c r="R54" s="21" t="s">
        <v>13</v>
      </c>
      <c r="S54" s="13"/>
      <c r="T54" s="12" t="s">
        <v>255</v>
      </c>
      <c r="U54" s="27">
        <f>MIN(U51,U53)</f>
        <v>0.69750643588876649</v>
      </c>
      <c r="V54" s="12" t="s">
        <v>201</v>
      </c>
      <c r="W54" s="13"/>
      <c r="X54" s="13"/>
      <c r="Y54" s="13"/>
      <c r="Z54" s="13"/>
      <c r="AA54" s="14"/>
    </row>
    <row r="55" spans="2:27" ht="18" customHeight="1">
      <c r="B55" s="32" t="s">
        <v>116</v>
      </c>
      <c r="C55" s="55">
        <f t="shared" ref="C55:F55" si="82">C22</f>
        <v>45.310569217312541</v>
      </c>
      <c r="D55" s="55">
        <f t="shared" si="82"/>
        <v>43.71882744122977</v>
      </c>
      <c r="E55" s="55">
        <f t="shared" si="82"/>
        <v>56.528585889348328</v>
      </c>
      <c r="F55" s="55">
        <f t="shared" si="82"/>
        <v>55.437961455041162</v>
      </c>
      <c r="G55" s="55"/>
      <c r="H55" s="32" t="s">
        <v>4</v>
      </c>
      <c r="I55" s="49"/>
      <c r="J55" s="32" t="s">
        <v>115</v>
      </c>
      <c r="P55" s="59" t="s">
        <v>300</v>
      </c>
      <c r="Q55" s="60">
        <v>8.8539999999999992E-12</v>
      </c>
      <c r="R55" s="48"/>
      <c r="T55" s="12" t="s">
        <v>236</v>
      </c>
      <c r="U55" s="26">
        <v>30</v>
      </c>
      <c r="V55" s="12" t="s">
        <v>201</v>
      </c>
    </row>
    <row r="56" spans="2:27" ht="16.5">
      <c r="B56" s="32" t="s">
        <v>274</v>
      </c>
      <c r="C56" s="41">
        <f t="shared" ref="C56:F56" si="83">C51*1.414</f>
        <v>590.75130751682207</v>
      </c>
      <c r="D56" s="41">
        <f t="shared" si="83"/>
        <v>745.6894735860119</v>
      </c>
      <c r="E56" s="41">
        <f t="shared" si="83"/>
        <v>798.53314562052742</v>
      </c>
      <c r="F56" s="41">
        <f t="shared" si="83"/>
        <v>946.57413940389119</v>
      </c>
      <c r="G56" s="41"/>
      <c r="H56" s="32" t="s">
        <v>2</v>
      </c>
      <c r="I56" s="49"/>
      <c r="J56" s="32" t="s">
        <v>280</v>
      </c>
      <c r="L56" s="216" t="s">
        <v>292</v>
      </c>
      <c r="M56" s="216"/>
      <c r="N56" s="216"/>
      <c r="P56" s="59" t="s">
        <v>301</v>
      </c>
      <c r="Q56" s="57">
        <v>2.1</v>
      </c>
      <c r="R56" s="48" t="s">
        <v>295</v>
      </c>
      <c r="T56" s="12" t="s">
        <v>237</v>
      </c>
      <c r="U56" s="26">
        <v>2</v>
      </c>
      <c r="V56" s="12" t="s">
        <v>201</v>
      </c>
    </row>
    <row r="57" spans="2:27" ht="16.5">
      <c r="B57" s="32" t="s">
        <v>120</v>
      </c>
      <c r="C57" s="38">
        <v>580</v>
      </c>
      <c r="D57" s="38">
        <v>600</v>
      </c>
      <c r="E57" s="38">
        <v>620</v>
      </c>
      <c r="F57" s="38">
        <v>650</v>
      </c>
      <c r="G57" s="38"/>
      <c r="H57" s="32" t="s">
        <v>5</v>
      </c>
      <c r="I57" s="49">
        <v>9</v>
      </c>
      <c r="J57" s="35" t="s">
        <v>121</v>
      </c>
      <c r="L57" s="32" t="s">
        <v>293</v>
      </c>
      <c r="M57" s="33">
        <v>3000</v>
      </c>
      <c r="N57" s="32" t="s">
        <v>50</v>
      </c>
      <c r="P57" s="48" t="s">
        <v>302</v>
      </c>
      <c r="Q57" s="60">
        <f>2*PI()*Q55*Q56/(LN(Q54/Q52))*1000000000</f>
        <v>0.50594615125588516</v>
      </c>
      <c r="R57" s="48" t="s">
        <v>294</v>
      </c>
      <c r="T57" s="12" t="s">
        <v>252</v>
      </c>
      <c r="U57" s="27">
        <f>(U55*U56)-((U55-2*U54)*(U56-2*U54))</f>
        <v>42.694350984456051</v>
      </c>
      <c r="V57" s="12" t="s">
        <v>227</v>
      </c>
    </row>
    <row r="58" spans="2:27" ht="16.5">
      <c r="B58" s="32" t="s">
        <v>122</v>
      </c>
      <c r="C58" s="42">
        <v>0</v>
      </c>
      <c r="D58" s="42">
        <v>0</v>
      </c>
      <c r="E58" s="42">
        <v>0</v>
      </c>
      <c r="F58" s="42">
        <v>0</v>
      </c>
      <c r="G58" s="42"/>
      <c r="H58" s="32" t="s">
        <v>5</v>
      </c>
      <c r="I58" s="49"/>
      <c r="J58" s="32"/>
      <c r="L58" s="32" t="s">
        <v>298</v>
      </c>
      <c r="M58" s="33">
        <v>1</v>
      </c>
      <c r="N58" s="32" t="s">
        <v>13</v>
      </c>
      <c r="P58" s="48" t="s">
        <v>303</v>
      </c>
      <c r="Q58" s="57">
        <v>10</v>
      </c>
      <c r="R58" s="48" t="s">
        <v>305</v>
      </c>
      <c r="T58" s="12" t="s">
        <v>232</v>
      </c>
      <c r="U58" s="26">
        <v>750</v>
      </c>
      <c r="V58" s="4" t="s">
        <v>228</v>
      </c>
    </row>
    <row r="59" spans="2:27" ht="16.5">
      <c r="B59" s="32" t="s">
        <v>123</v>
      </c>
      <c r="C59" s="42">
        <v>0</v>
      </c>
      <c r="D59" s="42">
        <v>0</v>
      </c>
      <c r="E59" s="42">
        <v>0</v>
      </c>
      <c r="F59" s="42">
        <v>0</v>
      </c>
      <c r="G59" s="42"/>
      <c r="H59" s="32" t="s">
        <v>5</v>
      </c>
      <c r="I59" s="49"/>
      <c r="J59" s="32"/>
      <c r="L59" s="32" t="s">
        <v>301</v>
      </c>
      <c r="M59" s="33">
        <v>2.1</v>
      </c>
      <c r="N59" s="32" t="s">
        <v>295</v>
      </c>
      <c r="O59" s="2"/>
      <c r="P59" s="48" t="s">
        <v>304</v>
      </c>
      <c r="Q59" s="61">
        <f>Q57*Q58</f>
        <v>5.0594615125588511</v>
      </c>
      <c r="R59" s="48" t="s">
        <v>294</v>
      </c>
      <c r="T59" s="12" t="s">
        <v>491</v>
      </c>
      <c r="U59" s="28">
        <f>U58/U57</f>
        <v>17.566726808262207</v>
      </c>
      <c r="V59" s="4" t="s">
        <v>228</v>
      </c>
    </row>
    <row r="60" spans="2:27" ht="16.5">
      <c r="B60" s="32" t="s">
        <v>124</v>
      </c>
      <c r="C60" s="39">
        <f t="shared" ref="C60:F60" si="84">C57*C55+C58*C55</f>
        <v>26280.130146041272</v>
      </c>
      <c r="D60" s="39">
        <f t="shared" si="84"/>
        <v>26231.296464737861</v>
      </c>
      <c r="E60" s="39">
        <f t="shared" si="84"/>
        <v>35047.723251395961</v>
      </c>
      <c r="F60" s="39">
        <f t="shared" si="84"/>
        <v>36034.674945776758</v>
      </c>
      <c r="G60" s="39"/>
      <c r="H60" s="32" t="s">
        <v>6</v>
      </c>
      <c r="I60" s="49"/>
      <c r="J60" s="32"/>
      <c r="L60" s="32" t="s">
        <v>76</v>
      </c>
      <c r="M60" s="63">
        <f>8.854/1000000000000*M59*(M57/1000000)/(M58/1000)*1000000000</f>
        <v>5.5780200000000002E-2</v>
      </c>
      <c r="N60" s="32" t="s">
        <v>294</v>
      </c>
      <c r="T60" s="12" t="s">
        <v>233</v>
      </c>
      <c r="U60" s="28">
        <f>U47/100000000*(U58^2)/(U57/1000000)*U52/1000</f>
        <v>4048.6913611342306</v>
      </c>
      <c r="V60" s="4" t="s">
        <v>229</v>
      </c>
    </row>
    <row r="61" spans="2:27" ht="16.5">
      <c r="B61" s="32" t="s">
        <v>125</v>
      </c>
      <c r="C61" s="42">
        <f t="shared" ref="C61:F61" si="85">C55*C59</f>
        <v>0</v>
      </c>
      <c r="D61" s="42">
        <f t="shared" si="85"/>
        <v>0</v>
      </c>
      <c r="E61" s="42">
        <f t="shared" si="85"/>
        <v>0</v>
      </c>
      <c r="F61" s="42">
        <f t="shared" si="85"/>
        <v>0</v>
      </c>
      <c r="G61" s="42"/>
      <c r="H61" s="32" t="s">
        <v>6</v>
      </c>
      <c r="I61" s="49"/>
      <c r="J61" s="32"/>
    </row>
    <row r="62" spans="2:27" ht="16.5">
      <c r="B62" s="32" t="s">
        <v>126</v>
      </c>
      <c r="C62" s="38">
        <v>100</v>
      </c>
      <c r="D62" s="38">
        <v>100</v>
      </c>
      <c r="E62" s="38">
        <v>100</v>
      </c>
      <c r="F62" s="38">
        <v>100</v>
      </c>
      <c r="G62" s="38"/>
      <c r="H62" s="32" t="s">
        <v>7</v>
      </c>
      <c r="I62" s="49">
        <v>10</v>
      </c>
      <c r="J62" s="35" t="s">
        <v>127</v>
      </c>
      <c r="L62" s="215" t="s">
        <v>468</v>
      </c>
      <c r="M62" s="215"/>
      <c r="N62" s="215"/>
      <c r="O62"/>
      <c r="T62" s="217" t="s">
        <v>487</v>
      </c>
      <c r="U62" s="217"/>
      <c r="V62" s="217"/>
    </row>
    <row r="63" spans="2:27" ht="16.5">
      <c r="B63" s="32" t="s">
        <v>128</v>
      </c>
      <c r="C63" s="43">
        <f t="shared" ref="C63:F63" si="86">C60*C62/100</f>
        <v>26280.130146041269</v>
      </c>
      <c r="D63" s="43">
        <f t="shared" si="86"/>
        <v>26231.296464737865</v>
      </c>
      <c r="E63" s="43">
        <f t="shared" si="86"/>
        <v>35047.723251395961</v>
      </c>
      <c r="F63" s="43">
        <f t="shared" si="86"/>
        <v>36034.674945776758</v>
      </c>
      <c r="G63" s="43"/>
      <c r="H63" s="32" t="s">
        <v>6</v>
      </c>
      <c r="I63" s="49"/>
      <c r="J63" s="32"/>
      <c r="L63" s="77"/>
      <c r="M63" s="78" t="s">
        <v>460</v>
      </c>
      <c r="N63" s="78" t="s">
        <v>461</v>
      </c>
      <c r="O63" s="78" t="s">
        <v>462</v>
      </c>
      <c r="T63" s="5" t="s">
        <v>188</v>
      </c>
      <c r="U63" s="3" t="s">
        <v>189</v>
      </c>
      <c r="V63" s="3"/>
    </row>
    <row r="64" spans="2:27" ht="16.5">
      <c r="B64" s="32" t="s">
        <v>129</v>
      </c>
      <c r="C64" s="41">
        <f t="shared" ref="C64:F64" si="87">C51*0.9</f>
        <v>376.00861157364915</v>
      </c>
      <c r="D64" s="41">
        <f t="shared" si="87"/>
        <v>474.62554895856488</v>
      </c>
      <c r="E64" s="41">
        <f t="shared" si="87"/>
        <v>508.26013511914766</v>
      </c>
      <c r="F64" s="41">
        <f t="shared" si="87"/>
        <v>602.48707599964791</v>
      </c>
      <c r="G64" s="41"/>
      <c r="H64" s="32" t="s">
        <v>2</v>
      </c>
      <c r="I64" s="49"/>
      <c r="J64" s="32"/>
      <c r="L64" s="78" t="s">
        <v>459</v>
      </c>
      <c r="M64" s="78" t="s">
        <v>465</v>
      </c>
      <c r="N64" s="78" t="s">
        <v>463</v>
      </c>
      <c r="O64" s="78" t="s">
        <v>464</v>
      </c>
      <c r="T64" s="12" t="s">
        <v>190</v>
      </c>
      <c r="U64" s="15">
        <v>1.75</v>
      </c>
      <c r="V64" s="12" t="s">
        <v>191</v>
      </c>
    </row>
    <row r="65" spans="2:22" ht="16.5">
      <c r="B65" s="32" t="s">
        <v>130</v>
      </c>
      <c r="C65" s="38">
        <v>1.7</v>
      </c>
      <c r="D65" s="38">
        <v>1.7</v>
      </c>
      <c r="E65" s="38">
        <v>1.75</v>
      </c>
      <c r="F65" s="38">
        <v>1.8</v>
      </c>
      <c r="G65" s="38"/>
      <c r="H65" s="32" t="s">
        <v>44</v>
      </c>
      <c r="I65" s="49">
        <v>11</v>
      </c>
      <c r="J65" s="35" t="s">
        <v>131</v>
      </c>
      <c r="L65" s="76">
        <v>0.5</v>
      </c>
      <c r="M65" s="76"/>
      <c r="N65" s="76">
        <v>2.5</v>
      </c>
      <c r="O65" s="76"/>
      <c r="T65" s="12" t="s">
        <v>192</v>
      </c>
      <c r="U65" s="16">
        <v>3.8999999999999998E-3</v>
      </c>
      <c r="V65" s="12" t="s">
        <v>193</v>
      </c>
    </row>
    <row r="66" spans="2:22" ht="16.5">
      <c r="B66" s="32" t="s">
        <v>132</v>
      </c>
      <c r="C66" s="38">
        <v>1.7</v>
      </c>
      <c r="D66" s="38">
        <v>1.7</v>
      </c>
      <c r="E66" s="38">
        <v>1.7</v>
      </c>
      <c r="F66" s="38">
        <v>1.7</v>
      </c>
      <c r="G66" s="38"/>
      <c r="H66" s="32" t="s">
        <v>44</v>
      </c>
      <c r="I66" s="49">
        <v>12</v>
      </c>
      <c r="J66" s="35" t="s">
        <v>133</v>
      </c>
      <c r="L66" s="76">
        <v>0.8</v>
      </c>
      <c r="M66" s="76"/>
      <c r="N66" s="76">
        <v>1.42</v>
      </c>
      <c r="O66" s="76"/>
      <c r="T66" s="12" t="s">
        <v>194</v>
      </c>
      <c r="U66" s="17">
        <v>45</v>
      </c>
      <c r="V66" s="12" t="s">
        <v>48</v>
      </c>
    </row>
    <row r="67" spans="2:22" ht="16.5">
      <c r="B67" s="32" t="s">
        <v>72</v>
      </c>
      <c r="C67" s="42">
        <v>100</v>
      </c>
      <c r="D67" s="42">
        <v>100</v>
      </c>
      <c r="E67" s="42">
        <v>100</v>
      </c>
      <c r="F67" s="42">
        <v>100</v>
      </c>
      <c r="G67" s="42"/>
      <c r="H67" s="32" t="s">
        <v>7</v>
      </c>
      <c r="I67" s="49"/>
      <c r="J67" s="35"/>
      <c r="L67" s="76">
        <v>1</v>
      </c>
      <c r="M67" s="76">
        <v>2</v>
      </c>
      <c r="N67" s="76">
        <v>1.4</v>
      </c>
      <c r="O67" s="76"/>
      <c r="T67" s="12" t="s">
        <v>195</v>
      </c>
      <c r="U67" s="16">
        <f>U64*(1+U65*(U66-20))</f>
        <v>1.9206249999999998</v>
      </c>
      <c r="V67" s="12" t="s">
        <v>191</v>
      </c>
    </row>
    <row r="68" spans="2:22" ht="16.5">
      <c r="B68" s="32" t="s">
        <v>134</v>
      </c>
      <c r="C68" s="42">
        <f t="shared" ref="C68:F68" si="88">C18</f>
        <v>30</v>
      </c>
      <c r="D68" s="42">
        <f t="shared" si="88"/>
        <v>30</v>
      </c>
      <c r="E68" s="42">
        <f t="shared" si="88"/>
        <v>30</v>
      </c>
      <c r="F68" s="42">
        <f t="shared" si="88"/>
        <v>30</v>
      </c>
      <c r="G68" s="42"/>
      <c r="H68" s="32" t="s">
        <v>79</v>
      </c>
      <c r="I68" s="49"/>
      <c r="J68" s="32"/>
      <c r="L68" s="76">
        <v>1.2</v>
      </c>
      <c r="M68" s="76"/>
      <c r="N68" s="76">
        <v>1.04</v>
      </c>
      <c r="O68" s="76"/>
      <c r="T68" s="12" t="s">
        <v>196</v>
      </c>
      <c r="U68" s="18">
        <f>1/(U67/100000000)</f>
        <v>52066384.64041654</v>
      </c>
      <c r="V68" s="12" t="s">
        <v>197</v>
      </c>
    </row>
    <row r="69" spans="2:22" ht="16.5">
      <c r="B69" s="32" t="s">
        <v>135</v>
      </c>
      <c r="C69" s="42">
        <f t="shared" ref="C69:F69" si="89">ROUNDUP((C64*C65*((C67*180/100-C68)/180))/2,0)</f>
        <v>267</v>
      </c>
      <c r="D69" s="42">
        <f t="shared" si="89"/>
        <v>337</v>
      </c>
      <c r="E69" s="42">
        <f t="shared" si="89"/>
        <v>371</v>
      </c>
      <c r="F69" s="42">
        <f t="shared" si="89"/>
        <v>452</v>
      </c>
      <c r="G69" s="42"/>
      <c r="H69" s="32" t="s">
        <v>6</v>
      </c>
      <c r="I69" s="49"/>
      <c r="J69" s="32"/>
      <c r="L69" s="76">
        <v>2</v>
      </c>
      <c r="M69" s="76">
        <v>1.1200000000000001</v>
      </c>
      <c r="N69" s="76">
        <v>0.75</v>
      </c>
      <c r="O69" s="76"/>
      <c r="T69" s="12" t="s">
        <v>198</v>
      </c>
      <c r="U69" s="3">
        <v>1</v>
      </c>
      <c r="V69" s="12" t="s">
        <v>199</v>
      </c>
    </row>
    <row r="70" spans="2:22" ht="16.5">
      <c r="B70" s="32" t="s">
        <v>136</v>
      </c>
      <c r="C70" s="42">
        <f t="shared" ref="C70:F70" si="90">ROUNDUP((C64*C66*(1-(C67*180/100-C68)/180))/2,0)</f>
        <v>54</v>
      </c>
      <c r="D70" s="42">
        <f t="shared" si="90"/>
        <v>68</v>
      </c>
      <c r="E70" s="42">
        <f t="shared" si="90"/>
        <v>73</v>
      </c>
      <c r="F70" s="42">
        <f t="shared" si="90"/>
        <v>86</v>
      </c>
      <c r="G70" s="42"/>
      <c r="H70" s="32" t="s">
        <v>6</v>
      </c>
      <c r="I70" s="49"/>
      <c r="J70" s="32"/>
      <c r="L70" s="76">
        <v>3</v>
      </c>
      <c r="M70" s="76">
        <v>0.71</v>
      </c>
      <c r="N70" s="76">
        <v>0.57999999999999996</v>
      </c>
      <c r="O70" s="76"/>
      <c r="T70" s="12" t="s">
        <v>231</v>
      </c>
      <c r="U70" s="26">
        <v>6126</v>
      </c>
      <c r="V70" s="12" t="s">
        <v>201</v>
      </c>
    </row>
    <row r="71" spans="2:22" ht="16.5">
      <c r="B71" s="32" t="s">
        <v>69</v>
      </c>
      <c r="C71" s="43">
        <f t="shared" ref="C71:F71" si="91">ROUNDUP(((C64*C65*(((C67*180/100-C68)/180))+(C64*C66*(1-(C67*180/100-C68)/180))))/2,0)</f>
        <v>320</v>
      </c>
      <c r="D71" s="43">
        <f t="shared" si="91"/>
        <v>404</v>
      </c>
      <c r="E71" s="43">
        <f t="shared" si="91"/>
        <v>443</v>
      </c>
      <c r="F71" s="43">
        <f t="shared" si="91"/>
        <v>538</v>
      </c>
      <c r="G71" s="43"/>
      <c r="H71" s="32" t="s">
        <v>6</v>
      </c>
      <c r="I71" s="49"/>
      <c r="J71" s="32"/>
      <c r="L71" s="76">
        <v>5</v>
      </c>
      <c r="M71" s="76">
        <v>0.43</v>
      </c>
      <c r="N71" s="76">
        <v>0.36</v>
      </c>
      <c r="O71" s="76"/>
      <c r="T71" s="12" t="s">
        <v>257</v>
      </c>
      <c r="U71" s="26">
        <v>2</v>
      </c>
      <c r="V71" s="12" t="s">
        <v>201</v>
      </c>
    </row>
    <row r="72" spans="2:22" ht="16.5">
      <c r="B72" s="32" t="s">
        <v>276</v>
      </c>
      <c r="C72" s="42">
        <f t="shared" ref="C72:F72" si="92">C63+C69</f>
        <v>26547.130146041269</v>
      </c>
      <c r="D72" s="42">
        <f t="shared" si="92"/>
        <v>26568.296464737865</v>
      </c>
      <c r="E72" s="42">
        <f t="shared" si="92"/>
        <v>35418.723251395961</v>
      </c>
      <c r="F72" s="42">
        <f t="shared" si="92"/>
        <v>36486.674945776758</v>
      </c>
      <c r="G72" s="42"/>
      <c r="H72" s="32" t="s">
        <v>6</v>
      </c>
      <c r="I72" s="49"/>
      <c r="J72" s="32"/>
      <c r="L72" s="76">
        <v>6</v>
      </c>
      <c r="M72" s="76"/>
      <c r="N72" s="76">
        <v>0.34</v>
      </c>
      <c r="O72" s="76">
        <v>0.62</v>
      </c>
      <c r="T72" s="12" t="s">
        <v>253</v>
      </c>
      <c r="U72" s="26">
        <v>60</v>
      </c>
      <c r="V72" s="12" t="s">
        <v>201</v>
      </c>
    </row>
    <row r="73" spans="2:22" ht="16.5">
      <c r="B73" s="32" t="s">
        <v>277</v>
      </c>
      <c r="C73" s="42">
        <f t="shared" ref="C73:F73" si="93">C70+C61</f>
        <v>54</v>
      </c>
      <c r="D73" s="42">
        <f t="shared" si="93"/>
        <v>68</v>
      </c>
      <c r="E73" s="42">
        <f t="shared" si="93"/>
        <v>73</v>
      </c>
      <c r="F73" s="42">
        <f t="shared" si="93"/>
        <v>86</v>
      </c>
      <c r="G73" s="42"/>
      <c r="H73" s="32" t="s">
        <v>6</v>
      </c>
      <c r="I73" s="49"/>
      <c r="J73" s="32"/>
      <c r="L73" s="76">
        <v>8</v>
      </c>
      <c r="M73" s="76">
        <v>0.3</v>
      </c>
      <c r="N73" s="76">
        <v>0.25</v>
      </c>
      <c r="O73" s="76"/>
      <c r="T73" s="12" t="s">
        <v>252</v>
      </c>
      <c r="U73" s="27">
        <f>U71*U72</f>
        <v>120</v>
      </c>
      <c r="V73" s="12" t="s">
        <v>227</v>
      </c>
    </row>
    <row r="74" spans="2:22" ht="16.5">
      <c r="B74" s="32" t="s">
        <v>284</v>
      </c>
      <c r="C74" s="43">
        <f t="shared" ref="C74:F74" si="94">ROUNDUP((C54+C63+C71),0)</f>
        <v>26631</v>
      </c>
      <c r="D74" s="43">
        <f t="shared" si="94"/>
        <v>26665</v>
      </c>
      <c r="E74" s="43">
        <f t="shared" si="94"/>
        <v>35529</v>
      </c>
      <c r="F74" s="43">
        <f t="shared" si="94"/>
        <v>36611</v>
      </c>
      <c r="G74" s="43"/>
      <c r="H74" s="32" t="s">
        <v>6</v>
      </c>
      <c r="I74" s="49"/>
      <c r="J74" s="32"/>
      <c r="L74" s="76">
        <v>10</v>
      </c>
      <c r="M74" s="76"/>
      <c r="N74" s="76"/>
      <c r="O74" s="76">
        <v>0.45</v>
      </c>
      <c r="T74" s="12" t="s">
        <v>232</v>
      </c>
      <c r="U74" s="26">
        <v>850</v>
      </c>
      <c r="V74" s="4" t="s">
        <v>228</v>
      </c>
    </row>
    <row r="75" spans="2:22" ht="16.5">
      <c r="B75" s="32" t="s">
        <v>137</v>
      </c>
      <c r="C75" s="38">
        <v>1</v>
      </c>
      <c r="D75" s="38">
        <v>1</v>
      </c>
      <c r="E75" s="38">
        <v>1</v>
      </c>
      <c r="F75" s="38">
        <v>1</v>
      </c>
      <c r="G75" s="38"/>
      <c r="H75" s="32"/>
      <c r="I75" s="49">
        <v>13</v>
      </c>
      <c r="J75" s="35" t="s">
        <v>283</v>
      </c>
      <c r="L75" s="76">
        <v>15</v>
      </c>
      <c r="M75" s="76"/>
      <c r="N75" s="76"/>
      <c r="O75" s="76">
        <v>0.4</v>
      </c>
      <c r="T75" s="12" t="s">
        <v>491</v>
      </c>
      <c r="U75" s="28">
        <f>U74/U73</f>
        <v>7.083333333333333</v>
      </c>
      <c r="V75" s="4" t="s">
        <v>228</v>
      </c>
    </row>
    <row r="76" spans="2:22" ht="16.5">
      <c r="B76" s="32" t="s">
        <v>70</v>
      </c>
      <c r="C76" s="44">
        <f t="shared" ref="C76:F76" si="95">C74*C75</f>
        <v>26631</v>
      </c>
      <c r="D76" s="44">
        <f t="shared" si="95"/>
        <v>26665</v>
      </c>
      <c r="E76" s="44">
        <f t="shared" si="95"/>
        <v>35529</v>
      </c>
      <c r="F76" s="44">
        <f t="shared" si="95"/>
        <v>36611</v>
      </c>
      <c r="G76" s="44"/>
      <c r="H76" s="32" t="s">
        <v>46</v>
      </c>
      <c r="I76" s="49"/>
      <c r="J76" s="32"/>
      <c r="L76" s="76">
        <v>20</v>
      </c>
      <c r="M76" s="76"/>
      <c r="N76" s="76"/>
      <c r="O76" s="76">
        <v>0.35</v>
      </c>
      <c r="T76" s="12" t="s">
        <v>233</v>
      </c>
      <c r="U76" s="28">
        <f>U67/100000000*(U74^2)/(U73/1000000)*U70/1000</f>
        <v>708.39612265624987</v>
      </c>
      <c r="V76" s="4" t="s">
        <v>229</v>
      </c>
    </row>
    <row r="77" spans="2:22" ht="16.5">
      <c r="B77" s="32" t="s">
        <v>43</v>
      </c>
      <c r="C77" s="45">
        <v>19000</v>
      </c>
      <c r="D77" s="45">
        <v>19000</v>
      </c>
      <c r="E77" s="45">
        <v>19000</v>
      </c>
      <c r="F77" s="45">
        <v>19000</v>
      </c>
      <c r="G77" s="45"/>
      <c r="H77" s="32" t="s">
        <v>6</v>
      </c>
      <c r="I77" s="49">
        <v>14</v>
      </c>
      <c r="J77" s="35" t="s">
        <v>117</v>
      </c>
      <c r="L77" s="76">
        <v>30</v>
      </c>
      <c r="M77" s="76"/>
      <c r="N77" s="76"/>
      <c r="O77" s="76">
        <v>0.28939999999999999</v>
      </c>
    </row>
    <row r="78" spans="2:22" ht="16.5">
      <c r="B78" s="32" t="s">
        <v>281</v>
      </c>
      <c r="C78" s="44">
        <f t="shared" ref="C78:F78" si="96">ROUNDUP(C76/C77*100,0)</f>
        <v>141</v>
      </c>
      <c r="D78" s="44">
        <f t="shared" si="96"/>
        <v>141</v>
      </c>
      <c r="E78" s="44">
        <f t="shared" si="96"/>
        <v>187</v>
      </c>
      <c r="F78" s="44">
        <f t="shared" si="96"/>
        <v>193</v>
      </c>
      <c r="G78" s="44"/>
      <c r="H78" s="32" t="s">
        <v>7</v>
      </c>
      <c r="I78" s="49"/>
      <c r="J78" s="35" t="s">
        <v>282</v>
      </c>
      <c r="L78" s="76">
        <v>50</v>
      </c>
      <c r="M78" s="76"/>
      <c r="N78" s="76"/>
      <c r="O78" s="76">
        <v>0.224</v>
      </c>
    </row>
    <row r="79" spans="2:22" ht="16.5">
      <c r="B79" s="32" t="s">
        <v>138</v>
      </c>
      <c r="C79" s="64">
        <v>8.0000000000000002E-3</v>
      </c>
      <c r="D79" s="64">
        <v>8.0000000000000002E-3</v>
      </c>
      <c r="E79" s="64">
        <v>8.0000000000000002E-3</v>
      </c>
      <c r="F79" s="64">
        <v>8.0000000000000002E-3</v>
      </c>
      <c r="G79" s="64"/>
      <c r="H79" s="32" t="s">
        <v>58</v>
      </c>
      <c r="I79" s="49">
        <v>15</v>
      </c>
      <c r="J79" s="53" t="s">
        <v>117</v>
      </c>
      <c r="L79" s="76">
        <v>100</v>
      </c>
      <c r="M79" s="76"/>
      <c r="N79" s="76"/>
      <c r="O79" s="76">
        <v>0.161</v>
      </c>
    </row>
    <row r="80" spans="2:22" ht="16.5">
      <c r="B80" s="32" t="s">
        <v>265</v>
      </c>
      <c r="C80" s="64">
        <v>1.35E-2</v>
      </c>
      <c r="D80" s="64">
        <v>1.35E-2</v>
      </c>
      <c r="E80" s="64">
        <v>1.35E-2</v>
      </c>
      <c r="F80" s="64">
        <v>1.35E-2</v>
      </c>
      <c r="G80" s="64"/>
      <c r="H80" s="32" t="s">
        <v>58</v>
      </c>
      <c r="I80" s="49">
        <v>16</v>
      </c>
      <c r="J80" s="53" t="s">
        <v>117</v>
      </c>
      <c r="L80" s="76">
        <v>200</v>
      </c>
      <c r="M80" s="76"/>
      <c r="N80" s="76"/>
      <c r="O80" s="76">
        <v>7.7600000000000002E-2</v>
      </c>
    </row>
    <row r="81" spans="2:18" ht="16.5">
      <c r="B81" s="32" t="s">
        <v>139</v>
      </c>
      <c r="C81" s="36">
        <f t="shared" ref="C81:F81" si="97">125-C79*C72</f>
        <v>-87.377041168330152</v>
      </c>
      <c r="D81" s="36">
        <f t="shared" si="97"/>
        <v>-87.546371717902929</v>
      </c>
      <c r="E81" s="36">
        <f t="shared" si="97"/>
        <v>-158.34978601116768</v>
      </c>
      <c r="F81" s="36">
        <f t="shared" si="97"/>
        <v>-166.8933995662141</v>
      </c>
      <c r="G81" s="36"/>
      <c r="H81" s="37" t="s">
        <v>59</v>
      </c>
      <c r="I81" s="49"/>
      <c r="J81" s="35" t="s">
        <v>140</v>
      </c>
      <c r="L81" s="76">
        <v>300</v>
      </c>
      <c r="M81" s="76"/>
      <c r="N81" s="76"/>
      <c r="O81" s="76">
        <v>5.2400000000000002E-2</v>
      </c>
    </row>
    <row r="82" spans="2:18" ht="16.5">
      <c r="B82" s="32" t="s">
        <v>141</v>
      </c>
      <c r="C82" s="55">
        <f t="shared" ref="C82:F82" si="98">125-C80*C73</f>
        <v>124.271</v>
      </c>
      <c r="D82" s="55">
        <f t="shared" si="98"/>
        <v>124.08199999999999</v>
      </c>
      <c r="E82" s="55">
        <f t="shared" si="98"/>
        <v>124.0145</v>
      </c>
      <c r="F82" s="55">
        <f t="shared" si="98"/>
        <v>123.839</v>
      </c>
      <c r="G82" s="55"/>
      <c r="H82" s="37" t="s">
        <v>59</v>
      </c>
      <c r="I82" s="49"/>
      <c r="J82" s="32"/>
    </row>
    <row r="83" spans="2:18" ht="16.5">
      <c r="B83" s="32" t="s">
        <v>142</v>
      </c>
      <c r="C83" s="55">
        <f t="shared" ref="C83:F83" si="99">C79*C72</f>
        <v>212.37704116833015</v>
      </c>
      <c r="D83" s="55">
        <f t="shared" si="99"/>
        <v>212.54637171790293</v>
      </c>
      <c r="E83" s="55">
        <f t="shared" si="99"/>
        <v>283.34978601116768</v>
      </c>
      <c r="F83" s="55">
        <f t="shared" si="99"/>
        <v>291.8933995662141</v>
      </c>
      <c r="G83" s="55"/>
      <c r="H83" s="37" t="s">
        <v>59</v>
      </c>
      <c r="I83" s="49"/>
      <c r="J83" s="32"/>
      <c r="L83" s="215" t="s">
        <v>472</v>
      </c>
      <c r="M83" s="215"/>
      <c r="N83" s="215"/>
      <c r="P83" s="215" t="s">
        <v>507</v>
      </c>
      <c r="Q83" s="215"/>
      <c r="R83" s="215"/>
    </row>
    <row r="84" spans="2:18" ht="16.5">
      <c r="B84" s="32" t="s">
        <v>143</v>
      </c>
      <c r="C84" s="55">
        <f t="shared" ref="C84:F84" si="100">C80*C73</f>
        <v>0.72899999999999998</v>
      </c>
      <c r="D84" s="55">
        <f t="shared" si="100"/>
        <v>0.91800000000000004</v>
      </c>
      <c r="E84" s="55">
        <f t="shared" si="100"/>
        <v>0.98550000000000004</v>
      </c>
      <c r="F84" s="55">
        <f t="shared" si="100"/>
        <v>1.161</v>
      </c>
      <c r="G84" s="55"/>
      <c r="H84" s="37" t="s">
        <v>59</v>
      </c>
      <c r="I84" s="49"/>
      <c r="J84" s="32"/>
      <c r="L84" s="79" t="s">
        <v>471</v>
      </c>
      <c r="M84" s="79" t="s">
        <v>477</v>
      </c>
      <c r="N84" s="79"/>
      <c r="P84" s="79" t="s">
        <v>508</v>
      </c>
      <c r="Q84" s="79" t="s">
        <v>509</v>
      </c>
      <c r="R84" s="79" t="s">
        <v>510</v>
      </c>
    </row>
    <row r="85" spans="2:18" ht="16.5">
      <c r="B85" s="32" t="s">
        <v>144</v>
      </c>
      <c r="C85" s="64">
        <v>0.03</v>
      </c>
      <c r="D85" s="64">
        <v>0.03</v>
      </c>
      <c r="E85" s="64">
        <v>0.03</v>
      </c>
      <c r="F85" s="64">
        <v>0.03</v>
      </c>
      <c r="G85" s="64"/>
      <c r="H85" s="32" t="s">
        <v>58</v>
      </c>
      <c r="I85" s="49">
        <v>17</v>
      </c>
      <c r="J85" s="32" t="s">
        <v>117</v>
      </c>
      <c r="L85" s="48" t="s">
        <v>469</v>
      </c>
      <c r="M85" s="48">
        <v>183</v>
      </c>
      <c r="N85" s="48" t="s">
        <v>473</v>
      </c>
      <c r="P85" s="65" t="s">
        <v>511</v>
      </c>
      <c r="Q85" s="65" t="s">
        <v>512</v>
      </c>
      <c r="R85" s="111" t="s">
        <v>513</v>
      </c>
    </row>
    <row r="86" spans="2:18" ht="16.5">
      <c r="B86" s="32" t="s">
        <v>145</v>
      </c>
      <c r="C86" s="64">
        <v>0.06</v>
      </c>
      <c r="D86" s="64">
        <v>0.06</v>
      </c>
      <c r="E86" s="64">
        <v>0.06</v>
      </c>
      <c r="F86" s="64">
        <v>0.06</v>
      </c>
      <c r="G86" s="64"/>
      <c r="H86" s="32" t="s">
        <v>58</v>
      </c>
      <c r="I86" s="49">
        <v>18</v>
      </c>
      <c r="J86" s="32" t="s">
        <v>117</v>
      </c>
      <c r="L86" s="48" t="s">
        <v>470</v>
      </c>
      <c r="M86" s="48">
        <v>75</v>
      </c>
      <c r="N86" s="48" t="s">
        <v>473</v>
      </c>
      <c r="P86" s="65" t="s">
        <v>514</v>
      </c>
      <c r="Q86" s="65" t="s">
        <v>515</v>
      </c>
      <c r="R86" s="111" t="s">
        <v>520</v>
      </c>
    </row>
    <row r="87" spans="2:18" ht="16.5">
      <c r="B87" s="32" t="s">
        <v>146</v>
      </c>
      <c r="C87" s="56">
        <f t="shared" ref="C87:F87" si="101">C81-C85*C72</f>
        <v>-883.79094554956816</v>
      </c>
      <c r="D87" s="56">
        <f t="shared" si="101"/>
        <v>-884.59526566003888</v>
      </c>
      <c r="E87" s="56">
        <f t="shared" si="101"/>
        <v>-1220.9114835530465</v>
      </c>
      <c r="F87" s="56">
        <f t="shared" si="101"/>
        <v>-1261.4936479395169</v>
      </c>
      <c r="G87" s="56"/>
      <c r="H87" s="37" t="s">
        <v>59</v>
      </c>
      <c r="I87" s="49"/>
      <c r="J87" s="32" t="s">
        <v>140</v>
      </c>
      <c r="L87" s="48" t="s">
        <v>474</v>
      </c>
      <c r="M87" s="48">
        <v>9</v>
      </c>
      <c r="N87" s="48" t="s">
        <v>473</v>
      </c>
      <c r="P87" s="65" t="s">
        <v>516</v>
      </c>
      <c r="Q87" s="65" t="s">
        <v>521</v>
      </c>
      <c r="R87" s="111" t="s">
        <v>522</v>
      </c>
    </row>
    <row r="88" spans="2:18" ht="16.5">
      <c r="B88" s="32" t="s">
        <v>147</v>
      </c>
      <c r="C88" s="55">
        <f t="shared" ref="C88:F88" si="102">C82-C86*C73</f>
        <v>121.03100000000001</v>
      </c>
      <c r="D88" s="55">
        <f t="shared" si="102"/>
        <v>120.002</v>
      </c>
      <c r="E88" s="55">
        <f t="shared" si="102"/>
        <v>119.6345</v>
      </c>
      <c r="F88" s="55">
        <f t="shared" si="102"/>
        <v>118.679</v>
      </c>
      <c r="G88" s="55"/>
      <c r="H88" s="37" t="s">
        <v>59</v>
      </c>
      <c r="I88" s="49"/>
      <c r="J88" s="32"/>
      <c r="L88" s="48" t="s">
        <v>475</v>
      </c>
      <c r="M88" s="48">
        <v>6</v>
      </c>
      <c r="N88" s="48" t="s">
        <v>473</v>
      </c>
      <c r="P88" s="65" t="s">
        <v>517</v>
      </c>
      <c r="Q88" s="65" t="s">
        <v>523</v>
      </c>
      <c r="R88" s="111" t="s">
        <v>524</v>
      </c>
    </row>
    <row r="89" spans="2:18" ht="16.5">
      <c r="B89" s="32" t="s">
        <v>148</v>
      </c>
      <c r="C89" s="55">
        <f t="shared" ref="C89:F89" si="103">C85*C72</f>
        <v>796.41390438123801</v>
      </c>
      <c r="D89" s="55">
        <f t="shared" si="103"/>
        <v>797.04889394213592</v>
      </c>
      <c r="E89" s="55">
        <f t="shared" si="103"/>
        <v>1062.5616975418789</v>
      </c>
      <c r="F89" s="55">
        <f t="shared" si="103"/>
        <v>1094.6002483733027</v>
      </c>
      <c r="G89" s="55"/>
      <c r="H89" s="37" t="s">
        <v>59</v>
      </c>
      <c r="I89" s="49"/>
      <c r="J89" s="32"/>
      <c r="L89" s="48" t="s">
        <v>476</v>
      </c>
      <c r="M89" s="48">
        <v>12</v>
      </c>
      <c r="N89" s="48" t="s">
        <v>473</v>
      </c>
      <c r="P89" s="65" t="s">
        <v>518</v>
      </c>
      <c r="Q89" s="65" t="s">
        <v>525</v>
      </c>
      <c r="R89" s="111" t="s">
        <v>526</v>
      </c>
    </row>
    <row r="90" spans="2:18" ht="16.5">
      <c r="B90" s="32" t="s">
        <v>149</v>
      </c>
      <c r="C90" s="55">
        <f t="shared" ref="C90:F90" si="104">C86*C73</f>
        <v>3.2399999999999998</v>
      </c>
      <c r="D90" s="55">
        <f t="shared" si="104"/>
        <v>4.08</v>
      </c>
      <c r="E90" s="55">
        <f t="shared" si="104"/>
        <v>4.38</v>
      </c>
      <c r="F90" s="55">
        <f t="shared" si="104"/>
        <v>5.16</v>
      </c>
      <c r="G90" s="55"/>
      <c r="H90" s="37" t="s">
        <v>59</v>
      </c>
      <c r="I90" s="49"/>
      <c r="J90" s="32"/>
      <c r="L90" s="48" t="s">
        <v>664</v>
      </c>
      <c r="M90" s="48">
        <v>78.540000000000006</v>
      </c>
      <c r="N90" s="48" t="s">
        <v>473</v>
      </c>
      <c r="P90" s="65" t="s">
        <v>519</v>
      </c>
      <c r="Q90" s="65" t="s">
        <v>527</v>
      </c>
      <c r="R90" s="111" t="s">
        <v>528</v>
      </c>
    </row>
    <row r="91" spans="2:18" ht="16.5">
      <c r="B91" s="32" t="s">
        <v>60</v>
      </c>
      <c r="C91" s="55">
        <v>60</v>
      </c>
      <c r="D91" s="55">
        <v>60</v>
      </c>
      <c r="E91" s="55">
        <v>60</v>
      </c>
      <c r="F91" s="55">
        <v>60</v>
      </c>
      <c r="G91" s="55"/>
      <c r="H91" s="37" t="s">
        <v>59</v>
      </c>
      <c r="I91" s="49"/>
      <c r="J91" s="32" t="s">
        <v>150</v>
      </c>
    </row>
    <row r="92" spans="2:18" ht="16.5">
      <c r="B92" s="32" t="s">
        <v>61</v>
      </c>
      <c r="C92" s="54">
        <v>8</v>
      </c>
      <c r="D92" s="54">
        <v>8</v>
      </c>
      <c r="E92" s="54">
        <v>8</v>
      </c>
      <c r="F92" s="54">
        <v>8</v>
      </c>
      <c r="G92" s="54"/>
      <c r="H92" s="37" t="s">
        <v>62</v>
      </c>
      <c r="I92" s="49"/>
      <c r="J92" s="32" t="s">
        <v>151</v>
      </c>
    </row>
    <row r="93" spans="2:18" ht="16.5">
      <c r="B93" s="32" t="s">
        <v>63</v>
      </c>
      <c r="C93" s="40">
        <f t="shared" ref="C93:F93" si="105">C91-(C76/1000*860/C92/60)</f>
        <v>12.286124999999998</v>
      </c>
      <c r="D93" s="40">
        <f t="shared" si="105"/>
        <v>12.225208333333335</v>
      </c>
      <c r="E93" s="40">
        <f t="shared" si="105"/>
        <v>-3.656125000000003</v>
      </c>
      <c r="F93" s="40">
        <f t="shared" si="105"/>
        <v>-5.5947083333333296</v>
      </c>
      <c r="G93" s="40"/>
      <c r="H93" s="37" t="s">
        <v>59</v>
      </c>
      <c r="I93" s="49"/>
      <c r="J93" s="32"/>
    </row>
  </sheetData>
  <mergeCells count="26">
    <mergeCell ref="T42:V42"/>
    <mergeCell ref="T62:V62"/>
    <mergeCell ref="X39:Z39"/>
    <mergeCell ref="C1:F1"/>
    <mergeCell ref="L17:N17"/>
    <mergeCell ref="L3:N3"/>
    <mergeCell ref="P3:R3"/>
    <mergeCell ref="X3:Z3"/>
    <mergeCell ref="P10:R10"/>
    <mergeCell ref="X10:Z10"/>
    <mergeCell ref="P16:R16"/>
    <mergeCell ref="X33:Z33"/>
    <mergeCell ref="T3:V3"/>
    <mergeCell ref="X20:Z20"/>
    <mergeCell ref="T23:V23"/>
    <mergeCell ref="L62:N62"/>
    <mergeCell ref="L83:N83"/>
    <mergeCell ref="L56:N56"/>
    <mergeCell ref="P22:R22"/>
    <mergeCell ref="L30:N30"/>
    <mergeCell ref="P51:R51"/>
    <mergeCell ref="L50:N50"/>
    <mergeCell ref="L41:N41"/>
    <mergeCell ref="P45:R45"/>
    <mergeCell ref="P83:R83"/>
    <mergeCell ref="Q33:R3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3.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/>
    <row r="3" spans="2:4" ht="14.25" thickBot="1">
      <c r="B3" s="66" t="s">
        <v>457</v>
      </c>
      <c r="C3" s="67" t="s">
        <v>637</v>
      </c>
      <c r="D3" s="67" t="s">
        <v>456</v>
      </c>
    </row>
    <row r="4" spans="2:4" ht="14.25" thickBot="1">
      <c r="B4" s="68" t="s">
        <v>436</v>
      </c>
      <c r="C4" s="66" t="s">
        <v>657</v>
      </c>
      <c r="D4" s="66"/>
    </row>
    <row r="5" spans="2:4">
      <c r="B5" s="69" t="s">
        <v>437</v>
      </c>
      <c r="C5" s="70" t="s">
        <v>678</v>
      </c>
      <c r="D5" s="70"/>
    </row>
    <row r="6" spans="2:4">
      <c r="B6" s="69" t="s">
        <v>438</v>
      </c>
      <c r="C6" s="70" t="s">
        <v>658</v>
      </c>
      <c r="D6" s="70"/>
    </row>
    <row r="7" spans="2:4">
      <c r="B7" s="69" t="s">
        <v>647</v>
      </c>
      <c r="C7" s="71" t="s">
        <v>675</v>
      </c>
      <c r="D7" s="71"/>
    </row>
    <row r="8" spans="2:4">
      <c r="B8" s="69" t="s">
        <v>648</v>
      </c>
      <c r="C8" s="71" t="s">
        <v>676</v>
      </c>
      <c r="D8" s="71"/>
    </row>
    <row r="9" spans="2:4">
      <c r="B9" s="69" t="s">
        <v>649</v>
      </c>
      <c r="C9" s="71" t="s">
        <v>677</v>
      </c>
      <c r="D9" s="71"/>
    </row>
    <row r="10" spans="2:4">
      <c r="B10" s="69" t="s">
        <v>439</v>
      </c>
      <c r="C10" s="71" t="s">
        <v>643</v>
      </c>
      <c r="D10" s="71"/>
    </row>
    <row r="11" spans="2:4">
      <c r="B11" s="69" t="s">
        <v>440</v>
      </c>
      <c r="C11" s="71" t="s">
        <v>627</v>
      </c>
      <c r="D11" s="71"/>
    </row>
    <row r="12" spans="2:4">
      <c r="B12" s="69" t="s">
        <v>441</v>
      </c>
      <c r="C12" s="72" t="s">
        <v>531</v>
      </c>
      <c r="D12" s="72"/>
    </row>
    <row r="13" spans="2:4">
      <c r="B13" s="69" t="s">
        <v>442</v>
      </c>
      <c r="C13" s="72" t="s">
        <v>530</v>
      </c>
      <c r="D13" s="72"/>
    </row>
    <row r="14" spans="2:4">
      <c r="B14" s="69" t="s">
        <v>443</v>
      </c>
      <c r="C14" s="71" t="s">
        <v>634</v>
      </c>
      <c r="D14" s="71"/>
    </row>
    <row r="15" spans="2:4">
      <c r="B15" s="69" t="s">
        <v>444</v>
      </c>
      <c r="C15" s="71" t="s">
        <v>660</v>
      </c>
      <c r="D15" s="71" t="s">
        <v>659</v>
      </c>
    </row>
    <row r="16" spans="2:4">
      <c r="B16" s="69" t="s">
        <v>446</v>
      </c>
      <c r="C16" s="72" t="s">
        <v>638</v>
      </c>
      <c r="D16" s="72"/>
    </row>
    <row r="17" spans="2:4">
      <c r="B17" s="69" t="s">
        <v>447</v>
      </c>
      <c r="C17" s="113" t="s">
        <v>661</v>
      </c>
      <c r="D17" s="72" t="s">
        <v>673</v>
      </c>
    </row>
    <row r="18" spans="2:4">
      <c r="B18" s="69" t="s">
        <v>639</v>
      </c>
      <c r="C18" s="214" t="s">
        <v>651</v>
      </c>
      <c r="D18" s="72"/>
    </row>
    <row r="19" spans="2:4">
      <c r="B19" s="69" t="s">
        <v>448</v>
      </c>
      <c r="C19" s="72" t="s">
        <v>663</v>
      </c>
      <c r="D19" s="72" t="s">
        <v>662</v>
      </c>
    </row>
    <row r="20" spans="2:4">
      <c r="B20" s="69" t="s">
        <v>449</v>
      </c>
      <c r="C20" s="72" t="s">
        <v>674</v>
      </c>
      <c r="D20" s="72"/>
    </row>
    <row r="21" spans="2:4" ht="40.5">
      <c r="B21" s="69" t="s">
        <v>641</v>
      </c>
      <c r="C21" s="72" t="s">
        <v>665</v>
      </c>
      <c r="D21" s="72"/>
    </row>
    <row r="22" spans="2:4">
      <c r="B22" s="73" t="s">
        <v>450</v>
      </c>
      <c r="C22" s="72" t="s">
        <v>640</v>
      </c>
      <c r="D22" s="72"/>
    </row>
    <row r="23" spans="2:4">
      <c r="B23" s="69" t="s">
        <v>451</v>
      </c>
      <c r="C23" s="69" t="s">
        <v>666</v>
      </c>
      <c r="D23" s="69"/>
    </row>
    <row r="24" spans="2:4">
      <c r="B24" s="69" t="s">
        <v>452</v>
      </c>
      <c r="C24" s="69" t="s">
        <v>652</v>
      </c>
      <c r="D24" s="69"/>
    </row>
    <row r="25" spans="2:4">
      <c r="B25" s="69" t="s">
        <v>453</v>
      </c>
      <c r="C25" s="69" t="s">
        <v>653</v>
      </c>
      <c r="D25" s="69"/>
    </row>
    <row r="26" spans="2:4">
      <c r="B26" s="69" t="s">
        <v>454</v>
      </c>
      <c r="C26" s="74" t="s">
        <v>667</v>
      </c>
      <c r="D26" s="69"/>
    </row>
    <row r="27" spans="2:4">
      <c r="B27" s="74" t="s">
        <v>455</v>
      </c>
      <c r="C27" s="74" t="s">
        <v>667</v>
      </c>
      <c r="D27" s="69"/>
    </row>
    <row r="28" spans="2:4">
      <c r="B28" s="74" t="s">
        <v>502</v>
      </c>
      <c r="C28" s="74" t="s">
        <v>668</v>
      </c>
      <c r="D28" s="74"/>
    </row>
    <row r="29" spans="2:4">
      <c r="B29" s="69" t="s">
        <v>445</v>
      </c>
      <c r="C29" s="71" t="s">
        <v>642</v>
      </c>
      <c r="D29" s="71"/>
    </row>
    <row r="30" spans="2:4">
      <c r="B30" s="74" t="s">
        <v>503</v>
      </c>
      <c r="C30" s="74" t="s">
        <v>626</v>
      </c>
      <c r="D30" s="74"/>
    </row>
    <row r="31" spans="2:4">
      <c r="B31" s="74" t="s">
        <v>505</v>
      </c>
      <c r="C31" s="74" t="s">
        <v>458</v>
      </c>
      <c r="D31" s="74"/>
    </row>
    <row r="32" spans="2:4">
      <c r="B32" s="74" t="s">
        <v>506</v>
      </c>
      <c r="C32" s="74" t="s">
        <v>458</v>
      </c>
      <c r="D32" s="74"/>
    </row>
    <row r="33" spans="2:4" ht="14.25" thickBot="1">
      <c r="B33" s="75" t="s">
        <v>504</v>
      </c>
      <c r="C33" s="75" t="s">
        <v>669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H37" sqref="H37"/>
    </sheetView>
  </sheetViews>
  <sheetFormatPr defaultColWidth="8.77734375" defaultRowHeight="13.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>
      <c r="C2" s="237" t="s">
        <v>532</v>
      </c>
      <c r="D2" s="238"/>
      <c r="E2" s="238"/>
      <c r="F2" s="238"/>
      <c r="G2" s="239"/>
    </row>
    <row r="3" spans="3:7" ht="20.25">
      <c r="C3" s="240" t="s">
        <v>533</v>
      </c>
      <c r="D3" s="240"/>
      <c r="E3" s="234" t="s">
        <v>670</v>
      </c>
      <c r="F3" s="235"/>
      <c r="G3" s="236"/>
    </row>
    <row r="4" spans="3:7" ht="20.25">
      <c r="C4" s="115" t="s">
        <v>534</v>
      </c>
      <c r="D4" s="116" t="s">
        <v>671</v>
      </c>
      <c r="E4" s="115" t="s">
        <v>434</v>
      </c>
      <c r="F4" s="241" t="s">
        <v>654</v>
      </c>
      <c r="G4" s="242"/>
    </row>
    <row r="5" spans="3:7" ht="20.25">
      <c r="C5" s="117" t="s">
        <v>535</v>
      </c>
      <c r="D5" s="118"/>
      <c r="E5" s="115" t="s">
        <v>435</v>
      </c>
      <c r="F5" s="234" t="s">
        <v>655</v>
      </c>
      <c r="G5" s="236"/>
    </row>
    <row r="6" spans="3:7" ht="20.25">
      <c r="C6" s="234" t="s">
        <v>536</v>
      </c>
      <c r="D6" s="235"/>
      <c r="E6" s="235"/>
      <c r="F6" s="235"/>
      <c r="G6" s="236"/>
    </row>
    <row r="7" spans="3:7" ht="16.5" hidden="1">
      <c r="C7" s="119">
        <v>1</v>
      </c>
      <c r="D7" s="6" t="s">
        <v>537</v>
      </c>
      <c r="E7" s="120" t="s">
        <v>537</v>
      </c>
      <c r="F7" s="121">
        <v>100</v>
      </c>
      <c r="G7" s="122" t="s">
        <v>538</v>
      </c>
    </row>
    <row r="8" spans="3:7" ht="16.5" hidden="1" customHeight="1">
      <c r="C8" s="123"/>
      <c r="D8" s="123"/>
      <c r="E8" s="120" t="s">
        <v>539</v>
      </c>
      <c r="F8" s="121">
        <v>1</v>
      </c>
      <c r="G8" s="122" t="s">
        <v>540</v>
      </c>
    </row>
    <row r="9" spans="3:7" ht="20.25" hidden="1" customHeight="1">
      <c r="C9" s="123"/>
      <c r="D9" s="123"/>
      <c r="E9" s="120" t="s">
        <v>541</v>
      </c>
      <c r="F9" s="121">
        <f>(10*10^6)/F8</f>
        <v>10000000</v>
      </c>
      <c r="G9" s="124"/>
    </row>
    <row r="10" spans="3:7" ht="16.5" hidden="1" customHeight="1">
      <c r="C10" s="123"/>
      <c r="D10" s="123"/>
      <c r="E10" s="120" t="s">
        <v>542</v>
      </c>
      <c r="F10" s="121">
        <v>100000</v>
      </c>
      <c r="G10" s="124">
        <v>50000</v>
      </c>
    </row>
    <row r="11" spans="3:7" ht="16.5" hidden="1" customHeight="1">
      <c r="C11" s="123"/>
      <c r="D11" s="123"/>
      <c r="E11" s="120" t="s">
        <v>543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>
      <c r="C12" s="123"/>
      <c r="D12" s="123"/>
      <c r="E12" s="120" t="s">
        <v>544</v>
      </c>
      <c r="F12" s="121" t="e">
        <f>F11/2</f>
        <v>#VALUE!</v>
      </c>
      <c r="G12" s="124" t="e">
        <f>G11/2</f>
        <v>#VALUE!</v>
      </c>
    </row>
    <row r="13" spans="3:7" ht="16.5" customHeight="1">
      <c r="C13" s="221">
        <v>2</v>
      </c>
      <c r="D13" s="224" t="s">
        <v>545</v>
      </c>
      <c r="E13" s="120" t="s">
        <v>546</v>
      </c>
      <c r="F13" s="125">
        <v>350</v>
      </c>
      <c r="G13" s="6" t="s">
        <v>547</v>
      </c>
    </row>
    <row r="14" spans="3:7" ht="16.5">
      <c r="C14" s="223"/>
      <c r="D14" s="232"/>
      <c r="E14" s="120" t="s">
        <v>548</v>
      </c>
      <c r="F14" s="125">
        <v>35</v>
      </c>
      <c r="G14" s="6" t="s">
        <v>549</v>
      </c>
    </row>
    <row r="15" spans="3:7" ht="16.5">
      <c r="C15" s="221">
        <v>3</v>
      </c>
      <c r="D15" s="224" t="s">
        <v>550</v>
      </c>
      <c r="E15" s="120" t="s">
        <v>550</v>
      </c>
      <c r="F15" s="121">
        <v>440</v>
      </c>
      <c r="G15" s="6" t="s">
        <v>551</v>
      </c>
    </row>
    <row r="16" spans="3:7" ht="16.5">
      <c r="C16" s="222"/>
      <c r="D16" s="225"/>
      <c r="E16" s="124" t="s">
        <v>552</v>
      </c>
      <c r="F16" s="121">
        <v>763</v>
      </c>
      <c r="G16" s="6" t="s">
        <v>160</v>
      </c>
    </row>
    <row r="17" spans="3:8" ht="16.5">
      <c r="C17" s="222"/>
      <c r="D17" s="225"/>
      <c r="E17" s="124" t="s">
        <v>553</v>
      </c>
      <c r="F17" s="121">
        <v>500</v>
      </c>
      <c r="G17" s="6" t="s">
        <v>160</v>
      </c>
    </row>
    <row r="18" spans="3:8" ht="16.5">
      <c r="C18" s="223"/>
      <c r="D18" s="232"/>
      <c r="E18" s="124" t="s">
        <v>554</v>
      </c>
      <c r="F18" s="121">
        <v>350</v>
      </c>
      <c r="G18" s="6" t="s">
        <v>160</v>
      </c>
    </row>
    <row r="19" spans="3:8" ht="16.5">
      <c r="C19" s="221">
        <v>4</v>
      </c>
      <c r="D19" s="224" t="s">
        <v>555</v>
      </c>
      <c r="E19" s="120" t="s">
        <v>556</v>
      </c>
      <c r="F19" s="121">
        <v>800</v>
      </c>
      <c r="G19" s="6" t="s">
        <v>557</v>
      </c>
    </row>
    <row r="20" spans="3:8" ht="16.5">
      <c r="C20" s="223"/>
      <c r="D20" s="232"/>
      <c r="E20" s="124" t="s">
        <v>558</v>
      </c>
      <c r="F20" s="121">
        <v>800</v>
      </c>
      <c r="G20" s="6" t="s">
        <v>163</v>
      </c>
    </row>
    <row r="21" spans="3:8" ht="16.5">
      <c r="C21" s="221">
        <v>5</v>
      </c>
      <c r="D21" s="224" t="s">
        <v>559</v>
      </c>
      <c r="E21" s="126" t="s">
        <v>560</v>
      </c>
      <c r="F21" s="125">
        <v>6.8</v>
      </c>
      <c r="G21" s="127" t="s">
        <v>561</v>
      </c>
    </row>
    <row r="22" spans="3:8" ht="16.5">
      <c r="C22" s="222"/>
      <c r="D22" s="225"/>
      <c r="E22" s="126" t="s">
        <v>562</v>
      </c>
      <c r="F22" s="121">
        <v>7</v>
      </c>
      <c r="G22" s="127" t="s">
        <v>563</v>
      </c>
    </row>
    <row r="23" spans="3:8" ht="16.5" customHeight="1">
      <c r="C23" s="222"/>
      <c r="D23" s="225"/>
      <c r="E23" s="126" t="s">
        <v>564</v>
      </c>
      <c r="F23" s="121">
        <v>300</v>
      </c>
      <c r="G23" s="127" t="s">
        <v>565</v>
      </c>
    </row>
    <row r="24" spans="3:8" ht="16.5">
      <c r="C24" s="222"/>
      <c r="D24" s="225"/>
      <c r="E24" s="126" t="s">
        <v>625</v>
      </c>
      <c r="F24" s="121">
        <v>700</v>
      </c>
      <c r="G24" s="127" t="s">
        <v>163</v>
      </c>
      <c r="H24" s="114" t="s">
        <v>672</v>
      </c>
    </row>
    <row r="25" spans="3:8" ht="16.5">
      <c r="C25" s="222"/>
      <c r="D25" s="225"/>
      <c r="E25" s="6" t="s">
        <v>566</v>
      </c>
      <c r="F25" s="121">
        <f>(3/(F21/F22))*F23</f>
        <v>926.47058823529414</v>
      </c>
      <c r="G25" s="127" t="s">
        <v>163</v>
      </c>
    </row>
    <row r="26" spans="3:8" ht="16.5">
      <c r="C26" s="222"/>
      <c r="D26" s="225"/>
      <c r="E26" s="6" t="s">
        <v>567</v>
      </c>
      <c r="F26" s="121">
        <f>F25*1.11</f>
        <v>1028.3823529411766</v>
      </c>
      <c r="G26" s="127" t="s">
        <v>568</v>
      </c>
    </row>
    <row r="27" spans="3:8" ht="16.5">
      <c r="C27" s="223"/>
      <c r="D27" s="232"/>
      <c r="E27" s="6" t="s">
        <v>569</v>
      </c>
      <c r="F27" s="121">
        <v>1300</v>
      </c>
      <c r="G27" s="127" t="s">
        <v>568</v>
      </c>
    </row>
    <row r="28" spans="3:8" ht="16.5" customHeight="1">
      <c r="C28" s="221">
        <v>6</v>
      </c>
      <c r="D28" s="233" t="s">
        <v>570</v>
      </c>
      <c r="E28" s="6" t="s">
        <v>546</v>
      </c>
      <c r="F28" s="121">
        <v>350</v>
      </c>
      <c r="G28" s="127" t="s">
        <v>571</v>
      </c>
    </row>
    <row r="29" spans="3:8" ht="16.5" customHeight="1">
      <c r="C29" s="223"/>
      <c r="D29" s="232"/>
      <c r="E29" s="6" t="s">
        <v>548</v>
      </c>
      <c r="F29" s="128">
        <v>35</v>
      </c>
      <c r="G29" s="127" t="s">
        <v>571</v>
      </c>
    </row>
    <row r="30" spans="3:8" ht="16.5">
      <c r="C30" s="221">
        <v>7</v>
      </c>
      <c r="D30" s="224" t="s">
        <v>572</v>
      </c>
      <c r="E30" s="6" t="s">
        <v>546</v>
      </c>
      <c r="F30" s="121"/>
      <c r="G30" s="127" t="s">
        <v>571</v>
      </c>
    </row>
    <row r="31" spans="3:8" ht="16.5">
      <c r="C31" s="223"/>
      <c r="D31" s="232"/>
      <c r="E31" s="6" t="s">
        <v>548</v>
      </c>
      <c r="F31" s="128"/>
      <c r="G31" s="127" t="s">
        <v>571</v>
      </c>
    </row>
    <row r="32" spans="3:8" ht="16.5">
      <c r="C32" s="221">
        <v>8</v>
      </c>
      <c r="D32" s="224" t="s">
        <v>573</v>
      </c>
      <c r="E32" s="6" t="s">
        <v>574</v>
      </c>
      <c r="F32" s="121"/>
      <c r="G32" s="127" t="s">
        <v>575</v>
      </c>
    </row>
    <row r="33" spans="3:7" ht="16.5">
      <c r="C33" s="223"/>
      <c r="D33" s="232"/>
      <c r="E33" s="6" t="s">
        <v>576</v>
      </c>
      <c r="F33" s="129"/>
      <c r="G33" s="127" t="s">
        <v>577</v>
      </c>
    </row>
    <row r="34" spans="3:7" ht="16.5">
      <c r="C34" s="221">
        <v>9</v>
      </c>
      <c r="D34" s="224" t="s">
        <v>578</v>
      </c>
      <c r="E34" s="6" t="s">
        <v>579</v>
      </c>
      <c r="F34" s="206">
        <v>1.5</v>
      </c>
      <c r="G34" s="127" t="s">
        <v>580</v>
      </c>
    </row>
    <row r="35" spans="3:7" ht="16.5">
      <c r="C35" s="222"/>
      <c r="D35" s="225"/>
      <c r="E35" s="6" t="s">
        <v>581</v>
      </c>
      <c r="F35" s="129">
        <v>2100</v>
      </c>
      <c r="G35" s="127" t="s">
        <v>582</v>
      </c>
    </row>
    <row r="36" spans="3:7" ht="16.5">
      <c r="C36" s="223"/>
      <c r="D36" s="232"/>
      <c r="E36" s="6" t="s">
        <v>583</v>
      </c>
      <c r="F36" s="129">
        <v>2000</v>
      </c>
      <c r="G36" s="127" t="s">
        <v>160</v>
      </c>
    </row>
    <row r="37" spans="3:7" ht="16.5">
      <c r="C37" s="119">
        <v>10</v>
      </c>
      <c r="D37" s="6" t="s">
        <v>584</v>
      </c>
      <c r="E37" s="6" t="s">
        <v>585</v>
      </c>
      <c r="F37" s="130">
        <v>1</v>
      </c>
      <c r="G37" s="127" t="s">
        <v>586</v>
      </c>
    </row>
    <row r="38" spans="3:7" ht="16.5">
      <c r="C38" s="221">
        <v>11</v>
      </c>
      <c r="D38" s="224" t="s">
        <v>587</v>
      </c>
      <c r="E38" s="6" t="s">
        <v>588</v>
      </c>
      <c r="F38" s="129">
        <v>20000</v>
      </c>
      <c r="G38" s="127" t="s">
        <v>589</v>
      </c>
    </row>
    <row r="39" spans="3:7" ht="16.5" customHeight="1">
      <c r="C39" s="222"/>
      <c r="D39" s="225"/>
      <c r="E39" s="6" t="s">
        <v>546</v>
      </c>
      <c r="F39" s="129">
        <v>80000</v>
      </c>
      <c r="G39" s="127" t="s">
        <v>577</v>
      </c>
    </row>
    <row r="40" spans="3:7" ht="16.5">
      <c r="C40" s="222"/>
      <c r="D40" s="225"/>
      <c r="E40" s="6" t="s">
        <v>590</v>
      </c>
      <c r="F40" s="129">
        <v>70000</v>
      </c>
      <c r="G40" s="127" t="s">
        <v>575</v>
      </c>
    </row>
    <row r="41" spans="3:7" ht="16.5">
      <c r="C41" s="223"/>
      <c r="D41" s="232"/>
      <c r="E41" s="6" t="s">
        <v>591</v>
      </c>
      <c r="F41" s="131">
        <v>68000</v>
      </c>
      <c r="G41" s="127" t="s">
        <v>577</v>
      </c>
    </row>
    <row r="42" spans="3:7" ht="16.5">
      <c r="C42" s="132">
        <v>12</v>
      </c>
      <c r="D42" s="133" t="s">
        <v>592</v>
      </c>
      <c r="E42" s="6" t="s">
        <v>592</v>
      </c>
      <c r="F42" s="125">
        <v>1.2</v>
      </c>
      <c r="G42" s="127" t="s">
        <v>593</v>
      </c>
    </row>
    <row r="43" spans="3:7" ht="16.5" hidden="1" customHeight="1">
      <c r="C43" s="221">
        <v>13</v>
      </c>
      <c r="D43" s="224" t="s">
        <v>594</v>
      </c>
      <c r="E43" s="6" t="s">
        <v>595</v>
      </c>
      <c r="F43" s="6" t="s">
        <v>596</v>
      </c>
      <c r="G43" s="134" t="s">
        <v>598</v>
      </c>
    </row>
    <row r="44" spans="3:7" ht="16.5">
      <c r="C44" s="222"/>
      <c r="D44" s="225"/>
      <c r="E44" s="6" t="s">
        <v>599</v>
      </c>
      <c r="F44" s="6" t="s">
        <v>600</v>
      </c>
      <c r="G44" s="134" t="s">
        <v>601</v>
      </c>
    </row>
    <row r="45" spans="3:7" ht="16.5">
      <c r="C45" s="222"/>
      <c r="D45" s="225"/>
      <c r="E45" s="6" t="s">
        <v>602</v>
      </c>
      <c r="F45" s="6" t="s">
        <v>603</v>
      </c>
      <c r="G45" s="134" t="s">
        <v>597</v>
      </c>
    </row>
    <row r="46" spans="3:7" ht="16.5">
      <c r="C46" s="222"/>
      <c r="D46" s="225"/>
      <c r="E46" s="6" t="s">
        <v>604</v>
      </c>
      <c r="F46" s="6" t="s">
        <v>605</v>
      </c>
      <c r="G46" s="134" t="s">
        <v>597</v>
      </c>
    </row>
    <row r="47" spans="3:7" ht="16.5">
      <c r="C47" s="222"/>
      <c r="D47" s="225"/>
      <c r="E47" s="6" t="s">
        <v>606</v>
      </c>
      <c r="F47" s="6" t="s">
        <v>607</v>
      </c>
      <c r="G47" s="134" t="s">
        <v>601</v>
      </c>
    </row>
    <row r="48" spans="3:7" ht="16.5">
      <c r="C48" s="222"/>
      <c r="D48" s="225"/>
      <c r="E48" s="6" t="s">
        <v>608</v>
      </c>
      <c r="F48" s="6" t="s">
        <v>609</v>
      </c>
      <c r="G48" s="134" t="s">
        <v>610</v>
      </c>
    </row>
    <row r="49" spans="3:7" ht="16.5">
      <c r="C49" s="222"/>
      <c r="D49" s="225"/>
      <c r="E49" s="6" t="s">
        <v>611</v>
      </c>
      <c r="F49" s="6" t="s">
        <v>612</v>
      </c>
      <c r="G49" s="134" t="s">
        <v>644</v>
      </c>
    </row>
    <row r="50" spans="3:7" ht="66">
      <c r="C50" s="222"/>
      <c r="D50" s="225"/>
      <c r="E50" s="6" t="s">
        <v>613</v>
      </c>
      <c r="F50" s="135" t="s">
        <v>614</v>
      </c>
      <c r="G50" s="134" t="s">
        <v>615</v>
      </c>
    </row>
    <row r="51" spans="3:7" ht="16.5">
      <c r="C51" s="222"/>
      <c r="D51" s="225"/>
      <c r="E51" s="6" t="s">
        <v>616</v>
      </c>
      <c r="F51" s="6" t="s">
        <v>617</v>
      </c>
      <c r="G51" s="134" t="s">
        <v>597</v>
      </c>
    </row>
    <row r="52" spans="3:7" ht="37.5" customHeight="1">
      <c r="C52" s="222"/>
      <c r="D52" s="225"/>
      <c r="E52" s="6" t="s">
        <v>618</v>
      </c>
      <c r="F52" s="136" t="s">
        <v>619</v>
      </c>
      <c r="G52" s="134" t="s">
        <v>633</v>
      </c>
    </row>
    <row r="53" spans="3:7" ht="16.5">
      <c r="C53" s="222"/>
      <c r="D53" s="225"/>
      <c r="E53" s="6"/>
      <c r="F53" s="136" t="s">
        <v>569</v>
      </c>
      <c r="G53" s="134" t="s">
        <v>597</v>
      </c>
    </row>
    <row r="54" spans="3:7" ht="16.5">
      <c r="C54" s="222"/>
      <c r="D54" s="225"/>
      <c r="E54" s="6"/>
      <c r="F54" s="136" t="s">
        <v>620</v>
      </c>
      <c r="G54" s="134" t="s">
        <v>597</v>
      </c>
    </row>
    <row r="55" spans="3:7" ht="16.5">
      <c r="C55" s="223"/>
      <c r="D55" s="225"/>
      <c r="E55" s="6"/>
      <c r="F55" s="136" t="s">
        <v>621</v>
      </c>
      <c r="G55" s="134" t="s">
        <v>597</v>
      </c>
    </row>
    <row r="56" spans="3:7" ht="16.5">
      <c r="C56" s="119">
        <v>14</v>
      </c>
      <c r="D56" s="137" t="s">
        <v>622</v>
      </c>
      <c r="E56" s="226" t="s">
        <v>646</v>
      </c>
      <c r="F56" s="227"/>
      <c r="G56" s="228"/>
    </row>
    <row r="57" spans="3:7" ht="16.5">
      <c r="C57" s="119">
        <v>15</v>
      </c>
      <c r="D57" s="137" t="s">
        <v>623</v>
      </c>
      <c r="E57" s="226" t="s">
        <v>645</v>
      </c>
      <c r="F57" s="227"/>
      <c r="G57" s="228"/>
    </row>
    <row r="58" spans="3:7">
      <c r="C58" s="138"/>
      <c r="D58" s="139"/>
      <c r="E58" s="139"/>
      <c r="F58" s="140"/>
      <c r="G58" s="141"/>
    </row>
    <row r="59" spans="3:7" ht="99.75" customHeight="1">
      <c r="C59" s="142" t="s">
        <v>624</v>
      </c>
      <c r="D59" s="229" t="s">
        <v>632</v>
      </c>
      <c r="E59" s="230"/>
      <c r="F59" s="230"/>
      <c r="G59" s="231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45" t="s">
        <v>307</v>
      </c>
      <c r="B2" s="247" t="s">
        <v>308</v>
      </c>
      <c r="C2" s="247" t="s">
        <v>309</v>
      </c>
      <c r="D2" s="247" t="s">
        <v>310</v>
      </c>
      <c r="E2" s="247" t="s">
        <v>311</v>
      </c>
      <c r="F2" s="243" t="s">
        <v>312</v>
      </c>
      <c r="G2" s="249" t="s">
        <v>313</v>
      </c>
      <c r="H2" s="247" t="s">
        <v>314</v>
      </c>
      <c r="I2" s="249" t="s">
        <v>315</v>
      </c>
      <c r="J2" s="251" t="s">
        <v>316</v>
      </c>
      <c r="K2" s="247" t="s">
        <v>317</v>
      </c>
      <c r="L2" s="243" t="s">
        <v>318</v>
      </c>
      <c r="M2" s="247" t="s">
        <v>319</v>
      </c>
      <c r="N2" s="247" t="s">
        <v>320</v>
      </c>
      <c r="O2" s="243" t="s">
        <v>321</v>
      </c>
      <c r="P2" s="247" t="s">
        <v>322</v>
      </c>
      <c r="Q2" s="247" t="s">
        <v>323</v>
      </c>
      <c r="R2" s="247"/>
      <c r="S2" s="249" t="s">
        <v>324</v>
      </c>
      <c r="T2" s="255" t="s">
        <v>325</v>
      </c>
      <c r="U2" s="257" t="s">
        <v>326</v>
      </c>
      <c r="V2" s="257" t="s">
        <v>327</v>
      </c>
    </row>
    <row r="3" spans="1:22" ht="17.25" thickBot="1">
      <c r="A3" s="246"/>
      <c r="B3" s="248"/>
      <c r="C3" s="248"/>
      <c r="D3" s="248"/>
      <c r="E3" s="248"/>
      <c r="F3" s="244"/>
      <c r="G3" s="250"/>
      <c r="H3" s="248"/>
      <c r="I3" s="250"/>
      <c r="J3" s="252"/>
      <c r="K3" s="248"/>
      <c r="L3" s="244"/>
      <c r="M3" s="248"/>
      <c r="N3" s="248"/>
      <c r="O3" s="244"/>
      <c r="P3" s="248"/>
      <c r="Q3" s="82" t="s">
        <v>328</v>
      </c>
      <c r="R3" s="82" t="s">
        <v>329</v>
      </c>
      <c r="S3" s="250"/>
      <c r="T3" s="256"/>
      <c r="U3" s="258"/>
      <c r="V3" s="258"/>
    </row>
    <row r="4" spans="1:22" ht="17.25" thickTop="1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53" t="s">
        <v>352</v>
      </c>
      <c r="V10" s="254"/>
    </row>
    <row r="11" spans="1:22" ht="16.5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53" t="s">
        <v>352</v>
      </c>
      <c r="V13" s="254"/>
    </row>
    <row r="14" spans="1:22" ht="16.5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53" t="s">
        <v>352</v>
      </c>
      <c r="V14" s="254"/>
    </row>
    <row r="15" spans="1:22" ht="16.5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53" t="s">
        <v>352</v>
      </c>
      <c r="V15" s="254"/>
    </row>
    <row r="16" spans="1:22" ht="16.5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53" t="s">
        <v>352</v>
      </c>
      <c r="V16" s="254"/>
    </row>
    <row r="17" spans="1:22" ht="16.5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53" t="s">
        <v>352</v>
      </c>
      <c r="V17" s="254"/>
    </row>
    <row r="18" spans="1:22" ht="16.5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53" t="s">
        <v>352</v>
      </c>
      <c r="V18" s="254"/>
    </row>
    <row r="19" spans="1:22" ht="16.5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53" t="s">
        <v>352</v>
      </c>
      <c r="V19" s="254"/>
    </row>
    <row r="20" spans="1:22" ht="16.5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53" t="s">
        <v>352</v>
      </c>
      <c r="V20" s="254"/>
    </row>
    <row r="21" spans="1:22" ht="16.5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53" t="s">
        <v>352</v>
      </c>
      <c r="V21" s="254"/>
    </row>
    <row r="22" spans="1:22" ht="16.5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53" t="s">
        <v>352</v>
      </c>
      <c r="V22" s="254"/>
    </row>
    <row r="23" spans="1:22" ht="16.5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53" t="s">
        <v>352</v>
      </c>
      <c r="V23" s="254"/>
    </row>
    <row r="24" spans="1:22" ht="16.5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53" t="s">
        <v>352</v>
      </c>
      <c r="V24" s="254"/>
    </row>
    <row r="25" spans="1:22" ht="16.5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53" t="s">
        <v>352</v>
      </c>
      <c r="V25" s="254"/>
    </row>
    <row r="26" spans="1:22" ht="16.5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53" t="s">
        <v>352</v>
      </c>
      <c r="V26" s="254"/>
    </row>
    <row r="27" spans="1:22" ht="16.5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53" t="s">
        <v>352</v>
      </c>
      <c r="V27" s="254"/>
    </row>
    <row r="28" spans="1:22" ht="16.5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53" t="s">
        <v>352</v>
      </c>
      <c r="V28" s="254"/>
    </row>
    <row r="29" spans="1:22" ht="16.5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53" t="s">
        <v>352</v>
      </c>
      <c r="V29" s="254"/>
    </row>
    <row r="30" spans="1:22" ht="16.5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53" t="s">
        <v>352</v>
      </c>
      <c r="V30" s="254"/>
    </row>
    <row r="31" spans="1:22" ht="16.5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53" t="s">
        <v>352</v>
      </c>
      <c r="V31" s="254"/>
    </row>
    <row r="32" spans="1:22" ht="16.5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492</v>
      </c>
    </row>
    <row r="42" spans="1:22" ht="16.5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GEN1_SCAN</vt:lpstr>
      <vt:lpstr>설계 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2021-07-27T07:26:59Z</dcterms:modified>
</cp:coreProperties>
</file>