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25_PSA02Y21-0025_포엠테크_삼현단조_단조빌렛가열용전원장치-700kW-1.2kHz\전장설계\"/>
    </mc:Choice>
  </mc:AlternateContent>
  <bookViews>
    <workbookView xWindow="0" yWindow="0" windowWidth="28800" windowHeight="12975" tabRatio="821" activeTab="2"/>
  </bookViews>
  <sheets>
    <sheet name="직렬공진_FM_1kHz CAP적용" sheetId="52" r:id="rId1"/>
    <sheet name="DC인덕터" sheetId="53" r:id="rId2"/>
    <sheet name="설계 결과표" sheetId="47" r:id="rId3"/>
    <sheet name="SW 요청자료" sheetId="48" r:id="rId4"/>
    <sheet name="입력정류부" sheetId="45" r:id="rId5"/>
    <sheet name="LCD 데이터를 이용한 듀티계산" sheetId="50" r:id="rId6"/>
  </sheets>
  <calcPr calcId="152511"/>
</workbook>
</file>

<file path=xl/calcChain.xml><?xml version="1.0" encoding="utf-8"?>
<calcChain xmlns="http://schemas.openxmlformats.org/spreadsheetml/2006/main">
  <c r="AF8" i="52" l="1"/>
  <c r="J34" i="53" l="1"/>
  <c r="H32" i="53"/>
  <c r="C30" i="53"/>
  <c r="H29" i="53"/>
  <c r="C28" i="53"/>
  <c r="H27" i="53"/>
  <c r="N25" i="53"/>
  <c r="H24" i="53"/>
  <c r="H23" i="53"/>
  <c r="H31" i="53" s="1"/>
  <c r="H22" i="53"/>
  <c r="N21" i="53"/>
  <c r="H21" i="53"/>
  <c r="H30" i="53" s="1"/>
  <c r="H16" i="53"/>
  <c r="C13" i="53"/>
  <c r="C14" i="53" s="1"/>
  <c r="R12" i="53"/>
  <c r="H12" i="53"/>
  <c r="H14" i="53" s="1"/>
  <c r="H17" i="53" s="1"/>
  <c r="C12" i="53"/>
  <c r="R11" i="53"/>
  <c r="H10" i="53"/>
  <c r="C8" i="53"/>
  <c r="C10" i="53" s="1"/>
  <c r="C7" i="53"/>
  <c r="G67" i="52"/>
  <c r="E67" i="52"/>
  <c r="G32" i="52"/>
  <c r="G18" i="52"/>
  <c r="G16" i="52"/>
  <c r="G22" i="52" s="1"/>
  <c r="G25" i="52" s="1"/>
  <c r="G10" i="52"/>
  <c r="G37" i="52" s="1"/>
  <c r="G39" i="52" s="1"/>
  <c r="G6" i="52"/>
  <c r="G8" i="52" s="1"/>
  <c r="E32" i="52"/>
  <c r="E18" i="52"/>
  <c r="E16" i="52"/>
  <c r="E22" i="52" s="1"/>
  <c r="E25" i="52" s="1"/>
  <c r="E10" i="52"/>
  <c r="E37" i="52" s="1"/>
  <c r="E39" i="52" s="1"/>
  <c r="E6" i="52"/>
  <c r="E8" i="52" s="1"/>
  <c r="H32" i="52"/>
  <c r="H18" i="52"/>
  <c r="H16" i="52"/>
  <c r="H22" i="52" s="1"/>
  <c r="H25" i="52" s="1"/>
  <c r="H28" i="52" s="1"/>
  <c r="H10" i="52"/>
  <c r="H37" i="52" s="1"/>
  <c r="H39" i="52" s="1"/>
  <c r="H6" i="52"/>
  <c r="H8" i="52" s="1"/>
  <c r="J67" i="52"/>
  <c r="I67" i="52"/>
  <c r="H67" i="52"/>
  <c r="F67" i="52"/>
  <c r="D67" i="52"/>
  <c r="C67" i="52"/>
  <c r="N10" i="53" l="1"/>
  <c r="C20" i="53"/>
  <c r="C16" i="53"/>
  <c r="C26" i="53" s="1"/>
  <c r="C32" i="53" s="1"/>
  <c r="H33" i="53"/>
  <c r="J17" i="53"/>
  <c r="J36" i="53" s="1"/>
  <c r="J19" i="53"/>
  <c r="H25" i="53"/>
  <c r="R15" i="53"/>
  <c r="R18" i="53" s="1"/>
  <c r="R20" i="53" s="1"/>
  <c r="R22" i="53" s="1"/>
  <c r="N13" i="53"/>
  <c r="G28" i="52"/>
  <c r="G21" i="52"/>
  <c r="G54" i="52" s="1"/>
  <c r="G60" i="52" s="1"/>
  <c r="G11" i="52"/>
  <c r="E28" i="52"/>
  <c r="E21" i="52"/>
  <c r="E54" i="52" s="1"/>
  <c r="E11" i="52"/>
  <c r="H21" i="52"/>
  <c r="H24" i="52" s="1"/>
  <c r="H29" i="52"/>
  <c r="H43" i="52"/>
  <c r="H11" i="52"/>
  <c r="C33" i="53" l="1"/>
  <c r="C35" i="53" s="1"/>
  <c r="J25" i="53"/>
  <c r="J28" i="53" s="1"/>
  <c r="C17" i="53"/>
  <c r="R23" i="53"/>
  <c r="J22" i="53" s="1"/>
  <c r="G59" i="52"/>
  <c r="G62" i="52" s="1"/>
  <c r="G53" i="52"/>
  <c r="E59" i="52"/>
  <c r="E62" i="52" s="1"/>
  <c r="E53" i="52"/>
  <c r="E60" i="52"/>
  <c r="H30" i="52"/>
  <c r="H33" i="52" s="1"/>
  <c r="H54" i="52"/>
  <c r="H60" i="52" s="1"/>
  <c r="H23" i="52"/>
  <c r="H26" i="52" s="1"/>
  <c r="H31" i="52" s="1"/>
  <c r="H41" i="52" s="1"/>
  <c r="G43" i="52"/>
  <c r="G30" i="52"/>
  <c r="G29" i="52"/>
  <c r="G24" i="52"/>
  <c r="G23" i="52"/>
  <c r="E24" i="52"/>
  <c r="E23" i="52"/>
  <c r="E29" i="52"/>
  <c r="E43" i="52"/>
  <c r="E30" i="52"/>
  <c r="H44" i="52"/>
  <c r="H45" i="52" s="1"/>
  <c r="H46" i="52" s="1"/>
  <c r="H50" i="52"/>
  <c r="C19" i="53" l="1"/>
  <c r="C36" i="53"/>
  <c r="C38" i="53"/>
  <c r="C39" i="53" s="1"/>
  <c r="C37" i="53"/>
  <c r="H53" i="52"/>
  <c r="H59" i="52"/>
  <c r="H62" i="52" s="1"/>
  <c r="H34" i="52"/>
  <c r="E26" i="52"/>
  <c r="E31" i="52" s="1"/>
  <c r="E41" i="52" s="1"/>
  <c r="E44" i="52"/>
  <c r="E45" i="52" s="1"/>
  <c r="E46" i="52" s="1"/>
  <c r="E50" i="52"/>
  <c r="G44" i="52"/>
  <c r="G45" i="52" s="1"/>
  <c r="G46" i="52" s="1"/>
  <c r="G50" i="52"/>
  <c r="G26" i="52"/>
  <c r="G31" i="52" s="1"/>
  <c r="G41" i="52" s="1"/>
  <c r="G34" i="52"/>
  <c r="G33" i="52"/>
  <c r="E33" i="52"/>
  <c r="E34" i="52"/>
  <c r="H63" i="52"/>
  <c r="H55" i="52"/>
  <c r="E63" i="52" l="1"/>
  <c r="E55" i="52"/>
  <c r="G63" i="52"/>
  <c r="G55" i="52"/>
  <c r="H68" i="52"/>
  <c r="H71" i="52" s="1"/>
  <c r="H69" i="52"/>
  <c r="H72" i="52" s="1"/>
  <c r="H70" i="52"/>
  <c r="H73" i="52" s="1"/>
  <c r="H75" i="52" s="1"/>
  <c r="G68" i="52" l="1"/>
  <c r="G71" i="52" s="1"/>
  <c r="G69" i="52"/>
  <c r="G72" i="52" s="1"/>
  <c r="G70" i="52"/>
  <c r="G73" i="52" s="1"/>
  <c r="G75" i="52" s="1"/>
  <c r="E70" i="52"/>
  <c r="E73" i="52" s="1"/>
  <c r="E75" i="52" s="1"/>
  <c r="E69" i="52"/>
  <c r="E72" i="52" s="1"/>
  <c r="E68" i="52"/>
  <c r="E71" i="52" s="1"/>
  <c r="H92" i="52"/>
  <c r="H77" i="52"/>
  <c r="H81" i="52"/>
  <c r="H87" i="52" s="1"/>
  <c r="H89" i="52"/>
  <c r="H83" i="52"/>
  <c r="H82" i="52"/>
  <c r="H88" i="52"/>
  <c r="H80" i="52"/>
  <c r="H86" i="52" s="1"/>
  <c r="E92" i="52" l="1"/>
  <c r="E77" i="52"/>
  <c r="G92" i="52"/>
  <c r="G77" i="52"/>
  <c r="E82" i="52"/>
  <c r="E88" i="52"/>
  <c r="E80" i="52"/>
  <c r="E86" i="52" s="1"/>
  <c r="G81" i="52"/>
  <c r="G87" i="52" s="1"/>
  <c r="G89" i="52"/>
  <c r="G83" i="52"/>
  <c r="E89" i="52"/>
  <c r="E83" i="52"/>
  <c r="E81" i="52"/>
  <c r="E87" i="52" s="1"/>
  <c r="G80" i="52"/>
  <c r="G86" i="52" s="1"/>
  <c r="G88" i="52"/>
  <c r="G82" i="52"/>
  <c r="AB8" i="52" l="1"/>
  <c r="X72" i="52" l="1"/>
  <c r="X74" i="52" s="1"/>
  <c r="X66" i="52"/>
  <c r="P59" i="52"/>
  <c r="T53" i="52"/>
  <c r="T56" i="52" s="1"/>
  <c r="T58" i="52" s="1"/>
  <c r="P53" i="52"/>
  <c r="T48" i="52"/>
  <c r="X46" i="52"/>
  <c r="P46" i="52"/>
  <c r="P47" i="52" s="1"/>
  <c r="P45" i="52"/>
  <c r="AB41" i="52"/>
  <c r="AB36" i="52"/>
  <c r="P36" i="52"/>
  <c r="AB35" i="52"/>
  <c r="P35" i="52"/>
  <c r="T34" i="52"/>
  <c r="J32" i="52"/>
  <c r="I32" i="52"/>
  <c r="F32" i="52"/>
  <c r="D32" i="52"/>
  <c r="C32" i="52"/>
  <c r="AB30" i="52"/>
  <c r="T30" i="52"/>
  <c r="X27" i="52"/>
  <c r="X31" i="52" s="1"/>
  <c r="X34" i="52" s="1"/>
  <c r="X36" i="52" s="1"/>
  <c r="X38" i="52" s="1"/>
  <c r="AB26" i="52"/>
  <c r="T26" i="52"/>
  <c r="P26" i="52"/>
  <c r="P25" i="52"/>
  <c r="P24" i="52"/>
  <c r="T11" i="52" s="1"/>
  <c r="AB22" i="52"/>
  <c r="T19" i="52"/>
  <c r="J18" i="52"/>
  <c r="I18" i="52"/>
  <c r="F18" i="52"/>
  <c r="D18" i="52"/>
  <c r="C18" i="52"/>
  <c r="J16" i="52"/>
  <c r="I16" i="52"/>
  <c r="F16" i="52"/>
  <c r="D16" i="52"/>
  <c r="C16" i="52"/>
  <c r="C22" i="52" s="1"/>
  <c r="C25" i="52" s="1"/>
  <c r="AB15" i="52"/>
  <c r="AB16" i="52" s="1"/>
  <c r="AB17" i="52" s="1"/>
  <c r="J10" i="52"/>
  <c r="J37" i="52" s="1"/>
  <c r="J39" i="52" s="1"/>
  <c r="I10" i="52"/>
  <c r="I37" i="52" s="1"/>
  <c r="I39" i="52" s="1"/>
  <c r="F10" i="52"/>
  <c r="F37" i="52" s="1"/>
  <c r="F39" i="52" s="1"/>
  <c r="D10" i="52"/>
  <c r="D11" i="52" s="1"/>
  <c r="C10" i="52"/>
  <c r="C37" i="52" s="1"/>
  <c r="C39" i="52" s="1"/>
  <c r="X8" i="52"/>
  <c r="T8" i="52"/>
  <c r="P7" i="52"/>
  <c r="P9" i="52" s="1"/>
  <c r="P14" i="52" s="1"/>
  <c r="T12" i="52" s="1"/>
  <c r="J6" i="52"/>
  <c r="J8" i="52" s="1"/>
  <c r="I6" i="52"/>
  <c r="I8" i="52" s="1"/>
  <c r="F6" i="52"/>
  <c r="F8" i="52" s="1"/>
  <c r="D6" i="52"/>
  <c r="D8" i="52" s="1"/>
  <c r="C6" i="52"/>
  <c r="C8" i="52" s="1"/>
  <c r="J21" i="52" l="1"/>
  <c r="J54" i="52" s="1"/>
  <c r="J60" i="52" s="1"/>
  <c r="T35" i="52"/>
  <c r="P27" i="52"/>
  <c r="D21" i="52"/>
  <c r="P37" i="52"/>
  <c r="P38" i="52" s="1"/>
  <c r="X75" i="52"/>
  <c r="F21" i="52"/>
  <c r="I21" i="52"/>
  <c r="X67" i="52"/>
  <c r="C11" i="52"/>
  <c r="D37" i="52"/>
  <c r="D39" i="52" s="1"/>
  <c r="F11" i="52"/>
  <c r="X50" i="52"/>
  <c r="X53" i="52" s="1"/>
  <c r="X56" i="52" s="1"/>
  <c r="X58" i="52" s="1"/>
  <c r="J22" i="52"/>
  <c r="J25" i="52" s="1"/>
  <c r="J28" i="52" s="1"/>
  <c r="D22" i="52"/>
  <c r="D25" i="52" s="1"/>
  <c r="C28" i="52"/>
  <c r="T13" i="52"/>
  <c r="F22" i="52"/>
  <c r="F25" i="52" s="1"/>
  <c r="I11" i="52"/>
  <c r="X12" i="52"/>
  <c r="X15" i="52" s="1"/>
  <c r="X17" i="52" s="1"/>
  <c r="X19" i="52" s="1"/>
  <c r="C21" i="52"/>
  <c r="C54" i="52" s="1"/>
  <c r="X28" i="52"/>
  <c r="J11" i="52"/>
  <c r="I22" i="52"/>
  <c r="I25" i="52" s="1"/>
  <c r="T38" i="52"/>
  <c r="T39" i="52" s="1"/>
  <c r="T40" i="52" s="1"/>
  <c r="T41" i="52" s="1"/>
  <c r="T42" i="52" s="1"/>
  <c r="X39" i="52"/>
  <c r="X9" i="52"/>
  <c r="X47" i="52"/>
  <c r="J23" i="52" l="1"/>
  <c r="J24" i="52"/>
  <c r="J59" i="52"/>
  <c r="J62" i="52" s="1"/>
  <c r="J53" i="52"/>
  <c r="I23" i="52"/>
  <c r="I54" i="52"/>
  <c r="D23" i="52"/>
  <c r="D54" i="52"/>
  <c r="C60" i="52"/>
  <c r="C59" i="52"/>
  <c r="C62" i="52" s="1"/>
  <c r="C53" i="52"/>
  <c r="F23" i="52"/>
  <c r="F54" i="52"/>
  <c r="D24" i="52"/>
  <c r="I24" i="52"/>
  <c r="I26" i="52" s="1"/>
  <c r="F24" i="52"/>
  <c r="X59" i="52"/>
  <c r="X20" i="52"/>
  <c r="D28" i="52"/>
  <c r="J26" i="52"/>
  <c r="J31" i="52" s="1"/>
  <c r="J41" i="52" s="1"/>
  <c r="J43" i="52"/>
  <c r="J29" i="52"/>
  <c r="J30" i="52"/>
  <c r="C23" i="52"/>
  <c r="C24" i="52"/>
  <c r="C29" i="52"/>
  <c r="C30" i="52"/>
  <c r="C43" i="52"/>
  <c r="F28" i="52"/>
  <c r="I28" i="52"/>
  <c r="D26" i="52" l="1"/>
  <c r="D31" i="52" s="1"/>
  <c r="D41" i="52" s="1"/>
  <c r="F26" i="52"/>
  <c r="F31" i="52" s="1"/>
  <c r="F41" i="52" s="1"/>
  <c r="J44" i="52"/>
  <c r="J45" i="52" s="1"/>
  <c r="J46" i="52" s="1"/>
  <c r="J50" i="52"/>
  <c r="D60" i="52"/>
  <c r="D59" i="52"/>
  <c r="D62" i="52" s="1"/>
  <c r="D53" i="52"/>
  <c r="C44" i="52"/>
  <c r="C45" i="52" s="1"/>
  <c r="C46" i="52" s="1"/>
  <c r="C50" i="52"/>
  <c r="F60" i="52"/>
  <c r="F59" i="52"/>
  <c r="F62" i="52" s="1"/>
  <c r="F53" i="52"/>
  <c r="I59" i="52"/>
  <c r="I62" i="52" s="1"/>
  <c r="I60" i="52"/>
  <c r="I53" i="52"/>
  <c r="D30" i="52"/>
  <c r="D33" i="52" s="1"/>
  <c r="D29" i="52"/>
  <c r="D43" i="52"/>
  <c r="I30" i="52"/>
  <c r="I31" i="52"/>
  <c r="I41" i="52" s="1"/>
  <c r="I43" i="52"/>
  <c r="I29" i="52"/>
  <c r="C33" i="52"/>
  <c r="C34" i="52"/>
  <c r="J34" i="52"/>
  <c r="J33" i="52"/>
  <c r="F30" i="52"/>
  <c r="F29" i="52"/>
  <c r="F43" i="52"/>
  <c r="C26" i="52"/>
  <c r="C31" i="52" s="1"/>
  <c r="C41" i="52" s="1"/>
  <c r="C55" i="52" l="1"/>
  <c r="C63" i="52"/>
  <c r="F44" i="52"/>
  <c r="F45" i="52" s="1"/>
  <c r="F46" i="52" s="1"/>
  <c r="F50" i="52"/>
  <c r="D44" i="52"/>
  <c r="D45" i="52" s="1"/>
  <c r="D46" i="52" s="1"/>
  <c r="D50" i="52"/>
  <c r="I44" i="52"/>
  <c r="I45" i="52" s="1"/>
  <c r="I46" i="52" s="1"/>
  <c r="I50" i="52"/>
  <c r="J63" i="52"/>
  <c r="J55" i="52"/>
  <c r="D34" i="52"/>
  <c r="F33" i="52"/>
  <c r="F34" i="52"/>
  <c r="I34" i="52"/>
  <c r="I33" i="52"/>
  <c r="F63" i="52" l="1"/>
  <c r="F55" i="52"/>
  <c r="D63" i="52"/>
  <c r="D55" i="52"/>
  <c r="C68" i="52"/>
  <c r="C71" i="52" s="1"/>
  <c r="C70" i="52"/>
  <c r="C73" i="52" s="1"/>
  <c r="C75" i="52" s="1"/>
  <c r="C69" i="52"/>
  <c r="C72" i="52" s="1"/>
  <c r="J68" i="52"/>
  <c r="J71" i="52" s="1"/>
  <c r="J69" i="52"/>
  <c r="J72" i="52" s="1"/>
  <c r="J70" i="52"/>
  <c r="J73" i="52" s="1"/>
  <c r="J75" i="52" s="1"/>
  <c r="I63" i="52"/>
  <c r="I55" i="52"/>
  <c r="P18" i="50"/>
  <c r="S18" i="50" s="1"/>
  <c r="T18" i="50" s="1"/>
  <c r="M18" i="50"/>
  <c r="N18" i="50" s="1"/>
  <c r="J18" i="50"/>
  <c r="K18" i="50" s="1"/>
  <c r="P17" i="50"/>
  <c r="S17" i="50" s="1"/>
  <c r="T17" i="50" s="1"/>
  <c r="M17" i="50"/>
  <c r="N17" i="50" s="1"/>
  <c r="J17" i="50"/>
  <c r="K17" i="50" s="1"/>
  <c r="P16" i="50"/>
  <c r="S16" i="50" s="1"/>
  <c r="T16" i="50" s="1"/>
  <c r="M16" i="50"/>
  <c r="N16" i="50" s="1"/>
  <c r="J16" i="50"/>
  <c r="K16" i="50" s="1"/>
  <c r="P15" i="50"/>
  <c r="S15" i="50" s="1"/>
  <c r="T15" i="50" s="1"/>
  <c r="M15" i="50"/>
  <c r="N15" i="50" s="1"/>
  <c r="J15" i="50"/>
  <c r="K15" i="50" s="1"/>
  <c r="P14" i="50"/>
  <c r="S14" i="50" s="1"/>
  <c r="T14" i="50" s="1"/>
  <c r="M14" i="50"/>
  <c r="N14" i="50" s="1"/>
  <c r="J14" i="50"/>
  <c r="K14" i="50" s="1"/>
  <c r="P13" i="50"/>
  <c r="S13" i="50" s="1"/>
  <c r="T13" i="50" s="1"/>
  <c r="M13" i="50"/>
  <c r="N13" i="50" s="1"/>
  <c r="J13" i="50"/>
  <c r="K13" i="50" s="1"/>
  <c r="P12" i="50"/>
  <c r="S12" i="50" s="1"/>
  <c r="T12" i="50" s="1"/>
  <c r="M12" i="50"/>
  <c r="N12" i="50" s="1"/>
  <c r="J12" i="50"/>
  <c r="K12" i="50" s="1"/>
  <c r="P11" i="50"/>
  <c r="S11" i="50" s="1"/>
  <c r="T11" i="50" s="1"/>
  <c r="M11" i="50"/>
  <c r="N11" i="50" s="1"/>
  <c r="J11" i="50"/>
  <c r="K11" i="50" s="1"/>
  <c r="P10" i="50"/>
  <c r="S10" i="50" s="1"/>
  <c r="T10" i="50" s="1"/>
  <c r="M10" i="50"/>
  <c r="N10" i="50" s="1"/>
  <c r="J10" i="50"/>
  <c r="K10" i="50" s="1"/>
  <c r="P9" i="50"/>
  <c r="S9" i="50" s="1"/>
  <c r="T9" i="50" s="1"/>
  <c r="M9" i="50"/>
  <c r="N9" i="50" s="1"/>
  <c r="J9" i="50"/>
  <c r="K9" i="50" s="1"/>
  <c r="P8" i="50"/>
  <c r="S8" i="50" s="1"/>
  <c r="T8" i="50" s="1"/>
  <c r="M8" i="50"/>
  <c r="N8" i="50" s="1"/>
  <c r="J8" i="50"/>
  <c r="K8" i="50" s="1"/>
  <c r="P7" i="50"/>
  <c r="S7" i="50" s="1"/>
  <c r="T7" i="50" s="1"/>
  <c r="M7" i="50"/>
  <c r="N7" i="50" s="1"/>
  <c r="J7" i="50"/>
  <c r="K7" i="50" s="1"/>
  <c r="P6" i="50"/>
  <c r="S6" i="50" s="1"/>
  <c r="T6" i="50" s="1"/>
  <c r="M6" i="50"/>
  <c r="N6" i="50" s="1"/>
  <c r="J6" i="50"/>
  <c r="K6" i="50" s="1"/>
  <c r="P5" i="50"/>
  <c r="S5" i="50" s="1"/>
  <c r="T5" i="50" s="1"/>
  <c r="M5" i="50"/>
  <c r="N5" i="50" s="1"/>
  <c r="J5" i="50"/>
  <c r="K5" i="50" s="1"/>
  <c r="P4" i="50"/>
  <c r="S4" i="50" s="1"/>
  <c r="M4" i="50"/>
  <c r="J4" i="50"/>
  <c r="K4" i="50" s="1"/>
  <c r="C83" i="52" l="1"/>
  <c r="C81" i="52"/>
  <c r="C87" i="52" s="1"/>
  <c r="C89" i="52"/>
  <c r="J92" i="52"/>
  <c r="J77" i="52"/>
  <c r="C92" i="52"/>
  <c r="C77" i="52"/>
  <c r="J88" i="52"/>
  <c r="J82" i="52"/>
  <c r="J80" i="52"/>
  <c r="J86" i="52" s="1"/>
  <c r="I70" i="52"/>
  <c r="I73" i="52" s="1"/>
  <c r="I75" i="52" s="1"/>
  <c r="I68" i="52"/>
  <c r="I71" i="52" s="1"/>
  <c r="I69" i="52"/>
  <c r="I72" i="52" s="1"/>
  <c r="D68" i="52"/>
  <c r="D71" i="52" s="1"/>
  <c r="D69" i="52"/>
  <c r="D72" i="52" s="1"/>
  <c r="D70" i="52"/>
  <c r="D73" i="52" s="1"/>
  <c r="D75" i="52" s="1"/>
  <c r="J83" i="52"/>
  <c r="J81" i="52"/>
  <c r="J87" i="52" s="1"/>
  <c r="J89" i="52"/>
  <c r="C80" i="52"/>
  <c r="C86" i="52" s="1"/>
  <c r="C82" i="52"/>
  <c r="C88" i="52"/>
  <c r="F68" i="52"/>
  <c r="F71" i="52" s="1"/>
  <c r="F69" i="52"/>
  <c r="F72" i="52" s="1"/>
  <c r="F70" i="52"/>
  <c r="F73" i="52" s="1"/>
  <c r="F75" i="52" s="1"/>
  <c r="T4" i="50"/>
  <c r="N4" i="50"/>
  <c r="Q4" i="50"/>
  <c r="Q5" i="50"/>
  <c r="Q6" i="50"/>
  <c r="Q7" i="50"/>
  <c r="Q8" i="50"/>
  <c r="Q9" i="50"/>
  <c r="Q10" i="50"/>
  <c r="Q11" i="50"/>
  <c r="Q12" i="50"/>
  <c r="Q13" i="50"/>
  <c r="Q14" i="50"/>
  <c r="Q15" i="50"/>
  <c r="Q16" i="50"/>
  <c r="Q17" i="50"/>
  <c r="Q18" i="50"/>
  <c r="F89" i="52" l="1"/>
  <c r="F83" i="52"/>
  <c r="F81" i="52"/>
  <c r="F87" i="52" s="1"/>
  <c r="I80" i="52"/>
  <c r="I86" i="52" s="1"/>
  <c r="I82" i="52"/>
  <c r="I88" i="52"/>
  <c r="I77" i="52"/>
  <c r="I92" i="52"/>
  <c r="D80" i="52"/>
  <c r="D86" i="52" s="1"/>
  <c r="D88" i="52"/>
  <c r="D82" i="52"/>
  <c r="D92" i="52"/>
  <c r="D77" i="52"/>
  <c r="F80" i="52"/>
  <c r="F86" i="52" s="1"/>
  <c r="F82" i="52"/>
  <c r="F88" i="52"/>
  <c r="D83" i="52"/>
  <c r="D81" i="52"/>
  <c r="D87" i="52" s="1"/>
  <c r="D89" i="52"/>
  <c r="F92" i="52"/>
  <c r="F77" i="52"/>
  <c r="I89" i="52"/>
  <c r="I81" i="52"/>
  <c r="I87" i="52" s="1"/>
  <c r="I83" i="52"/>
  <c r="F25" i="48"/>
  <c r="F26" i="48" s="1"/>
  <c r="G11" i="48"/>
  <c r="G12" i="48" s="1"/>
  <c r="F11" i="48"/>
  <c r="F12" i="48" s="1"/>
  <c r="F9" i="48"/>
  <c r="J41" i="45" l="1"/>
  <c r="D41" i="45"/>
  <c r="E41" i="45" s="1"/>
  <c r="C41" i="45"/>
  <c r="O41" i="45" s="1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F12" i="45" l="1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</calcChain>
</file>

<file path=xl/sharedStrings.xml><?xml version="1.0" encoding="utf-8"?>
<sst xmlns="http://schemas.openxmlformats.org/spreadsheetml/2006/main" count="1472" uniqueCount="864">
  <si>
    <t>V</t>
    <phoneticPr fontId="3" type="noConversion"/>
  </si>
  <si>
    <t>kW</t>
    <phoneticPr fontId="3" type="noConversion"/>
  </si>
  <si>
    <t>A</t>
    <phoneticPr fontId="3" type="noConversion"/>
  </si>
  <si>
    <t>㎟</t>
  </si>
  <si>
    <t>kHz</t>
    <phoneticPr fontId="3" type="noConversion"/>
  </si>
  <si>
    <t>mJ</t>
    <phoneticPr fontId="3" type="noConversion"/>
  </si>
  <si>
    <t>W</t>
    <phoneticPr fontId="3" type="noConversion"/>
  </si>
  <si>
    <t>%</t>
    <phoneticPr fontId="3" type="noConversion"/>
  </si>
  <si>
    <t>Total Gate Charge</t>
    <phoneticPr fontId="3" type="noConversion"/>
  </si>
  <si>
    <t>게이트 구동손실</t>
    <phoneticPr fontId="3" type="noConversion"/>
  </si>
  <si>
    <t>코일턴수</t>
    <phoneticPr fontId="3" type="noConversion"/>
  </si>
  <si>
    <t>Turns</t>
    <phoneticPr fontId="3" type="noConversion"/>
  </si>
  <si>
    <t>내부직경</t>
    <phoneticPr fontId="3" type="noConversion"/>
  </si>
  <si>
    <t>mm</t>
    <phoneticPr fontId="3" type="noConversion"/>
  </si>
  <si>
    <t>높이</t>
    <phoneticPr fontId="3" type="noConversion"/>
  </si>
  <si>
    <t>uH</t>
    <phoneticPr fontId="3" type="noConversion"/>
  </si>
  <si>
    <t>Vdc</t>
    <phoneticPr fontId="3" type="noConversion"/>
  </si>
  <si>
    <t>Idc</t>
    <phoneticPr fontId="3" type="noConversion"/>
  </si>
  <si>
    <t>Po</t>
    <phoneticPr fontId="3" type="noConversion"/>
  </si>
  <si>
    <t>Tesla</t>
    <phoneticPr fontId="3" type="noConversion"/>
  </si>
  <si>
    <t>일차 최대전압</t>
    <phoneticPr fontId="3" type="noConversion"/>
  </si>
  <si>
    <t>중족단면적</t>
    <phoneticPr fontId="3" type="noConversion"/>
  </si>
  <si>
    <t>cmSq</t>
    <phoneticPr fontId="3" type="noConversion"/>
  </si>
  <si>
    <t>스위칭주파수</t>
    <phoneticPr fontId="3" type="noConversion"/>
  </si>
  <si>
    <t>Hz</t>
    <phoneticPr fontId="3" type="noConversion"/>
  </si>
  <si>
    <t>최소 일차턴수</t>
    <phoneticPr fontId="3" type="noConversion"/>
  </si>
  <si>
    <t>공진콘덴서</t>
    <phoneticPr fontId="3" type="noConversion"/>
  </si>
  <si>
    <t>uF</t>
    <phoneticPr fontId="3" type="noConversion"/>
  </si>
  <si>
    <t>공진인덕터</t>
    <phoneticPr fontId="3" type="noConversion"/>
  </si>
  <si>
    <t>공진주파수</t>
    <phoneticPr fontId="3" type="noConversion"/>
  </si>
  <si>
    <t>Hz (결과)</t>
    <phoneticPr fontId="3" type="noConversion"/>
  </si>
  <si>
    <t>콘덴서</t>
    <phoneticPr fontId="3" type="noConversion"/>
  </si>
  <si>
    <t>uF</t>
  </si>
  <si>
    <t>인가주파수</t>
    <phoneticPr fontId="3" type="noConversion"/>
  </si>
  <si>
    <t>통전전류</t>
    <phoneticPr fontId="3" type="noConversion"/>
  </si>
  <si>
    <t>콘덴서전압</t>
    <phoneticPr fontId="3" type="noConversion"/>
  </si>
  <si>
    <t>폭</t>
    <phoneticPr fontId="3" type="noConversion"/>
  </si>
  <si>
    <t>주파수</t>
    <phoneticPr fontId="3" type="noConversion"/>
  </si>
  <si>
    <t>판사이거리</t>
    <phoneticPr fontId="3" type="noConversion"/>
  </si>
  <si>
    <t>판길이</t>
    <phoneticPr fontId="3" type="noConversion"/>
  </si>
  <si>
    <t>nH</t>
    <phoneticPr fontId="3" type="noConversion"/>
  </si>
  <si>
    <t>Q</t>
    <phoneticPr fontId="3" type="noConversion"/>
  </si>
  <si>
    <t>:1</t>
    <phoneticPr fontId="3" type="noConversion"/>
  </si>
  <si>
    <t>Ptot / IGBT CASE</t>
    <phoneticPr fontId="3" type="noConversion"/>
  </si>
  <si>
    <t>VDC</t>
    <phoneticPr fontId="3" type="noConversion"/>
  </si>
  <si>
    <t>uC</t>
    <phoneticPr fontId="3" type="noConversion"/>
  </si>
  <si>
    <t>W MAX</t>
    <phoneticPr fontId="3" type="noConversion"/>
  </si>
  <si>
    <t>KVA</t>
    <phoneticPr fontId="3" type="noConversion"/>
  </si>
  <si>
    <t>℃</t>
  </si>
  <si>
    <t>EA</t>
    <phoneticPr fontId="3" type="noConversion"/>
  </si>
  <si>
    <t>mm^2</t>
    <phoneticPr fontId="3" type="noConversion"/>
  </si>
  <si>
    <t>Current Density</t>
    <phoneticPr fontId="3" type="noConversion"/>
  </si>
  <si>
    <t>콘덴서값</t>
    <phoneticPr fontId="3" type="noConversion"/>
  </si>
  <si>
    <t>1차 공진전류</t>
    <phoneticPr fontId="3" type="noConversion"/>
  </si>
  <si>
    <t>입력전력</t>
    <phoneticPr fontId="3" type="noConversion"/>
  </si>
  <si>
    <t>공진전압</t>
    <phoneticPr fontId="3" type="noConversion"/>
  </si>
  <si>
    <t>VAC</t>
    <phoneticPr fontId="3" type="noConversion"/>
  </si>
  <si>
    <t>2차공진전류</t>
    <phoneticPr fontId="3" type="noConversion"/>
  </si>
  <si>
    <t>K/W</t>
    <phoneticPr fontId="3" type="noConversion"/>
  </si>
  <si>
    <t>℃</t>
    <phoneticPr fontId="3" type="noConversion"/>
  </si>
  <si>
    <t>냉각수 출수 온도</t>
    <phoneticPr fontId="3" type="noConversion"/>
  </si>
  <si>
    <t>냉각수 유량</t>
    <phoneticPr fontId="3" type="noConversion"/>
  </si>
  <si>
    <t>lpm</t>
    <phoneticPr fontId="3" type="noConversion"/>
  </si>
  <si>
    <t>냉각수 입수 온도 최대</t>
    <phoneticPr fontId="3" type="noConversion"/>
  </si>
  <si>
    <t>입력선전류</t>
    <phoneticPr fontId="3" type="noConversion"/>
  </si>
  <si>
    <t>입력선 단면적</t>
    <phoneticPr fontId="3" type="noConversion"/>
  </si>
  <si>
    <t>병렬</t>
    <phoneticPr fontId="3" type="noConversion"/>
  </si>
  <si>
    <t>직렬</t>
    <phoneticPr fontId="3" type="noConversion"/>
  </si>
  <si>
    <t>R</t>
    <phoneticPr fontId="3" type="noConversion"/>
  </si>
  <si>
    <t>Conduction Loss/Device</t>
    <phoneticPr fontId="3" type="noConversion"/>
  </si>
  <si>
    <t>Total Solid Device Loss</t>
    <phoneticPr fontId="3" type="noConversion"/>
  </si>
  <si>
    <t>공진콘덴서 전압</t>
    <phoneticPr fontId="3" type="noConversion"/>
  </si>
  <si>
    <t>Duty</t>
    <phoneticPr fontId="3" type="noConversion"/>
  </si>
  <si>
    <t>역율</t>
    <phoneticPr fontId="3" type="noConversion"/>
  </si>
  <si>
    <t>A/㎟</t>
    <phoneticPr fontId="3" type="noConversion"/>
  </si>
  <si>
    <t>L</t>
    <phoneticPr fontId="3" type="noConversion"/>
  </si>
  <si>
    <t>C</t>
    <phoneticPr fontId="3" type="noConversion"/>
  </si>
  <si>
    <t>Fr</t>
    <phoneticPr fontId="3" type="noConversion"/>
  </si>
  <si>
    <t>Phase MIN</t>
    <phoneticPr fontId="3" type="noConversion"/>
  </si>
  <si>
    <t>°</t>
    <phoneticPr fontId="3" type="noConversion"/>
  </si>
  <si>
    <t>TAN(Phase MIN)</t>
    <phoneticPr fontId="3" type="noConversion"/>
  </si>
  <si>
    <t>Fs</t>
    <phoneticPr fontId="3" type="noConversion"/>
  </si>
  <si>
    <t>Zl</t>
    <phoneticPr fontId="3" type="noConversion"/>
  </si>
  <si>
    <t>mΩ</t>
    <phoneticPr fontId="3" type="noConversion"/>
  </si>
  <si>
    <t>Zc</t>
    <phoneticPr fontId="3" type="noConversion"/>
  </si>
  <si>
    <t>Z</t>
    <phoneticPr fontId="3" type="noConversion"/>
  </si>
  <si>
    <t>HB/FB</t>
    <phoneticPr fontId="3" type="noConversion"/>
  </si>
  <si>
    <t>Half Bridge = 2, Full Bridge = 1</t>
    <phoneticPr fontId="3" type="noConversion"/>
  </si>
  <si>
    <t>Turn Ratio</t>
    <phoneticPr fontId="3" type="noConversion"/>
  </si>
  <si>
    <t>Vac secondary</t>
    <phoneticPr fontId="3" type="noConversion"/>
  </si>
  <si>
    <t>Ir primary</t>
    <phoneticPr fontId="3" type="noConversion"/>
  </si>
  <si>
    <t>Ir avg</t>
    <phoneticPr fontId="3" type="noConversion"/>
  </si>
  <si>
    <t>Ir avg DC</t>
    <phoneticPr fontId="3" type="noConversion"/>
  </si>
  <si>
    <t>Ir avg DC/Idc</t>
    <phoneticPr fontId="3" type="noConversion"/>
  </si>
  <si>
    <t>출력케이블L값</t>
    <phoneticPr fontId="3" type="noConversion"/>
  </si>
  <si>
    <t>부하 인덕턴스</t>
    <phoneticPr fontId="3" type="noConversion"/>
  </si>
  <si>
    <t>코일 병렬 수</t>
    <phoneticPr fontId="3" type="noConversion"/>
  </si>
  <si>
    <t>무부하 인덕턴스</t>
    <phoneticPr fontId="3" type="noConversion"/>
  </si>
  <si>
    <t>L값 감소율</t>
    <phoneticPr fontId="3" type="noConversion"/>
  </si>
  <si>
    <t>코일 직렬 수</t>
    <phoneticPr fontId="3" type="noConversion"/>
  </si>
  <si>
    <t>IR</t>
    <phoneticPr fontId="3" type="noConversion"/>
  </si>
  <si>
    <t>Qsw-cap</t>
    <phoneticPr fontId="3" type="noConversion"/>
  </si>
  <si>
    <t>COS(Phase MIN)</t>
    <phoneticPr fontId="3" type="noConversion"/>
  </si>
  <si>
    <t>Vac for Irmax at inphase</t>
    <phoneticPr fontId="3" type="noConversion"/>
  </si>
  <si>
    <t>Vac for Irmax with phase</t>
    <phoneticPr fontId="3" type="noConversion"/>
  </si>
  <si>
    <t>Irmax at R</t>
    <phoneticPr fontId="3" type="noConversion"/>
  </si>
  <si>
    <t>코일 L값</t>
    <phoneticPr fontId="3" type="noConversion"/>
  </si>
  <si>
    <t>인버터 출력전류</t>
    <phoneticPr fontId="3" type="noConversion"/>
  </si>
  <si>
    <t>DC LINK C값</t>
    <phoneticPr fontId="3" type="noConversion"/>
  </si>
  <si>
    <t>DC LINK CAP RIPPLE Voltage</t>
    <phoneticPr fontId="3" type="noConversion"/>
  </si>
  <si>
    <t>VDC 평균값</t>
    <phoneticPr fontId="3" type="noConversion"/>
  </si>
  <si>
    <t>DC LINK CAP RIPPLE Current</t>
    <phoneticPr fontId="3" type="noConversion"/>
  </si>
  <si>
    <t>동작주파수</t>
    <phoneticPr fontId="3" type="noConversion"/>
  </si>
  <si>
    <t>DC LINK CAP 리플 함유율(peak to peak)</t>
    <phoneticPr fontId="3" type="noConversion"/>
  </si>
  <si>
    <t>IGBT IC RMS전류</t>
    <phoneticPr fontId="3" type="noConversion"/>
  </si>
  <si>
    <t>파형 및 LCD 확인</t>
    <phoneticPr fontId="3" type="noConversion"/>
  </si>
  <si>
    <t>Switching Frequency</t>
    <phoneticPr fontId="3" type="noConversion"/>
  </si>
  <si>
    <t>DATA SHEET 확인</t>
    <phoneticPr fontId="3" type="noConversion"/>
  </si>
  <si>
    <t>게이트 전압</t>
    <phoneticPr fontId="3" type="noConversion"/>
  </si>
  <si>
    <t>게이트드라이버 전위차(예를 들어 +15V,-10V 일때는 25V)</t>
    <phoneticPr fontId="3" type="noConversion"/>
  </si>
  <si>
    <t>Off Switching Energy</t>
    <phoneticPr fontId="3" type="noConversion"/>
  </si>
  <si>
    <t>DATA SHEET 확인(Switching Current 에 해당하는 Off Switching Energy)</t>
    <phoneticPr fontId="3" type="noConversion"/>
  </si>
  <si>
    <t>On Switching Energy(ZVS)</t>
    <phoneticPr fontId="3" type="noConversion"/>
  </si>
  <si>
    <t>Diode 역방향 회복 Energy(ZVS)</t>
    <phoneticPr fontId="3" type="noConversion"/>
  </si>
  <si>
    <t>IGBT Switching Loss/Device</t>
    <phoneticPr fontId="3" type="noConversion"/>
  </si>
  <si>
    <t>Diode 역방향 회복 손실(ZVS)</t>
    <phoneticPr fontId="3" type="noConversion"/>
  </si>
  <si>
    <t>스너버 손실 비율</t>
  </si>
  <si>
    <t>스너버 없으면 100%, 스너버 최소 손실비율(55% 감소)</t>
    <phoneticPr fontId="3" type="noConversion"/>
  </si>
  <si>
    <t>IGBT Switching Loss/Device_스너버손실비율 포함</t>
    <phoneticPr fontId="3" type="noConversion"/>
  </si>
  <si>
    <t>IC 평균전류</t>
    <phoneticPr fontId="3" type="noConversion"/>
  </si>
  <si>
    <t>IGBT VCE Saturation</t>
    <phoneticPr fontId="3" type="noConversion"/>
  </si>
  <si>
    <t>DATA SHEET 확인(IC 평균전류에 해당하는 Vce saturation 확인)</t>
    <phoneticPr fontId="3" type="noConversion"/>
  </si>
  <si>
    <t>Diode Vf</t>
    <phoneticPr fontId="3" type="noConversion"/>
  </si>
  <si>
    <t>DATA SHEET 확인(IC 평균전류에 해당하는 Diode Vf 확인)</t>
    <phoneticPr fontId="3" type="noConversion"/>
  </si>
  <si>
    <t>위상지연각</t>
    <phoneticPr fontId="3" type="noConversion"/>
  </si>
  <si>
    <t>IGBT Conduction Loss</t>
    <phoneticPr fontId="3" type="noConversion"/>
  </si>
  <si>
    <t>Diode Conduction Loss</t>
    <phoneticPr fontId="3" type="noConversion"/>
  </si>
  <si>
    <t>모듈 Package 당 IGBT(switching device)수량</t>
    <phoneticPr fontId="3" type="noConversion"/>
  </si>
  <si>
    <t>열저항(Junction-Case)-IGBT</t>
    <phoneticPr fontId="3" type="noConversion"/>
  </si>
  <si>
    <t>Case온도(IGBT,Tj=125℃기준)</t>
    <phoneticPr fontId="3" type="noConversion"/>
  </si>
  <si>
    <t>표기된 온도 이상은 사용 불가</t>
    <phoneticPr fontId="3" type="noConversion"/>
  </si>
  <si>
    <t>Case온도(Diode,Tj=125℃기준)</t>
    <phoneticPr fontId="3" type="noConversion"/>
  </si>
  <si>
    <t>Case온도- IGBT  온도차</t>
    <phoneticPr fontId="3" type="noConversion"/>
  </si>
  <si>
    <t>Case온도- Diode 온도차</t>
    <phoneticPr fontId="3" type="noConversion"/>
  </si>
  <si>
    <t>열저항(Case-Heatsink)-IGBT(lPaste = 1 W/(m·K)기준)</t>
    <phoneticPr fontId="3" type="noConversion"/>
  </si>
  <si>
    <t>열저항(Case-Heatsink)-Diode(lPaste = 1 W/(m·K)기준)</t>
    <phoneticPr fontId="3" type="noConversion"/>
  </si>
  <si>
    <t>Heatsink온도-IGBT바닥면 중심</t>
    <phoneticPr fontId="3" type="noConversion"/>
  </si>
  <si>
    <t>Heatsink온도-Diode바닥면 중심</t>
    <phoneticPr fontId="3" type="noConversion"/>
  </si>
  <si>
    <t>Heatsink온도-케이스간 온도차-IGBT</t>
    <phoneticPr fontId="3" type="noConversion"/>
  </si>
  <si>
    <t>Heatsink온도-케이스간 온도차-Diode</t>
    <phoneticPr fontId="3" type="noConversion"/>
  </si>
  <si>
    <t>수냉방열판과의 열저항의 기준이 없어 60℃를 기준으로함</t>
    <phoneticPr fontId="3" type="noConversion"/>
  </si>
  <si>
    <t>유량</t>
    <phoneticPr fontId="3" type="noConversion"/>
  </si>
  <si>
    <t>Vdc 전압</t>
    <phoneticPr fontId="5" type="noConversion"/>
  </si>
  <si>
    <t>Vdc</t>
    <phoneticPr fontId="5" type="noConversion"/>
  </si>
  <si>
    <t>nF</t>
    <phoneticPr fontId="5" type="noConversion"/>
  </si>
  <si>
    <t>스너버 C값(POLE 기준)</t>
    <phoneticPr fontId="4" type="noConversion"/>
  </si>
  <si>
    <t>nF</t>
    <phoneticPr fontId="4" type="noConversion"/>
  </si>
  <si>
    <t>C스너버 보드당 C갯수</t>
    <phoneticPr fontId="5" type="noConversion"/>
  </si>
  <si>
    <t>개</t>
    <phoneticPr fontId="5" type="noConversion"/>
  </si>
  <si>
    <t>VDC 전압</t>
    <phoneticPr fontId="4" type="noConversion"/>
  </si>
  <si>
    <t>V</t>
    <phoneticPr fontId="4" type="noConversion"/>
  </si>
  <si>
    <t>보드를 겹침 수량</t>
    <phoneticPr fontId="5" type="noConversion"/>
  </si>
  <si>
    <t>스위칭전류</t>
    <phoneticPr fontId="4" type="noConversion"/>
  </si>
  <si>
    <t>A</t>
    <phoneticPr fontId="4" type="noConversion"/>
  </si>
  <si>
    <t>상하 고려</t>
    <phoneticPr fontId="5" type="noConversion"/>
  </si>
  <si>
    <t>스위칭시 전압 상승시간</t>
    <phoneticPr fontId="4" type="noConversion"/>
  </si>
  <si>
    <t>ns</t>
    <phoneticPr fontId="4" type="noConversion"/>
  </si>
  <si>
    <t>상하 데드타임</t>
    <phoneticPr fontId="5" type="noConversion"/>
  </si>
  <si>
    <t>us</t>
    <phoneticPr fontId="5" type="noConversion"/>
  </si>
  <si>
    <t>모듈 출력전류</t>
    <phoneticPr fontId="5" type="noConversion"/>
  </si>
  <si>
    <t>Arms</t>
    <phoneticPr fontId="5" type="noConversion"/>
  </si>
  <si>
    <t>운전 모듈 수량</t>
    <phoneticPr fontId="5" type="noConversion"/>
  </si>
  <si>
    <t>대</t>
    <phoneticPr fontId="5" type="noConversion"/>
  </si>
  <si>
    <t>인버터 출력전류</t>
    <phoneticPr fontId="5" type="noConversion"/>
  </si>
  <si>
    <t>정격전류시 상승시간</t>
    <phoneticPr fontId="5" type="noConversion"/>
  </si>
  <si>
    <t>ON-POLE</t>
    <phoneticPr fontId="5" type="noConversion"/>
  </si>
  <si>
    <t>스위칭각</t>
    <phoneticPr fontId="5" type="noConversion"/>
  </si>
  <si>
    <t>deg</t>
    <phoneticPr fontId="5" type="noConversion"/>
  </si>
  <si>
    <t>스위칭 전류</t>
    <phoneticPr fontId="5" type="noConversion"/>
  </si>
  <si>
    <t>A</t>
    <phoneticPr fontId="5" type="noConversion"/>
  </si>
  <si>
    <t>전압 상승 소요시간</t>
    <phoneticPr fontId="5" type="noConversion"/>
  </si>
  <si>
    <t>nsec</t>
    <phoneticPr fontId="5" type="noConversion"/>
  </si>
  <si>
    <t>데드타임 에 맞추기 위한</t>
    <phoneticPr fontId="5" type="noConversion"/>
  </si>
  <si>
    <t>ZVS 모듈 스위칭 전류</t>
    <phoneticPr fontId="5" type="noConversion"/>
  </si>
  <si>
    <t>ZVS 모듈 전류</t>
    <phoneticPr fontId="5" type="noConversion"/>
  </si>
  <si>
    <t>정격전류 대비 율</t>
    <phoneticPr fontId="5" type="noConversion"/>
  </si>
  <si>
    <t>%</t>
    <phoneticPr fontId="5" type="noConversion"/>
  </si>
  <si>
    <t>정격전력 대비 율</t>
    <phoneticPr fontId="5" type="noConversion"/>
  </si>
  <si>
    <t>사용 재료</t>
    <phoneticPr fontId="5" type="noConversion"/>
  </si>
  <si>
    <t>타프피치 동</t>
    <phoneticPr fontId="5" type="noConversion"/>
  </si>
  <si>
    <t>도체 고유전기저항</t>
    <phoneticPr fontId="3" type="noConversion"/>
  </si>
  <si>
    <t>[Ωm×10E-8]</t>
    <phoneticPr fontId="3" type="noConversion"/>
  </si>
  <si>
    <t>도체의 온도저항계수</t>
    <phoneticPr fontId="3" type="noConversion"/>
  </si>
  <si>
    <t>at 20℃</t>
    <phoneticPr fontId="3" type="noConversion"/>
  </si>
  <si>
    <t>도체의 온도</t>
    <phoneticPr fontId="3" type="noConversion"/>
  </si>
  <si>
    <t xml:space="preserve">도체의 산출저항 </t>
    <phoneticPr fontId="3" type="noConversion"/>
  </si>
  <si>
    <t>도체의 산출 전도도</t>
    <phoneticPr fontId="5" type="noConversion"/>
  </si>
  <si>
    <t>[SIMENS/m]</t>
    <phoneticPr fontId="5" type="noConversion"/>
  </si>
  <si>
    <t>비투자율</t>
    <phoneticPr fontId="3" type="noConversion"/>
  </si>
  <si>
    <t>ui</t>
    <phoneticPr fontId="4" type="noConversion"/>
  </si>
  <si>
    <t>[Hz]</t>
    <phoneticPr fontId="3" type="noConversion"/>
  </si>
  <si>
    <t>[mm]</t>
    <phoneticPr fontId="4" type="noConversion"/>
  </si>
  <si>
    <t>&lt;공진 C 계산 공식&gt;</t>
    <phoneticPr fontId="3" type="noConversion"/>
  </si>
  <si>
    <t>전체 탭</t>
    <phoneticPr fontId="3" type="noConversion"/>
  </si>
  <si>
    <t>사용 탭</t>
    <phoneticPr fontId="3" type="noConversion"/>
  </si>
  <si>
    <t>정격 전압</t>
    <phoneticPr fontId="3" type="noConversion"/>
  </si>
  <si>
    <t>정격 전류</t>
    <phoneticPr fontId="3" type="noConversion"/>
  </si>
  <si>
    <t>단위 C 용량</t>
    <phoneticPr fontId="3" type="noConversion"/>
  </si>
  <si>
    <t>사용가능 전압</t>
    <phoneticPr fontId="3" type="noConversion"/>
  </si>
  <si>
    <t>사용가능 전류</t>
    <phoneticPr fontId="3" type="noConversion"/>
  </si>
  <si>
    <t>탭</t>
    <phoneticPr fontId="3" type="noConversion"/>
  </si>
  <si>
    <t>직렬 연결 수량</t>
    <phoneticPr fontId="3" type="noConversion"/>
  </si>
  <si>
    <t>병렬 연결 수량</t>
    <phoneticPr fontId="3" type="noConversion"/>
  </si>
  <si>
    <t>&lt;Q값 계산 공식 :공진 C 기준&gt;</t>
    <phoneticPr fontId="3" type="noConversion"/>
  </si>
  <si>
    <t>&lt;위상각 계산 공식&gt;</t>
    <phoneticPr fontId="3" type="noConversion"/>
  </si>
  <si>
    <t>인버터 관련</t>
    <phoneticPr fontId="3" type="noConversion"/>
  </si>
  <si>
    <t>정류부 관련</t>
    <phoneticPr fontId="3" type="noConversion"/>
  </si>
  <si>
    <t>&lt;트랜스포머 최소 턴수 계산 공식&gt;</t>
    <phoneticPr fontId="3" type="noConversion"/>
  </si>
  <si>
    <t>turn</t>
    <phoneticPr fontId="3" type="noConversion"/>
  </si>
  <si>
    <t>전력</t>
    <phoneticPr fontId="3" type="noConversion"/>
  </si>
  <si>
    <t>입력 선전압</t>
    <phoneticPr fontId="3" type="noConversion"/>
  </si>
  <si>
    <t xml:space="preserve">비고 </t>
    <phoneticPr fontId="3" type="noConversion"/>
  </si>
  <si>
    <t>M/T 1차 구형파 전압으로 얻을 수 있는 AC 전압의 최대값</t>
    <phoneticPr fontId="3" type="noConversion"/>
  </si>
  <si>
    <t>공진 주파수</t>
    <phoneticPr fontId="3" type="noConversion"/>
  </si>
  <si>
    <t>&lt;콘덴서 내전압 계산 공식&gt;</t>
    <phoneticPr fontId="3" type="noConversion"/>
  </si>
  <si>
    <t>&lt;스너버C 용량 적정성 검토 계산 공식&gt;</t>
    <phoneticPr fontId="3" type="noConversion"/>
  </si>
  <si>
    <t>&lt;Dead Time 계산 공식&gt;</t>
    <phoneticPr fontId="3" type="noConversion"/>
  </si>
  <si>
    <t>[mmSQ]</t>
    <phoneticPr fontId="4" type="noConversion"/>
  </si>
  <si>
    <t>[A]</t>
    <phoneticPr fontId="3" type="noConversion"/>
  </si>
  <si>
    <t>[W]</t>
    <phoneticPr fontId="3" type="noConversion"/>
  </si>
  <si>
    <t>Skin Depth</t>
    <phoneticPr fontId="3" type="noConversion"/>
  </si>
  <si>
    <t>배선길이</t>
    <phoneticPr fontId="3" type="noConversion"/>
  </si>
  <si>
    <t>인가전류</t>
    <phoneticPr fontId="3" type="noConversion"/>
  </si>
  <si>
    <t>발열량</t>
    <phoneticPr fontId="3" type="noConversion"/>
  </si>
  <si>
    <t>파이프 외경</t>
    <phoneticPr fontId="3" type="noConversion"/>
  </si>
  <si>
    <t>`</t>
    <phoneticPr fontId="3" type="noConversion"/>
  </si>
  <si>
    <t>가로(외곽)</t>
    <phoneticPr fontId="3" type="noConversion"/>
  </si>
  <si>
    <t>세로(외곽)</t>
    <phoneticPr fontId="3" type="noConversion"/>
  </si>
  <si>
    <t>&lt;Fault 발생시 L에 의한 VDC 상승전압 계산공식&gt;</t>
    <phoneticPr fontId="3" type="noConversion"/>
  </si>
  <si>
    <t>전체 C 용량</t>
    <phoneticPr fontId="3" type="noConversion"/>
  </si>
  <si>
    <t>kw</t>
    <phoneticPr fontId="3" type="noConversion"/>
  </si>
  <si>
    <t>COSθ</t>
    <phoneticPr fontId="3" type="noConversion"/>
  </si>
  <si>
    <t>θ (위상각, Phase)</t>
    <phoneticPr fontId="3" type="noConversion"/>
  </si>
  <si>
    <t>코일 전압(출력케이블 포함)</t>
    <phoneticPr fontId="3" type="noConversion"/>
  </si>
  <si>
    <t>공진콘덴서 기준의 Q값(예상데이터, 측정 및 계산 데이터)</t>
    <phoneticPr fontId="3" type="noConversion"/>
  </si>
  <si>
    <t>Matching Transformer 의 권선비 기입</t>
    <phoneticPr fontId="3" type="noConversion"/>
  </si>
  <si>
    <t>M/T 1차 전류(인버터 출력 전류)</t>
    <phoneticPr fontId="3" type="noConversion"/>
  </si>
  <si>
    <t>공진 전류(코일전류, C/T 1차전류)</t>
    <phoneticPr fontId="3" type="noConversion"/>
  </si>
  <si>
    <t>동작 주파수 (Q값 ,위상각 등에 따라 달라짐)</t>
    <phoneticPr fontId="3" type="noConversion"/>
  </si>
  <si>
    <t>&lt;DC LINK CAPACITOR 리플 전압,전류 계산 공식&gt;</t>
    <phoneticPr fontId="3" type="noConversion"/>
  </si>
  <si>
    <t>인버터의 위상각(DUTY 98%가 될 수있도록 변경, 30~89°범위: 상황에 따라 20°까지 가능)</t>
    <phoneticPr fontId="3" type="noConversion"/>
  </si>
  <si>
    <t>98%정도, Phase MIN 값 을 조정하여 변경</t>
    <phoneticPr fontId="3" type="noConversion"/>
  </si>
  <si>
    <t>단면적</t>
    <phoneticPr fontId="3" type="noConversion"/>
  </si>
  <si>
    <t xml:space="preserve">부스바 폭(너비) </t>
    <phoneticPr fontId="3" type="noConversion"/>
  </si>
  <si>
    <t xml:space="preserve">단면적 </t>
    <phoneticPr fontId="3" type="noConversion"/>
  </si>
  <si>
    <t>Min(스킨뎁스,두께)</t>
    <phoneticPr fontId="3" type="noConversion"/>
  </si>
  <si>
    <t>두께 : 파이프</t>
    <phoneticPr fontId="3" type="noConversion"/>
  </si>
  <si>
    <t xml:space="preserve">두께 : 부스바 </t>
    <phoneticPr fontId="3" type="noConversion"/>
  </si>
  <si>
    <t>&lt;코일 인덕턴스 계산 공식, C/T 및 출력케이블포함&gt;</t>
    <phoneticPr fontId="3" type="noConversion"/>
  </si>
  <si>
    <t>C/T권선비</t>
    <phoneticPr fontId="3" type="noConversion"/>
  </si>
  <si>
    <t>C/T1차 인덕턴스</t>
    <phoneticPr fontId="3" type="noConversion"/>
  </si>
  <si>
    <t>VDC (Fault 발생시 상승전압)</t>
    <phoneticPr fontId="3" type="noConversion"/>
  </si>
  <si>
    <t>VDC (동작: RUN 중)</t>
    <phoneticPr fontId="3" type="noConversion"/>
  </si>
  <si>
    <t>C스너버 개당 C값</t>
    <phoneticPr fontId="5" type="noConversion"/>
  </si>
  <si>
    <t>트랜스포머 권선비</t>
    <phoneticPr fontId="3" type="noConversion"/>
  </si>
  <si>
    <t>열저항(Junction-Case)-Diode</t>
    <phoneticPr fontId="3" type="noConversion"/>
  </si>
  <si>
    <t>&lt;평판 인덕턴스 계산 공식&gt;</t>
    <phoneticPr fontId="3" type="noConversion"/>
  </si>
  <si>
    <t>코일 혹은 C/T 1차측 L값 (측정값 혹은 설계 값)</t>
    <phoneticPr fontId="3" type="noConversion"/>
  </si>
  <si>
    <t>코일의 Q값 (예상값 범위를 입력)</t>
    <phoneticPr fontId="3" type="noConversion"/>
  </si>
  <si>
    <t>Vdc 전압</t>
    <phoneticPr fontId="3" type="noConversion"/>
  </si>
  <si>
    <t>상당 입력 선전류 (차단기 및 FUSE 선정 기준)</t>
    <phoneticPr fontId="3" type="noConversion"/>
  </si>
  <si>
    <t>Idc 전류 (정류다이오드 선정 기준)</t>
    <phoneticPr fontId="3" type="noConversion"/>
  </si>
  <si>
    <t>공진 콘덴서 총 C값 (Fs 및 Fr를 원하는 주파수에 맞게 C값을 조정)</t>
    <phoneticPr fontId="3" type="noConversion"/>
  </si>
  <si>
    <t>기입순서</t>
    <phoneticPr fontId="3" type="noConversion"/>
  </si>
  <si>
    <t>Switching Current(peak)</t>
    <phoneticPr fontId="3" type="noConversion"/>
  </si>
  <si>
    <t>IGBT 병렬 수량</t>
    <phoneticPr fontId="3" type="noConversion"/>
  </si>
  <si>
    <t>IGBT Loss (Total)</t>
    <phoneticPr fontId="3" type="noConversion"/>
  </si>
  <si>
    <t>Diode Loss (Total)</t>
    <phoneticPr fontId="3" type="noConversion"/>
  </si>
  <si>
    <t>IGBT 1EA 당 흐르는 IC RMS 전류</t>
    <phoneticPr fontId="3" type="noConversion"/>
  </si>
  <si>
    <t>IGBT 병렬 연결 수량</t>
    <phoneticPr fontId="3" type="noConversion"/>
  </si>
  <si>
    <t>정현파 기준 PEAK치로 계산 (IC RMS *1.414)</t>
    <phoneticPr fontId="3" type="noConversion"/>
  </si>
  <si>
    <t>Loss %</t>
    <phoneticPr fontId="3" type="noConversion"/>
  </si>
  <si>
    <t>약 30% 이하가 되어야 함</t>
    <phoneticPr fontId="3" type="noConversion"/>
  </si>
  <si>
    <t>SINGLE 모듈: 1, DUAL 모듈: 2(62mm package)</t>
    <phoneticPr fontId="3" type="noConversion"/>
  </si>
  <si>
    <t>Total Loss/Module</t>
    <phoneticPr fontId="3" type="noConversion"/>
  </si>
  <si>
    <t>Zl at Fr</t>
    <phoneticPr fontId="3" type="noConversion"/>
  </si>
  <si>
    <t>Vc Voltage</t>
    <phoneticPr fontId="3" type="noConversion"/>
  </si>
  <si>
    <t>Vl Voltage</t>
    <phoneticPr fontId="3" type="noConversion"/>
  </si>
  <si>
    <t xml:space="preserve">Vac max </t>
    <phoneticPr fontId="3" type="noConversion"/>
  </si>
  <si>
    <t>M/T 2차 구형파 전압으로 얻을 수 있는 AC 전압의 최대값</t>
    <phoneticPr fontId="3" type="noConversion"/>
  </si>
  <si>
    <t>직렬공진회로 설계 시트_FM</t>
    <phoneticPr fontId="3" type="noConversion"/>
  </si>
  <si>
    <t>IGBT 발열량 계산(기초)</t>
    <phoneticPr fontId="3" type="noConversion"/>
  </si>
  <si>
    <t>&lt;평판 커패시턴스 계산 공식&gt;</t>
    <phoneticPr fontId="3" type="noConversion"/>
  </si>
  <si>
    <t>판 면적</t>
    <phoneticPr fontId="3" type="noConversion"/>
  </si>
  <si>
    <t>nF</t>
    <phoneticPr fontId="3" type="noConversion"/>
  </si>
  <si>
    <t>테프론(2.1)</t>
    <phoneticPr fontId="3" type="noConversion"/>
  </si>
  <si>
    <t>내부도체외경</t>
    <phoneticPr fontId="3" type="noConversion"/>
  </si>
  <si>
    <t>절연체두께</t>
    <phoneticPr fontId="3" type="noConversion"/>
  </si>
  <si>
    <t>판사이거리(절연체두께)</t>
    <phoneticPr fontId="3" type="noConversion"/>
  </si>
  <si>
    <t>외부도체내경</t>
    <phoneticPr fontId="3" type="noConversion"/>
  </si>
  <si>
    <t>공기유전율 (ε0)</t>
    <phoneticPr fontId="6" type="noConversion"/>
  </si>
  <si>
    <t>비유전율 (εr)</t>
    <phoneticPr fontId="3" type="noConversion"/>
  </si>
  <si>
    <t>C(단위길이당 1m 당)</t>
    <phoneticPr fontId="3" type="noConversion"/>
  </si>
  <si>
    <t>케이블 길이</t>
    <phoneticPr fontId="3" type="noConversion"/>
  </si>
  <si>
    <t xml:space="preserve">C값 </t>
    <phoneticPr fontId="3" type="noConversion"/>
  </si>
  <si>
    <t>m</t>
    <phoneticPr fontId="3" type="noConversion"/>
  </si>
  <si>
    <t>&lt;동축케이블 커패시턴스 계산 공식&gt;</t>
    <phoneticPr fontId="3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</si>
  <si>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</si>
  <si>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</si>
  <si>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</si>
  <si>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</si>
  <si>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</si>
  <si>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</si>
  <si>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</si>
  <si>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</si>
  <si>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</si>
  <si>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</si>
  <si>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</si>
  <si>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</si>
  <si>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</si>
  <si>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</si>
  <si>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</si>
  <si>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</si>
  <si>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</si>
  <si>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</si>
  <si>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</si>
  <si>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</si>
  <si>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</si>
  <si>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</si>
  <si>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</si>
  <si>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</si>
  <si>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</si>
  <si>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</si>
  <si>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</si>
  <si>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</si>
  <si>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</si>
  <si>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</si>
  <si>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</si>
  <si>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</si>
  <si>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</si>
  <si>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</si>
  <si>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</si>
  <si>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</si>
  <si>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</si>
  <si>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</si>
  <si>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</si>
  <si>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</si>
  <si>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</si>
  <si>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</si>
  <si>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</si>
  <si>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</si>
  <si>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</si>
  <si>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</si>
  <si>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</si>
  <si>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</si>
  <si>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</si>
  <si>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</si>
  <si>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</si>
  <si>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</si>
  <si>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</si>
  <si>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</si>
  <si>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</si>
  <si>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</si>
  <si>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</si>
  <si>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</si>
  <si>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</si>
  <si>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</si>
  <si>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</si>
  <si>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</si>
  <si>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</si>
  <si>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</si>
  <si>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</si>
  <si>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</si>
  <si>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</si>
  <si>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</si>
  <si>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</si>
  <si>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</si>
  <si>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</si>
  <si>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</si>
  <si>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</si>
  <si>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</si>
  <si>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</si>
  <si>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</si>
  <si>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</si>
  <si>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</si>
  <si>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</si>
  <si>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</si>
  <si>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</si>
  <si>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</si>
  <si>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</si>
  <si>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</si>
  <si>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</si>
  <si>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</si>
  <si>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</si>
  <si>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</si>
  <si>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</si>
  <si>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</si>
  <si>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</si>
  <si>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</si>
  <si>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</si>
  <si>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</si>
  <si>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</si>
  <si>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</si>
  <si>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</si>
  <si>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</si>
  <si>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</si>
  <si>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</si>
  <si>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</si>
  <si>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</si>
  <si>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</si>
  <si>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</si>
  <si>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</si>
  <si>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</si>
  <si>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</si>
  <si>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</si>
  <si>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</si>
  <si>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</si>
  <si>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</si>
  <si>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</si>
  <si>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</si>
  <si>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</si>
  <si>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</si>
  <si>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</si>
  <si>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</si>
  <si>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</si>
  <si>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</si>
  <si>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</si>
  <si>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</si>
  <si>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</si>
  <si>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</si>
  <si>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</si>
  <si>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</si>
  <si>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</si>
  <si>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</si>
  <si>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</si>
  <si>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</si>
  <si>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공정</t>
    <phoneticPr fontId="8" type="noConversion"/>
  </si>
  <si>
    <t>전력</t>
    <phoneticPr fontId="8" type="noConversion"/>
  </si>
  <si>
    <t>예상 동작 주파수</t>
    <phoneticPr fontId="8" type="noConversion"/>
  </si>
  <si>
    <t>MCCB</t>
    <phoneticPr fontId="8" type="noConversion"/>
  </si>
  <si>
    <t>FUSE</t>
    <phoneticPr fontId="8" type="noConversion"/>
  </si>
  <si>
    <t xml:space="preserve">DIODE </t>
    <phoneticPr fontId="8" type="noConversion"/>
  </si>
  <si>
    <t>인러쉬 충전 및 과전압보호</t>
    <phoneticPr fontId="8" type="noConversion"/>
  </si>
  <si>
    <t>DC 인덕터</t>
    <phoneticPr fontId="8" type="noConversion"/>
  </si>
  <si>
    <t>전류센싱 션트저항</t>
    <phoneticPr fontId="8" type="noConversion"/>
  </si>
  <si>
    <t>인버팅 소자(IGBT)</t>
    <phoneticPr fontId="8" type="noConversion"/>
  </si>
  <si>
    <t>제어방식</t>
    <phoneticPr fontId="8" type="noConversion"/>
  </si>
  <si>
    <t>PFM (Half Bridge)</t>
    <phoneticPr fontId="8" type="noConversion"/>
  </si>
  <si>
    <t>DC LINK CAPACITOR</t>
    <phoneticPr fontId="8" type="noConversion"/>
  </si>
  <si>
    <t>전류센싱 C/T</t>
    <phoneticPr fontId="8" type="noConversion"/>
  </si>
  <si>
    <t xml:space="preserve">코일 </t>
    <phoneticPr fontId="8" type="noConversion"/>
  </si>
  <si>
    <t>예상 Q값</t>
    <phoneticPr fontId="8" type="noConversion"/>
  </si>
  <si>
    <t>입력 선전류( 마진포함)</t>
    <phoneticPr fontId="8" type="noConversion"/>
  </si>
  <si>
    <t>입력 DC전류</t>
    <phoneticPr fontId="8" type="noConversion"/>
  </si>
  <si>
    <t>인버터 출력전류(M/T 1차)</t>
    <phoneticPr fontId="8" type="noConversion"/>
  </si>
  <si>
    <t>공진전류(공진CAP,출력케이블)</t>
    <phoneticPr fontId="8" type="noConversion"/>
  </si>
  <si>
    <t>비고</t>
    <phoneticPr fontId="8" type="noConversion"/>
  </si>
  <si>
    <t>고객사</t>
    <phoneticPr fontId="8" type="noConversion"/>
  </si>
  <si>
    <t>사용안함</t>
    <phoneticPr fontId="8" type="noConversion"/>
  </si>
  <si>
    <t>주파수[kHz]</t>
    <phoneticPr fontId="3" type="noConversion"/>
  </si>
  <si>
    <t>규소강판[Tesla]</t>
    <phoneticPr fontId="3" type="noConversion"/>
  </si>
  <si>
    <t>아몰퍼스[Tesla]</t>
    <phoneticPr fontId="3" type="noConversion"/>
  </si>
  <si>
    <t>페라이트[Tesla]</t>
    <phoneticPr fontId="3" type="noConversion"/>
  </si>
  <si>
    <t>dT 75~80℃기준</t>
    <phoneticPr fontId="3" type="noConversion"/>
  </si>
  <si>
    <t>dT 60℃기준</t>
    <phoneticPr fontId="3" type="noConversion"/>
  </si>
  <si>
    <t>dT 80℃기준</t>
    <phoneticPr fontId="3" type="noConversion"/>
  </si>
  <si>
    <t>최대자속밀도(온도dT기준)</t>
    <phoneticPr fontId="3" type="noConversion"/>
  </si>
  <si>
    <t>HALF(2)/FULL(1)</t>
    <phoneticPr fontId="3" type="noConversion"/>
  </si>
  <si>
    <t>&lt;코아/주파수별 자속밀도 실험 데이터&gt;</t>
    <phoneticPr fontId="3" type="noConversion"/>
  </si>
  <si>
    <t>규소강판(0.2t, Si 3%)</t>
    <phoneticPr fontId="3" type="noConversion"/>
  </si>
  <si>
    <t>아몰퍼스(50x175xSF)</t>
    <phoneticPr fontId="3" type="noConversion"/>
  </si>
  <si>
    <t>코아 종류</t>
    <phoneticPr fontId="3" type="noConversion"/>
  </si>
  <si>
    <t>&lt;코아 중족 단면적 ( 1조기준, 주사용품)&gt;</t>
    <phoneticPr fontId="3" type="noConversion"/>
  </si>
  <si>
    <t>cm^2</t>
    <phoneticPr fontId="3" type="noConversion"/>
  </si>
  <si>
    <t>UU100</t>
    <phoneticPr fontId="3" type="noConversion"/>
  </si>
  <si>
    <t>UU120</t>
    <phoneticPr fontId="3" type="noConversion"/>
  </si>
  <si>
    <t>UU120C</t>
    <phoneticPr fontId="3" type="noConversion"/>
  </si>
  <si>
    <t>I118+I140 조합</t>
    <phoneticPr fontId="3" type="noConversion"/>
  </si>
  <si>
    <t>중족단면적(Ae)</t>
    <phoneticPr fontId="3" type="noConversion"/>
  </si>
  <si>
    <t>3상 : 0.93, 6상: 0.96 (설계시에는 마진 고려 0.9로 함)</t>
    <phoneticPr fontId="3" type="noConversion"/>
  </si>
  <si>
    <t>uH</t>
  </si>
  <si>
    <t xml:space="preserve">단위길이당 L값 (2EA) </t>
    <phoneticPr fontId="3" type="noConversion"/>
  </si>
  <si>
    <t>수냉케이블 길이 (2EA)</t>
    <phoneticPr fontId="3" type="noConversion"/>
  </si>
  <si>
    <t>수냉케이블 L값 (2EA)</t>
    <phoneticPr fontId="3" type="noConversion"/>
  </si>
  <si>
    <t xml:space="preserve">단위길이당 L값 (4EA) </t>
    <phoneticPr fontId="3" type="noConversion"/>
  </si>
  <si>
    <t>수냉케이블 길이 (4EA)</t>
    <phoneticPr fontId="3" type="noConversion"/>
  </si>
  <si>
    <t>수냉케이블 L값 (4EA)</t>
    <phoneticPr fontId="3" type="noConversion"/>
  </si>
  <si>
    <t>&lt;수냉케이블 L값 계산 공식: 10kHz 기준, 트위스트 하지 않음&gt;</t>
    <phoneticPr fontId="3" type="noConversion"/>
  </si>
  <si>
    <t>&lt;동 부스바(DC) 발열량 계산 공식&gt;</t>
    <phoneticPr fontId="3" type="noConversion"/>
  </si>
  <si>
    <t>&lt;동 부스바(AC) 발열량 계산 공식&gt;</t>
    <phoneticPr fontId="3" type="noConversion"/>
  </si>
  <si>
    <t>&lt;동 파이프(AC) 발열량 계산 공식&gt;</t>
    <phoneticPr fontId="3" type="noConversion"/>
  </si>
  <si>
    <t>&lt;사각 파이프(AC) 발열량 계산 공식&gt;</t>
    <phoneticPr fontId="3" type="noConversion"/>
  </si>
  <si>
    <t>mmSQ당 전류</t>
    <phoneticPr fontId="3" type="noConversion"/>
  </si>
  <si>
    <t>CROWBAR 회로_N1806QK160,N1114</t>
    <phoneticPr fontId="7" type="noConversion"/>
  </si>
  <si>
    <t>&lt;FUSE 용량 계산 공식&gt;</t>
    <phoneticPr fontId="3" type="noConversion"/>
  </si>
  <si>
    <t>입력선전압</t>
    <phoneticPr fontId="3" type="noConversion"/>
  </si>
  <si>
    <t>V 이상</t>
    <phoneticPr fontId="3" type="noConversion"/>
  </si>
  <si>
    <t>A 이상</t>
    <phoneticPr fontId="3" type="noConversion"/>
  </si>
  <si>
    <t>FUSE 정격전압</t>
    <phoneticPr fontId="3" type="noConversion"/>
  </si>
  <si>
    <t>FUSE 정격전류</t>
    <phoneticPr fontId="3" type="noConversion"/>
  </si>
  <si>
    <t>Vin(입력선전압)</t>
    <phoneticPr fontId="3" type="noConversion"/>
  </si>
  <si>
    <t>&lt;컷오프주파수 계산 공식&gt;</t>
    <phoneticPr fontId="3" type="noConversion"/>
  </si>
  <si>
    <t>&lt;직렬공진주파수 계산 공식&gt;</t>
    <phoneticPr fontId="3" type="noConversion"/>
  </si>
  <si>
    <t>코일전류</t>
    <phoneticPr fontId="3" type="noConversion"/>
  </si>
  <si>
    <t>메인 컨트롤 보드</t>
    <phoneticPr fontId="3" type="noConversion"/>
  </si>
  <si>
    <t>게이트 드라이버 보드</t>
    <phoneticPr fontId="3" type="noConversion"/>
  </si>
  <si>
    <t>확장(익스펜션) 보드</t>
    <phoneticPr fontId="3" type="noConversion"/>
  </si>
  <si>
    <t>모듈 컨트롤 보드</t>
    <phoneticPr fontId="3" type="noConversion"/>
  </si>
  <si>
    <t>&lt;DC 인덕터 L값)&gt;</t>
    <phoneticPr fontId="3" type="noConversion"/>
  </si>
  <si>
    <t>규격</t>
    <phoneticPr fontId="3" type="noConversion"/>
  </si>
  <si>
    <t>자재코드</t>
    <phoneticPr fontId="3" type="noConversion"/>
  </si>
  <si>
    <t>L값(360Hz)</t>
    <phoneticPr fontId="3" type="noConversion"/>
  </si>
  <si>
    <t xml:space="preserve">[PSIH-50XF-L1F-V1] </t>
    <phoneticPr fontId="3" type="noConversion"/>
  </si>
  <si>
    <t>LLL00001</t>
    <phoneticPr fontId="9" type="noConversion"/>
  </si>
  <si>
    <t>60uH</t>
    <phoneticPr fontId="9" type="noConversion"/>
  </si>
  <si>
    <t xml:space="preserve">[PSIH-050HF-LO-01] </t>
    <phoneticPr fontId="3" type="noConversion"/>
  </si>
  <si>
    <t>LLL00005</t>
    <phoneticPr fontId="9" type="noConversion"/>
  </si>
  <si>
    <t>[PSIH-100XF-LI-V1]</t>
    <phoneticPr fontId="3" type="noConversion"/>
  </si>
  <si>
    <t xml:space="preserve">[PSIH-200XF-LI-V1] </t>
    <phoneticPr fontId="3" type="noConversion"/>
  </si>
  <si>
    <t xml:space="preserve">[PSIH-400XF-LI-V1]  </t>
    <phoneticPr fontId="3" type="noConversion"/>
  </si>
  <si>
    <t xml:space="preserve">[PSIH-500XF-LI-V2] </t>
    <phoneticPr fontId="3" type="noConversion"/>
  </si>
  <si>
    <t>390uH</t>
    <phoneticPr fontId="9" type="noConversion"/>
  </si>
  <si>
    <t>LLL00060</t>
    <phoneticPr fontId="9" type="noConversion"/>
  </si>
  <si>
    <t>900uH</t>
    <phoneticPr fontId="9" type="noConversion"/>
  </si>
  <si>
    <t>LLL00012</t>
    <phoneticPr fontId="9" type="noConversion"/>
  </si>
  <si>
    <t>630uH</t>
    <phoneticPr fontId="9" type="noConversion"/>
  </si>
  <si>
    <t>LLL00013</t>
    <phoneticPr fontId="9" type="noConversion"/>
  </si>
  <si>
    <t>375uH</t>
    <phoneticPr fontId="9" type="noConversion"/>
  </si>
  <si>
    <t>LLL00051</t>
    <phoneticPr fontId="9" type="noConversion"/>
  </si>
  <si>
    <t>515uH</t>
    <phoneticPr fontId="9" type="noConversion"/>
  </si>
  <si>
    <t>EBB00021</t>
    <phoneticPr fontId="3" type="noConversion"/>
  </si>
  <si>
    <t xml:space="preserve">생산의뢰서 참조 </t>
    <phoneticPr fontId="3" type="noConversion"/>
  </si>
  <si>
    <t>저항+ 크로우바 회로</t>
    <phoneticPr fontId="3" type="noConversion"/>
  </si>
  <si>
    <t>IH PROGRAM SETTING VALUE_Digital</t>
    <phoneticPr fontId="4" type="noConversion"/>
  </si>
  <si>
    <t xml:space="preserve">PROJECT </t>
    <phoneticPr fontId="4" type="noConversion"/>
  </si>
  <si>
    <t>작성일시</t>
    <phoneticPr fontId="4" type="noConversion"/>
  </si>
  <si>
    <t>시운전일시</t>
    <phoneticPr fontId="4" type="noConversion"/>
  </si>
  <si>
    <t>PROGRAM SPECIFICATION</t>
    <phoneticPr fontId="4" type="noConversion"/>
  </si>
  <si>
    <t>CLOCK</t>
    <phoneticPr fontId="4" type="noConversion"/>
  </si>
  <si>
    <t>M</t>
    <phoneticPr fontId="4" type="noConversion"/>
  </si>
  <si>
    <t>SCALE</t>
    <phoneticPr fontId="4" type="noConversion"/>
  </si>
  <si>
    <t>분주</t>
    <phoneticPr fontId="4" type="noConversion"/>
  </si>
  <si>
    <t>ECAP_CLOCK_10HZ</t>
    <phoneticPr fontId="4" type="noConversion"/>
  </si>
  <si>
    <t>FREQUENCY</t>
    <phoneticPr fontId="4" type="noConversion"/>
  </si>
  <si>
    <t>PERIOD</t>
    <phoneticPr fontId="4" type="noConversion"/>
  </si>
  <si>
    <t>HALF PERIOD</t>
    <phoneticPr fontId="4" type="noConversion"/>
  </si>
  <si>
    <t>POWER</t>
    <phoneticPr fontId="4" type="noConversion"/>
  </si>
  <si>
    <t>MAXIMUM</t>
    <phoneticPr fontId="4" type="noConversion"/>
  </si>
  <si>
    <t>kW</t>
    <phoneticPr fontId="4" type="noConversion"/>
  </si>
  <si>
    <t>MINIMUM</t>
    <phoneticPr fontId="4" type="noConversion"/>
  </si>
  <si>
    <t>kW</t>
    <phoneticPr fontId="4" type="noConversion"/>
  </si>
  <si>
    <t>INPUT VOLTAGE</t>
    <phoneticPr fontId="4" type="noConversion"/>
  </si>
  <si>
    <t>VAC</t>
    <phoneticPr fontId="4" type="noConversion"/>
  </si>
  <si>
    <t>Vo MAX</t>
    <phoneticPr fontId="4" type="noConversion"/>
  </si>
  <si>
    <t>INRUSH Voltage</t>
    <phoneticPr fontId="4" type="noConversion"/>
  </si>
  <si>
    <t>UVP</t>
    <phoneticPr fontId="4" type="noConversion"/>
  </si>
  <si>
    <t>전류 센싱</t>
    <phoneticPr fontId="4" type="noConversion"/>
  </si>
  <si>
    <t>SHUNT</t>
    <phoneticPr fontId="4" type="noConversion"/>
  </si>
  <si>
    <t>A/50mV</t>
    <phoneticPr fontId="4" type="noConversion"/>
  </si>
  <si>
    <t>Io OCP</t>
    <phoneticPr fontId="4" type="noConversion"/>
  </si>
  <si>
    <t>공진 전류 센싱</t>
    <phoneticPr fontId="4" type="noConversion"/>
  </si>
  <si>
    <t>RESISTOR</t>
    <phoneticPr fontId="4" type="noConversion"/>
  </si>
  <si>
    <t>Ω</t>
    <phoneticPr fontId="4" type="noConversion"/>
  </si>
  <si>
    <t>PARALLEL</t>
    <phoneticPr fontId="4" type="noConversion"/>
  </si>
  <si>
    <t>개수</t>
    <phoneticPr fontId="4" type="noConversion"/>
  </si>
  <si>
    <t>CT</t>
    <phoneticPr fontId="4" type="noConversion"/>
  </si>
  <si>
    <t>:1</t>
    <phoneticPr fontId="4" type="noConversion"/>
  </si>
  <si>
    <t>IR RMS</t>
    <phoneticPr fontId="4" type="noConversion"/>
  </si>
  <si>
    <t>IR AVG(LCD)</t>
    <phoneticPr fontId="4" type="noConversion"/>
  </si>
  <si>
    <t>A</t>
    <phoneticPr fontId="4" type="noConversion"/>
  </si>
  <si>
    <t>IR OCP</t>
    <phoneticPr fontId="4" type="noConversion"/>
  </si>
  <si>
    <t>AD REF
(4 ~ 20mA)</t>
    <phoneticPr fontId="4" type="noConversion"/>
  </si>
  <si>
    <t xml:space="preserve">kW </t>
    <phoneticPr fontId="4" type="noConversion"/>
  </si>
  <si>
    <t>DA POWER</t>
    <phoneticPr fontId="4" type="noConversion"/>
  </si>
  <si>
    <t>DA FREQUENCY</t>
    <phoneticPr fontId="4" type="noConversion"/>
  </si>
  <si>
    <t>MAXIMUM</t>
    <phoneticPr fontId="4" type="noConversion"/>
  </si>
  <si>
    <t>Hz</t>
    <phoneticPr fontId="4" type="noConversion"/>
  </si>
  <si>
    <t>MINIMUM</t>
    <phoneticPr fontId="4" type="noConversion"/>
  </si>
  <si>
    <t>Hz</t>
    <phoneticPr fontId="4" type="noConversion"/>
  </si>
  <si>
    <t>공진 CAP</t>
    <phoneticPr fontId="4" type="noConversion"/>
  </si>
  <si>
    <t>RESONANT_CAP</t>
    <phoneticPr fontId="4" type="noConversion"/>
  </si>
  <si>
    <t xml:space="preserve">uF </t>
    <phoneticPr fontId="4" type="noConversion"/>
  </si>
  <si>
    <t>VOLTAGE</t>
    <phoneticPr fontId="4" type="noConversion"/>
  </si>
  <si>
    <t>V</t>
    <phoneticPr fontId="4" type="noConversion"/>
  </si>
  <si>
    <t>SET_Vr</t>
    <phoneticPr fontId="4" type="noConversion"/>
  </si>
  <si>
    <t>M/T</t>
    <phoneticPr fontId="4" type="noConversion"/>
  </si>
  <si>
    <t>SET_TURN_RATIO</t>
  </si>
  <si>
    <t>:1</t>
    <phoneticPr fontId="4" type="noConversion"/>
  </si>
  <si>
    <t>동작 주파수</t>
    <phoneticPr fontId="4" type="noConversion"/>
  </si>
  <si>
    <t>MINIMUM</t>
    <phoneticPr fontId="4" type="noConversion"/>
  </si>
  <si>
    <t>Hz</t>
    <phoneticPr fontId="4" type="noConversion"/>
  </si>
  <si>
    <t>START FREQUENCY</t>
    <phoneticPr fontId="4" type="noConversion"/>
  </si>
  <si>
    <t>PWM FREQUENCY</t>
    <phoneticPr fontId="4" type="noConversion"/>
  </si>
  <si>
    <t>DEAD TIME</t>
    <phoneticPr fontId="4" type="noConversion"/>
  </si>
  <si>
    <t xml:space="preserve">uS </t>
    <phoneticPr fontId="4" type="noConversion"/>
  </si>
  <si>
    <t>EXT FAULT</t>
    <phoneticPr fontId="4" type="noConversion"/>
  </si>
  <si>
    <t>FLT1</t>
    <phoneticPr fontId="4" type="noConversion"/>
  </si>
  <si>
    <t>DOOR OPEN</t>
    <phoneticPr fontId="4" type="noConversion"/>
  </si>
  <si>
    <t>○</t>
    <phoneticPr fontId="4" type="noConversion"/>
  </si>
  <si>
    <t>○</t>
    <phoneticPr fontId="4" type="noConversion"/>
  </si>
  <si>
    <t>FLT2</t>
  </si>
  <si>
    <t>OPP CAP</t>
    <phoneticPr fontId="4" type="noConversion"/>
  </si>
  <si>
    <t>○</t>
    <phoneticPr fontId="4" type="noConversion"/>
  </si>
  <si>
    <t>FLT3</t>
  </si>
  <si>
    <t>OTP WATER</t>
    <phoneticPr fontId="4" type="noConversion"/>
  </si>
  <si>
    <t>FLT4</t>
  </si>
  <si>
    <t>FLOW WATER</t>
    <phoneticPr fontId="4" type="noConversion"/>
  </si>
  <si>
    <t>FLT5</t>
  </si>
  <si>
    <t>MA/CB AUX</t>
    <phoneticPr fontId="4" type="noConversion"/>
  </si>
  <si>
    <t>FLT6</t>
  </si>
  <si>
    <t>SPARE</t>
    <phoneticPr fontId="4" type="noConversion"/>
  </si>
  <si>
    <t>FLT7</t>
  </si>
  <si>
    <t>LEAK WATER</t>
    <phoneticPr fontId="4" type="noConversion"/>
  </si>
  <si>
    <t>FLT8</t>
    <phoneticPr fontId="3" type="noConversion"/>
  </si>
  <si>
    <t>COIL TOUCH(열처리)
GOUND LEAK(용해로)</t>
    <phoneticPr fontId="3" type="noConversion"/>
  </si>
  <si>
    <t>○</t>
    <phoneticPr fontId="3" type="noConversion"/>
  </si>
  <si>
    <t>FLT9</t>
    <phoneticPr fontId="4" type="noConversion"/>
  </si>
  <si>
    <t>FUSE OPEN</t>
    <phoneticPr fontId="4" type="noConversion"/>
  </si>
  <si>
    <t>FLT10</t>
    <phoneticPr fontId="4" type="noConversion"/>
  </si>
  <si>
    <t>OVGR</t>
    <phoneticPr fontId="4" type="noConversion"/>
  </si>
  <si>
    <t>IIN OCP</t>
    <phoneticPr fontId="4" type="noConversion"/>
  </si>
  <si>
    <t>MD FAULT</t>
    <phoneticPr fontId="4" type="noConversion"/>
  </si>
  <si>
    <t>CONTROL MODE</t>
    <phoneticPr fontId="4" type="noConversion"/>
  </si>
  <si>
    <t>FM</t>
    <phoneticPr fontId="4" type="noConversion"/>
  </si>
  <si>
    <t>공진회로</t>
    <phoneticPr fontId="4" type="noConversion"/>
  </si>
  <si>
    <t>직렬공진회로(Half Bridge)</t>
    <phoneticPr fontId="4" type="noConversion"/>
  </si>
  <si>
    <t>특이 사항</t>
    <phoneticPr fontId="4" type="noConversion"/>
  </si>
  <si>
    <t>실제 CURRENT (MAX)</t>
    <phoneticPr fontId="4" type="noConversion"/>
  </si>
  <si>
    <t>빌렛히터_열간단조_탄소강(합금강)</t>
    <phoneticPr fontId="8" type="noConversion"/>
  </si>
  <si>
    <t>IMH3HD12</t>
    <phoneticPr fontId="3" type="noConversion"/>
  </si>
  <si>
    <t>ok</t>
    <phoneticPr fontId="3" type="noConversion"/>
  </si>
  <si>
    <t xml:space="preserve">[DD600N16K] 1600V 1150A(3EA) </t>
    <phoneticPr fontId="8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</si>
  <si>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</si>
  <si>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</si>
  <si>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</si>
  <si>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</si>
  <si>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</si>
  <si>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</si>
  <si>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</si>
  <si>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</si>
  <si>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</si>
  <si>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</si>
  <si>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</si>
  <si>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</si>
  <si>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</si>
  <si>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</si>
  <si>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</si>
  <si>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</si>
  <si>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</si>
  <si>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</si>
  <si>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</si>
  <si>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</si>
  <si>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공진 CAP 구조</t>
    <phoneticPr fontId="4" type="noConversion"/>
  </si>
  <si>
    <r>
      <t>o</t>
    </r>
    <r>
      <rPr>
        <sz val="11"/>
        <rFont val="돋움"/>
        <family val="3"/>
        <charset val="129"/>
      </rPr>
      <t>k</t>
    </r>
    <phoneticPr fontId="3" type="noConversion"/>
  </si>
  <si>
    <t>50파이 냉_온재</t>
    <phoneticPr fontId="3" type="noConversion"/>
  </si>
  <si>
    <t>60파이 냉_온재</t>
    <phoneticPr fontId="3" type="noConversion"/>
  </si>
  <si>
    <t>80파이 냉_온재</t>
    <phoneticPr fontId="3" type="noConversion"/>
  </si>
  <si>
    <t>90파이 냉_온재</t>
    <phoneticPr fontId="3" type="noConversion"/>
  </si>
  <si>
    <t>100파이 냉_온재</t>
    <phoneticPr fontId="3" type="noConversion"/>
  </si>
  <si>
    <t>120파이 냉_온재</t>
    <phoneticPr fontId="3" type="noConversion"/>
  </si>
  <si>
    <t>포엠테크</t>
    <phoneticPr fontId="8" type="noConversion"/>
  </si>
  <si>
    <t>700kW</t>
    <phoneticPr fontId="8" type="noConversion"/>
  </si>
  <si>
    <t>1.2kHz</t>
    <phoneticPr fontId="8" type="noConversion"/>
  </si>
  <si>
    <t>DC 초크 인덕터 설계 시트</t>
    <phoneticPr fontId="3" type="noConversion"/>
  </si>
  <si>
    <t>Pin</t>
    <phoneticPr fontId="3" type="noConversion"/>
  </si>
  <si>
    <t>kW</t>
    <phoneticPr fontId="3" type="noConversion"/>
  </si>
  <si>
    <t>Vin[V]</t>
    <phoneticPr fontId="3" type="noConversion"/>
  </si>
  <si>
    <t>V</t>
    <phoneticPr fontId="3" type="noConversion"/>
  </si>
  <si>
    <t>규소 강판(0.3T적용, 30PNF1600: 포스코 무방향성), Bmax 1.56, 점적율 94.5%</t>
    <phoneticPr fontId="3" type="noConversion"/>
  </si>
  <si>
    <t>Vripple factor</t>
    <phoneticPr fontId="3" type="noConversion"/>
  </si>
  <si>
    <t>a</t>
    <phoneticPr fontId="3" type="noConversion"/>
  </si>
  <si>
    <t>mm</t>
    <phoneticPr fontId="3" type="noConversion"/>
  </si>
  <si>
    <t xml:space="preserve">권선 파이프 </t>
    <phoneticPr fontId="3" type="noConversion"/>
  </si>
  <si>
    <t>19파이 2t</t>
    <phoneticPr fontId="3" type="noConversion"/>
  </si>
  <si>
    <t>&lt;동 파이프 발열량 계산 공식&gt;</t>
    <phoneticPr fontId="3" type="noConversion"/>
  </si>
  <si>
    <t>Vaverage</t>
    <phoneticPr fontId="3" type="noConversion"/>
  </si>
  <si>
    <t>b</t>
    <phoneticPr fontId="3" type="noConversion"/>
  </si>
  <si>
    <t>권선 단면적</t>
    <phoneticPr fontId="3" type="noConversion"/>
  </si>
  <si>
    <t>mm^2</t>
    <phoneticPr fontId="3" type="noConversion"/>
  </si>
  <si>
    <t>사용 재료</t>
    <phoneticPr fontId="4" type="noConversion"/>
  </si>
  <si>
    <t>타프피치 동</t>
    <phoneticPr fontId="4" type="noConversion"/>
  </si>
  <si>
    <t>Duty Ratio</t>
    <phoneticPr fontId="3" type="noConversion"/>
  </si>
  <si>
    <t>%</t>
    <phoneticPr fontId="3" type="noConversion"/>
  </si>
  <si>
    <t>c</t>
    <phoneticPr fontId="3" type="noConversion"/>
  </si>
  <si>
    <t>mm</t>
    <phoneticPr fontId="3" type="noConversion"/>
  </si>
  <si>
    <t>층당 권선수</t>
    <phoneticPr fontId="3" type="noConversion"/>
  </si>
  <si>
    <t>turn</t>
    <phoneticPr fontId="3" type="noConversion"/>
  </si>
  <si>
    <t>도체 고유전기저항</t>
    <phoneticPr fontId="3" type="noConversion"/>
  </si>
  <si>
    <t>[Ωm×10E-8]</t>
    <phoneticPr fontId="3" type="noConversion"/>
  </si>
  <si>
    <t>Frequency</t>
    <phoneticPr fontId="3" type="noConversion"/>
  </si>
  <si>
    <t>Hz</t>
    <phoneticPr fontId="3" type="noConversion"/>
  </si>
  <si>
    <t>d</t>
    <phoneticPr fontId="3" type="noConversion"/>
  </si>
  <si>
    <t xml:space="preserve">권선층 </t>
    <phoneticPr fontId="3" type="noConversion"/>
  </si>
  <si>
    <t>층</t>
    <phoneticPr fontId="3" type="noConversion"/>
  </si>
  <si>
    <t>도체의 온도저항계수</t>
    <phoneticPr fontId="3" type="noConversion"/>
  </si>
  <si>
    <t>at 20℃</t>
    <phoneticPr fontId="3" type="noConversion"/>
  </si>
  <si>
    <t>Ton</t>
    <phoneticPr fontId="3" type="noConversion"/>
  </si>
  <si>
    <t>ms</t>
    <phoneticPr fontId="3" type="noConversion"/>
  </si>
  <si>
    <t>e</t>
    <phoneticPr fontId="3" type="noConversion"/>
  </si>
  <si>
    <t>전류 밀도</t>
    <phoneticPr fontId="3" type="noConversion"/>
  </si>
  <si>
    <t>A/mm^2</t>
    <phoneticPr fontId="3" type="noConversion"/>
  </si>
  <si>
    <t>도체의 온도</t>
    <phoneticPr fontId="3" type="noConversion"/>
  </si>
  <si>
    <t>Vin,min %</t>
    <phoneticPr fontId="3" type="noConversion"/>
  </si>
  <si>
    <t xml:space="preserve">도체의 산출저항 </t>
    <phoneticPr fontId="3" type="noConversion"/>
  </si>
  <si>
    <t>[Ωm×10E-8]</t>
    <phoneticPr fontId="3" type="noConversion"/>
  </si>
  <si>
    <t>Vin,min</t>
    <phoneticPr fontId="3" type="noConversion"/>
  </si>
  <si>
    <t xml:space="preserve">c+gap paper </t>
    <phoneticPr fontId="3" type="noConversion"/>
  </si>
  <si>
    <t>측정값 검증</t>
    <phoneticPr fontId="3" type="noConversion"/>
  </si>
  <si>
    <t>도체의 산출 전도도</t>
    <phoneticPr fontId="4" type="noConversion"/>
  </si>
  <si>
    <t>[SIMENS/m]</t>
    <phoneticPr fontId="4" type="noConversion"/>
  </si>
  <si>
    <t>Vdc,min</t>
    <phoneticPr fontId="3" type="noConversion"/>
  </si>
  <si>
    <t>점적율</t>
    <phoneticPr fontId="3" type="noConversion"/>
  </si>
  <si>
    <t>%</t>
    <phoneticPr fontId="3" type="noConversion"/>
  </si>
  <si>
    <t>V*Ton</t>
    <phoneticPr fontId="3" type="noConversion"/>
  </si>
  <si>
    <t>V*ms</t>
    <phoneticPr fontId="3" type="noConversion"/>
  </si>
  <si>
    <t>비투자율</t>
    <phoneticPr fontId="3" type="noConversion"/>
  </si>
  <si>
    <t>ui</t>
    <phoneticPr fontId="4" type="noConversion"/>
  </si>
  <si>
    <t>Iin,dc</t>
    <phoneticPr fontId="3" type="noConversion"/>
  </si>
  <si>
    <t>A</t>
    <phoneticPr fontId="3" type="noConversion"/>
  </si>
  <si>
    <t>f</t>
    <phoneticPr fontId="3" type="noConversion"/>
  </si>
  <si>
    <t>주파수</t>
    <phoneticPr fontId="3" type="noConversion"/>
  </si>
  <si>
    <t>[Hz]</t>
    <phoneticPr fontId="3" type="noConversion"/>
  </si>
  <si>
    <t>DC 전류</t>
    <phoneticPr fontId="29" type="noConversion"/>
  </si>
  <si>
    <t>Ripple</t>
    <phoneticPr fontId="3" type="noConversion"/>
  </si>
  <si>
    <t xml:space="preserve">고정홀 </t>
    <phoneticPr fontId="3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</si>
  <si>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m</t>
    </r>
    <phoneticPr fontId="3" type="noConversion"/>
  </si>
  <si>
    <t>Skin Depth</t>
    <phoneticPr fontId="3" type="noConversion"/>
  </si>
  <si>
    <t>[mm]</t>
    <phoneticPr fontId="4" type="noConversion"/>
  </si>
  <si>
    <t>Iripple</t>
    <phoneticPr fontId="3" type="noConversion"/>
  </si>
  <si>
    <t>A</t>
    <phoneticPr fontId="3" type="noConversion"/>
  </si>
  <si>
    <t>유효단면적</t>
    <phoneticPr fontId="3" type="noConversion"/>
  </si>
  <si>
    <t>cm^2</t>
    <phoneticPr fontId="3" type="noConversion"/>
  </si>
  <si>
    <t>코아 단가</t>
    <phoneticPr fontId="3" type="noConversion"/>
  </si>
  <si>
    <t>배선길이</t>
    <phoneticPr fontId="3" type="noConversion"/>
  </si>
  <si>
    <t>Inductance</t>
    <phoneticPr fontId="3" type="noConversion"/>
  </si>
  <si>
    <t>mH</t>
    <phoneticPr fontId="3" type="noConversion"/>
  </si>
  <si>
    <t>중량</t>
    <phoneticPr fontId="3" type="noConversion"/>
  </si>
  <si>
    <t>Kg</t>
    <phoneticPr fontId="3" type="noConversion"/>
  </si>
  <si>
    <t>만원</t>
    <phoneticPr fontId="3" type="noConversion"/>
  </si>
  <si>
    <t>두께 : 파이프</t>
    <phoneticPr fontId="3" type="noConversion"/>
  </si>
  <si>
    <t>[mm]</t>
    <phoneticPr fontId="4" type="noConversion"/>
  </si>
  <si>
    <t>Frequency Cut Off</t>
    <phoneticPr fontId="3" type="noConversion"/>
  </si>
  <si>
    <t>Hz</t>
    <phoneticPr fontId="3" type="noConversion"/>
  </si>
  <si>
    <t>철손</t>
    <phoneticPr fontId="3" type="noConversion"/>
  </si>
  <si>
    <t>&lt;Cut-off frequency&gt;</t>
    <phoneticPr fontId="29" type="noConversion"/>
  </si>
  <si>
    <t>Min(스킨뎁스,두께)</t>
    <phoneticPr fontId="3" type="noConversion"/>
  </si>
  <si>
    <t>DC Capacitor</t>
    <phoneticPr fontId="3" type="noConversion"/>
  </si>
  <si>
    <t>uF</t>
    <phoneticPr fontId="3" type="noConversion"/>
  </si>
  <si>
    <t>W</t>
    <phoneticPr fontId="3" type="noConversion"/>
  </si>
  <si>
    <t>dc콘덴서</t>
    <phoneticPr fontId="3" type="noConversion"/>
  </si>
  <si>
    <t>uF</t>
    <phoneticPr fontId="3" type="noConversion"/>
  </si>
  <si>
    <t>파이프 외경</t>
    <phoneticPr fontId="3" type="noConversion"/>
  </si>
  <si>
    <t>Saturation Current</t>
    <phoneticPr fontId="3" type="noConversion"/>
  </si>
  <si>
    <t>dc인덕터</t>
    <phoneticPr fontId="3" type="noConversion"/>
  </si>
  <si>
    <t>uH</t>
    <phoneticPr fontId="3" type="noConversion"/>
  </si>
  <si>
    <t xml:space="preserve">단면적 </t>
    <phoneticPr fontId="3" type="noConversion"/>
  </si>
  <si>
    <t>[mmSQ]</t>
    <phoneticPr fontId="4" type="noConversion"/>
  </si>
  <si>
    <t>AP(Area Product)</t>
    <phoneticPr fontId="3" type="noConversion"/>
  </si>
  <si>
    <t>cm^4</t>
    <phoneticPr fontId="3" type="noConversion"/>
  </si>
  <si>
    <t>동손</t>
    <phoneticPr fontId="3" type="noConversion"/>
  </si>
  <si>
    <t>cut-off주파수</t>
    <phoneticPr fontId="3" type="noConversion"/>
  </si>
  <si>
    <t>Hz (결과)</t>
    <phoneticPr fontId="3" type="noConversion"/>
  </si>
  <si>
    <t>인가전류</t>
    <phoneticPr fontId="3" type="noConversion"/>
  </si>
  <si>
    <t>[A]</t>
    <phoneticPr fontId="3" type="noConversion"/>
  </si>
  <si>
    <t>Bmax</t>
    <phoneticPr fontId="3" type="noConversion"/>
  </si>
  <si>
    <t>Tesla</t>
    <phoneticPr fontId="3" type="noConversion"/>
  </si>
  <si>
    <t>MLT(Mean Length of Turn)</t>
    <phoneticPr fontId="3" type="noConversion"/>
  </si>
  <si>
    <t>cm</t>
    <phoneticPr fontId="3" type="noConversion"/>
  </si>
  <si>
    <t>&lt;Cut-off frequency&gt;</t>
    <phoneticPr fontId="29" type="noConversion"/>
  </si>
  <si>
    <t>mmSQ당 전류</t>
    <phoneticPr fontId="3" type="noConversion"/>
  </si>
  <si>
    <t>[A]</t>
    <phoneticPr fontId="3" type="noConversion"/>
  </si>
  <si>
    <t>Temperature Rise</t>
    <phoneticPr fontId="3" type="noConversion"/>
  </si>
  <si>
    <t>Ac(Core Area)</t>
    <phoneticPr fontId="3" type="noConversion"/>
  </si>
  <si>
    <t>cm^2</t>
    <phoneticPr fontId="3" type="noConversion"/>
  </si>
  <si>
    <t>발열량(동손)</t>
    <phoneticPr fontId="3" type="noConversion"/>
  </si>
  <si>
    <t>[W]</t>
    <phoneticPr fontId="3" type="noConversion"/>
  </si>
  <si>
    <t>Core</t>
    <phoneticPr fontId="3" type="noConversion"/>
  </si>
  <si>
    <t>Silicon</t>
    <phoneticPr fontId="3" type="noConversion"/>
  </si>
  <si>
    <t>Wa(Window Area)</t>
    <phoneticPr fontId="3" type="noConversion"/>
  </si>
  <si>
    <t>손실 합계</t>
    <phoneticPr fontId="3" type="noConversion"/>
  </si>
  <si>
    <t>uH</t>
    <phoneticPr fontId="3" type="noConversion"/>
  </si>
  <si>
    <t>Core Configuration</t>
    <phoneticPr fontId="3" type="noConversion"/>
  </si>
  <si>
    <t>I core</t>
    <phoneticPr fontId="3" type="noConversion"/>
  </si>
  <si>
    <t>At(Area of Core surface)</t>
    <phoneticPr fontId="3" type="noConversion"/>
  </si>
  <si>
    <t>cut-off주파수</t>
    <phoneticPr fontId="3" type="noConversion"/>
  </si>
  <si>
    <t>dB</t>
    <phoneticPr fontId="3" type="noConversion"/>
  </si>
  <si>
    <t>&lt;소선 단가&gt;</t>
    <phoneticPr fontId="29" type="noConversion"/>
  </si>
  <si>
    <t>코아</t>
    <phoneticPr fontId="3" type="noConversion"/>
  </si>
  <si>
    <t>규소 강판</t>
    <phoneticPr fontId="3" type="noConversion"/>
  </si>
  <si>
    <t>G</t>
    <phoneticPr fontId="3" type="noConversion"/>
  </si>
  <si>
    <t>손실 비율</t>
    <phoneticPr fontId="3" type="noConversion"/>
  </si>
  <si>
    <t>25파이 2.5t</t>
    <phoneticPr fontId="3" type="noConversion"/>
  </si>
  <si>
    <t>원/m</t>
    <phoneticPr fontId="3" type="noConversion"/>
  </si>
  <si>
    <t>유효단면적</t>
    <phoneticPr fontId="3" type="noConversion"/>
  </si>
  <si>
    <t>%</t>
    <phoneticPr fontId="3" type="noConversion"/>
  </si>
  <si>
    <t>25파이 3.0t</t>
    <phoneticPr fontId="3" type="noConversion"/>
  </si>
  <si>
    <t>원/m</t>
    <phoneticPr fontId="3" type="noConversion"/>
  </si>
  <si>
    <t>병렬수</t>
    <phoneticPr fontId="3" type="noConversion"/>
  </si>
  <si>
    <t>조</t>
    <phoneticPr fontId="3" type="noConversion"/>
  </si>
  <si>
    <t>nging</t>
    <phoneticPr fontId="3" type="noConversion"/>
  </si>
  <si>
    <t>조</t>
    <phoneticPr fontId="3" type="noConversion"/>
  </si>
  <si>
    <t>22파이 2.5t</t>
    <phoneticPr fontId="3" type="noConversion"/>
  </si>
  <si>
    <t>총단면적</t>
    <phoneticPr fontId="3" type="noConversion"/>
  </si>
  <si>
    <t>AP(Area Product) total</t>
    <phoneticPr fontId="3" type="noConversion"/>
  </si>
  <si>
    <t>cm^4</t>
    <phoneticPr fontId="3" type="noConversion"/>
  </si>
  <si>
    <t>22파이 3.0t</t>
    <phoneticPr fontId="3" type="noConversion"/>
  </si>
  <si>
    <t>Ac(Core Area) total</t>
    <phoneticPr fontId="3" type="noConversion"/>
  </si>
  <si>
    <t>cm^2</t>
    <phoneticPr fontId="3" type="noConversion"/>
  </si>
  <si>
    <t>권선 단가</t>
    <phoneticPr fontId="3" type="noConversion"/>
  </si>
  <si>
    <t>19파이 2t</t>
    <phoneticPr fontId="3" type="noConversion"/>
  </si>
  <si>
    <t>Minimum turn number</t>
    <phoneticPr fontId="3" type="noConversion"/>
  </si>
  <si>
    <t>Turns</t>
    <phoneticPr fontId="3" type="noConversion"/>
  </si>
  <si>
    <t>MLT(Mean Length Turn total)</t>
    <phoneticPr fontId="3" type="noConversion"/>
  </si>
  <si>
    <t>권선길이[m]</t>
    <phoneticPr fontId="3" type="noConversion"/>
  </si>
  <si>
    <t>15.9파이 1.5t</t>
    <phoneticPr fontId="3" type="noConversion"/>
  </si>
  <si>
    <t>Gap</t>
    <phoneticPr fontId="3" type="noConversion"/>
  </si>
  <si>
    <t>cm</t>
    <phoneticPr fontId="3" type="noConversion"/>
  </si>
  <si>
    <t>Wtfe(Core Weight)</t>
    <phoneticPr fontId="3" type="noConversion"/>
  </si>
  <si>
    <t>Kg</t>
    <phoneticPr fontId="3" type="noConversion"/>
  </si>
  <si>
    <t>15.9파이 2t</t>
    <phoneticPr fontId="3" type="noConversion"/>
  </si>
  <si>
    <t>Gap 수</t>
    <phoneticPr fontId="29" type="noConversion"/>
  </si>
  <si>
    <t>실제적용 Gap</t>
    <phoneticPr fontId="3" type="noConversion"/>
  </si>
  <si>
    <t>12.7파이 1.5t</t>
    <phoneticPr fontId="3" type="noConversion"/>
  </si>
  <si>
    <t>Gap Paper</t>
    <phoneticPr fontId="3" type="noConversion"/>
  </si>
  <si>
    <t>코아+권선 단가</t>
    <phoneticPr fontId="29" type="noConversion"/>
  </si>
  <si>
    <r>
      <t>12.7파이 1.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t</t>
    </r>
    <phoneticPr fontId="3" type="noConversion"/>
  </si>
  <si>
    <t>Gap Paper/코아 길이(소)</t>
    <phoneticPr fontId="3" type="noConversion"/>
  </si>
  <si>
    <t>12.7파이 1t, 코팅</t>
    <phoneticPr fontId="3" type="noConversion"/>
  </si>
  <si>
    <t>계산 L값</t>
    <phoneticPr fontId="3" type="noConversion"/>
  </si>
  <si>
    <r>
      <t>9</t>
    </r>
    <r>
      <rPr>
        <sz val="11"/>
        <color theme="1"/>
        <rFont val="맑은 고딕"/>
        <family val="2"/>
        <charset val="129"/>
        <scheme val="minor"/>
      </rPr>
      <t>.5</t>
    </r>
    <r>
      <rPr>
        <sz val="11"/>
        <color theme="1"/>
        <rFont val="맑은 고딕"/>
        <family val="2"/>
        <charset val="129"/>
        <scheme val="minor"/>
      </rPr>
      <t>파이 1t, 코팅</t>
    </r>
    <phoneticPr fontId="3" type="noConversion"/>
  </si>
  <si>
    <t>Fringing Factor</t>
    <phoneticPr fontId="3" type="noConversion"/>
  </si>
  <si>
    <t>예상 L</t>
    <phoneticPr fontId="3" type="noConversion"/>
  </si>
  <si>
    <t>ACB 1250A</t>
    <phoneticPr fontId="8" type="noConversion"/>
  </si>
  <si>
    <t xml:space="preserve">800XF </t>
    <phoneticPr fontId="8" type="noConversion"/>
  </si>
  <si>
    <t>DC인턱터 설계시트 참조</t>
    <phoneticPr fontId="3" type="noConversion"/>
  </si>
  <si>
    <t>사용안함</t>
    <phoneticPr fontId="8" type="noConversion"/>
  </si>
  <si>
    <t>1500A</t>
    <phoneticPr fontId="8" type="noConversion"/>
  </si>
  <si>
    <r>
      <t>o</t>
    </r>
    <r>
      <rPr>
        <sz val="11"/>
        <rFont val="돋움"/>
        <family val="3"/>
        <charset val="129"/>
      </rPr>
      <t>k</t>
    </r>
    <phoneticPr fontId="3" type="noConversion"/>
  </si>
  <si>
    <t>DC인덕터 L값</t>
    <phoneticPr fontId="3" type="noConversion"/>
  </si>
  <si>
    <t>DC전류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</si>
  <si>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3" type="noConversion"/>
  </si>
  <si>
    <t>3~4 (2.5~6까지 설계)</t>
    <phoneticPr fontId="8" type="noConversion"/>
  </si>
  <si>
    <t>1134A</t>
    <phoneticPr fontId="8" type="noConversion"/>
  </si>
  <si>
    <t>1210A</t>
    <phoneticPr fontId="8" type="noConversion"/>
  </si>
  <si>
    <t xml:space="preserve">최대 5000A </t>
    <phoneticPr fontId="3" type="noConversion"/>
  </si>
  <si>
    <t xml:space="preserve">최대 5000A </t>
    <phoneticPr fontId="3" type="noConversion"/>
  </si>
  <si>
    <t xml:space="preserve">최대 5000A </t>
    <phoneticPr fontId="3" type="noConversion"/>
  </si>
  <si>
    <t>IH_DIGITAL CONTROL_V3.8</t>
    <phoneticPr fontId="3" type="noConversion"/>
  </si>
  <si>
    <t>10탭 중 8탭 사용 (7탭, 9탭은 가변 부스바 적용)</t>
    <phoneticPr fontId="3" type="noConversion"/>
  </si>
  <si>
    <t>양 옆 날개, 모듈 상부 분산 배치</t>
    <phoneticPr fontId="3" type="noConversion"/>
  </si>
  <si>
    <t>[RFM 1.25-3000-1S] 305UF 1250V 3000Kvar 1kHz 2400A</t>
    <phoneticPr fontId="3" type="noConversion"/>
  </si>
  <si>
    <t>LCD 최대 설정값: 5100A</t>
    <phoneticPr fontId="3" type="noConversion"/>
  </si>
  <si>
    <t>50uF * 168EA = 8400uF</t>
    <phoneticPr fontId="3" type="noConversion"/>
  </si>
  <si>
    <r>
      <t>2400A 2병렬 모듈 (4EA) FZ2400R12HE4_B9</t>
    </r>
    <r>
      <rPr>
        <sz val="10"/>
        <color indexed="8"/>
        <rFont val="맑은 고딕"/>
        <family val="3"/>
        <charset val="129"/>
      </rPr>
      <t xml:space="preserve"> :Half Bridge</t>
    </r>
    <phoneticPr fontId="8" type="noConversion"/>
  </si>
  <si>
    <t>4병렬--&gt; 합계수량 4EA,
--&gt;976uF, 1250V, 7680A : 8탭 적용</t>
    <phoneticPr fontId="3" type="noConversion"/>
  </si>
  <si>
    <t>X</t>
    <phoneticPr fontId="4" type="noConversion"/>
  </si>
  <si>
    <t>X</t>
    <phoneticPr fontId="4" type="noConversion"/>
  </si>
  <si>
    <t>X</t>
    <phoneticPr fontId="4" type="noConversion"/>
  </si>
  <si>
    <t>2021.07.13</t>
    <phoneticPr fontId="4" type="noConversion"/>
  </si>
  <si>
    <t>2021.08.13</t>
    <phoneticPr fontId="4" type="noConversion"/>
  </si>
  <si>
    <t>2021.08.31</t>
    <phoneticPr fontId="4" type="noConversion"/>
  </si>
  <si>
    <t>포엠테크</t>
    <phoneticPr fontId="4" type="noConversion"/>
  </si>
  <si>
    <t>IH_GATE_DRIVER_V21_DUAL_R7_2400A</t>
    <phoneticPr fontId="3" type="noConversion"/>
  </si>
  <si>
    <t>[CT-T23A-T2000] 2000:1 아몰퍼스코어, 0.25*14 litz wire, (core:AH0005000025)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</si>
</sst>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  <numFmt numFmtId="187" formatCode="General&quot;:1&quot;"/>
    <numFmt numFmtId="188" formatCode="General&quot;D&quot;"/>
    <numFmt numFmtId="189" formatCode="0.0&quot;[%]&quot;"/>
    <numFmt numFmtId="190" formatCode="0.0&quot;[A]&quot;"/>
    <numFmt numFmtId="191" formatCode="0.0"/>
  </numFmts>
  <fonts count="3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u/>
      <sz val="11"/>
      <name val="바탕"/>
      <family val="1"/>
      <charset val="129"/>
    </font>
    <font>
      <sz val="8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394">
    <xf numFmtId="0" fontId="0" fillId="0" borderId="0" xfId="0"/>
    <xf numFmtId="0" fontId="2" fillId="0" borderId="0" xfId="2">
      <alignment vertical="center"/>
    </xf>
    <xf numFmtId="0" fontId="0" fillId="0" borderId="0" xfId="2" applyFont="1">
      <alignment vertical="center"/>
    </xf>
    <xf numFmtId="0" fontId="12" fillId="0" borderId="1" xfId="0" applyFont="1" applyBorder="1" applyAlignment="1">
      <alignment vertical="center"/>
    </xf>
    <xf numFmtId="178" fontId="11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0" xfId="2" applyFont="1" applyAlignment="1">
      <alignment vertical="center"/>
    </xf>
    <xf numFmtId="0" fontId="2" fillId="0" borderId="0" xfId="2" applyAlignment="1">
      <alignment vertical="center"/>
    </xf>
    <xf numFmtId="0" fontId="12" fillId="0" borderId="1" xfId="0" applyNumberFormat="1" applyFon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2" fillId="5" borderId="1" xfId="0" applyNumberFormat="1" applyFont="1" applyFill="1" applyBorder="1" applyAlignment="1">
      <alignment vertical="center"/>
    </xf>
    <xf numFmtId="1" fontId="12" fillId="0" borderId="1" xfId="0" applyNumberFormat="1" applyFont="1" applyBorder="1" applyAlignment="1">
      <alignment vertical="center"/>
    </xf>
    <xf numFmtId="0" fontId="11" fillId="4" borderId="1" xfId="0" applyNumberFormat="1" applyFont="1" applyFill="1" applyBorder="1" applyAlignment="1">
      <alignment vertical="center"/>
    </xf>
    <xf numFmtId="0" fontId="13" fillId="4" borderId="1" xfId="0" applyNumberFormat="1" applyFont="1" applyFill="1" applyBorder="1" applyAlignment="1">
      <alignment vertical="center"/>
    </xf>
    <xf numFmtId="0" fontId="13" fillId="0" borderId="1" xfId="2" applyFont="1" applyBorder="1" applyAlignment="1">
      <alignment vertical="center"/>
    </xf>
    <xf numFmtId="0" fontId="13" fillId="4" borderId="1" xfId="2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79" fontId="14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79" fontId="11" fillId="4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179" fontId="14" fillId="7" borderId="1" xfId="0" applyNumberFormat="1" applyFont="1" applyFill="1" applyBorder="1" applyAlignment="1">
      <alignment vertical="center"/>
    </xf>
    <xf numFmtId="0" fontId="14" fillId="3" borderId="1" xfId="2" applyFont="1" applyFill="1" applyBorder="1" applyAlignment="1">
      <alignment vertical="center"/>
    </xf>
    <xf numFmtId="183" fontId="14" fillId="3" borderId="1" xfId="0" applyNumberFormat="1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3" fillId="0" borderId="1" xfId="0" applyFont="1" applyBorder="1"/>
    <xf numFmtId="0" fontId="13" fillId="4" borderId="1" xfId="0" applyFont="1" applyFill="1" applyBorder="1"/>
    <xf numFmtId="0" fontId="13" fillId="4" borderId="1" xfId="0" applyFont="1" applyFill="1" applyBorder="1" applyAlignment="1">
      <alignment horizontal="right"/>
    </xf>
    <xf numFmtId="0" fontId="14" fillId="0" borderId="1" xfId="0" applyFont="1" applyBorder="1"/>
    <xf numFmtId="179" fontId="14" fillId="3" borderId="1" xfId="0" applyNumberFormat="1" applyFont="1" applyFill="1" applyBorder="1"/>
    <xf numFmtId="0" fontId="13" fillId="0" borderId="1" xfId="0" applyFont="1" applyFill="1" applyBorder="1"/>
    <xf numFmtId="179" fontId="13" fillId="4" borderId="1" xfId="0" applyNumberFormat="1" applyFont="1" applyFill="1" applyBorder="1" applyAlignment="1">
      <alignment horizontal="right"/>
    </xf>
    <xf numFmtId="179" fontId="13" fillId="8" borderId="1" xfId="0" applyNumberFormat="1" applyFont="1" applyFill="1" applyBorder="1" applyAlignment="1">
      <alignment horizontal="right"/>
    </xf>
    <xf numFmtId="179" fontId="13" fillId="8" borderId="1" xfId="0" applyNumberFormat="1" applyFont="1" applyFill="1" applyBorder="1"/>
    <xf numFmtId="179" fontId="15" fillId="3" borderId="1" xfId="0" applyNumberFormat="1" applyFont="1" applyFill="1" applyBorder="1" applyAlignment="1">
      <alignment horizontal="right"/>
    </xf>
    <xf numFmtId="179" fontId="13" fillId="5" borderId="1" xfId="0" applyNumberFormat="1" applyFont="1" applyFill="1" applyBorder="1" applyAlignment="1">
      <alignment horizontal="right"/>
    </xf>
    <xf numFmtId="179" fontId="12" fillId="3" borderId="1" xfId="0" applyNumberFormat="1" applyFont="1" applyFill="1" applyBorder="1" applyAlignment="1">
      <alignment horizontal="right"/>
    </xf>
    <xf numFmtId="179" fontId="14" fillId="3" borderId="1" xfId="0" applyNumberFormat="1" applyFont="1" applyFill="1" applyBorder="1" applyAlignment="1">
      <alignment horizontal="right"/>
    </xf>
    <xf numFmtId="179" fontId="15" fillId="4" borderId="1" xfId="0" applyNumberFormat="1" applyFont="1" applyFill="1" applyBorder="1" applyAlignment="1">
      <alignment horizontal="right"/>
    </xf>
    <xf numFmtId="0" fontId="13" fillId="9" borderId="1" xfId="2" applyFont="1" applyFill="1" applyBorder="1">
      <alignment vertical="center"/>
    </xf>
    <xf numFmtId="0" fontId="13" fillId="0" borderId="0" xfId="2" applyFont="1">
      <alignment vertical="center"/>
    </xf>
    <xf numFmtId="0" fontId="13" fillId="0" borderId="1" xfId="2" applyFont="1" applyBorder="1">
      <alignment vertical="center"/>
    </xf>
    <xf numFmtId="0" fontId="15" fillId="0" borderId="1" xfId="2" applyFont="1" applyBorder="1" applyAlignment="1">
      <alignment horizontal="center" vertical="center"/>
    </xf>
    <xf numFmtId="0" fontId="14" fillId="0" borderId="1" xfId="2" applyFont="1" applyBorder="1">
      <alignment vertical="center"/>
    </xf>
    <xf numFmtId="0" fontId="15" fillId="0" borderId="1" xfId="2" applyFont="1" applyBorder="1">
      <alignment vertical="center"/>
    </xf>
    <xf numFmtId="0" fontId="15" fillId="0" borderId="1" xfId="2" applyFont="1" applyBorder="1" applyAlignment="1">
      <alignment vertical="center" wrapText="1"/>
    </xf>
    <xf numFmtId="0" fontId="15" fillId="0" borderId="1" xfId="0" applyFont="1" applyBorder="1"/>
    <xf numFmtId="0" fontId="13" fillId="5" borderId="1" xfId="0" applyFont="1" applyFill="1" applyBorder="1"/>
    <xf numFmtId="179" fontId="13" fillId="5" borderId="1" xfId="0" applyNumberFormat="1" applyFont="1" applyFill="1" applyBorder="1"/>
    <xf numFmtId="179" fontId="12" fillId="5" borderId="1" xfId="0" applyNumberFormat="1" applyFont="1" applyFill="1" applyBorder="1"/>
    <xf numFmtId="0" fontId="13" fillId="4" borderId="1" xfId="2" applyFont="1" applyFill="1" applyBorder="1">
      <alignment vertical="center"/>
    </xf>
    <xf numFmtId="0" fontId="13" fillId="5" borderId="1" xfId="2" applyFont="1" applyFill="1" applyBorder="1">
      <alignment vertical="center"/>
    </xf>
    <xf numFmtId="0" fontId="13" fillId="8" borderId="1" xfId="2" applyFont="1" applyFill="1" applyBorder="1">
      <alignment vertical="center"/>
    </xf>
    <xf numFmtId="176" fontId="13" fillId="8" borderId="1" xfId="2" applyNumberFormat="1" applyFont="1" applyFill="1" applyBorder="1">
      <alignment vertical="center"/>
    </xf>
    <xf numFmtId="178" fontId="13" fillId="3" borderId="1" xfId="2" applyNumberFormat="1" applyFont="1" applyFill="1" applyBorder="1">
      <alignment vertical="center"/>
    </xf>
    <xf numFmtId="179" fontId="13" fillId="5" borderId="1" xfId="2" applyNumberFormat="1" applyFont="1" applyFill="1" applyBorder="1">
      <alignment vertical="center"/>
    </xf>
    <xf numFmtId="176" fontId="13" fillId="5" borderId="1" xfId="2" applyNumberFormat="1" applyFont="1" applyFill="1" applyBorder="1">
      <alignment vertical="center"/>
    </xf>
    <xf numFmtId="179" fontId="13" fillId="0" borderId="1" xfId="2" applyNumberFormat="1" applyFont="1" applyBorder="1">
      <alignment vertical="center"/>
    </xf>
    <xf numFmtId="179" fontId="13" fillId="3" borderId="1" xfId="2" applyNumberFormat="1" applyFont="1" applyFill="1" applyBorder="1">
      <alignment vertical="center"/>
    </xf>
    <xf numFmtId="178" fontId="13" fillId="5" borderId="1" xfId="2" applyNumberFormat="1" applyFont="1" applyFill="1" applyBorder="1">
      <alignment vertical="center"/>
    </xf>
    <xf numFmtId="176" fontId="13" fillId="9" borderId="1" xfId="2" applyNumberFormat="1" applyFont="1" applyFill="1" applyBorder="1">
      <alignment vertical="center"/>
    </xf>
    <xf numFmtId="179" fontId="13" fillId="9" borderId="1" xfId="2" applyNumberFormat="1" applyFont="1" applyFill="1" applyBorder="1">
      <alignment vertical="center"/>
    </xf>
    <xf numFmtId="0" fontId="16" fillId="0" borderId="0" xfId="2" applyFont="1">
      <alignment vertical="center"/>
    </xf>
    <xf numFmtId="0" fontId="11" fillId="0" borderId="1" xfId="0" applyFont="1" applyBorder="1" applyAlignment="1">
      <alignment horizontal="left" vertical="center"/>
    </xf>
    <xf numFmtId="0" fontId="13" fillId="3" borderId="1" xfId="2" applyFont="1" applyFill="1" applyBorder="1">
      <alignment vertical="center"/>
    </xf>
    <xf numFmtId="0" fontId="14" fillId="7" borderId="1" xfId="2" applyFont="1" applyFill="1" applyBorder="1">
      <alignment vertical="center"/>
    </xf>
    <xf numFmtId="0" fontId="14" fillId="7" borderId="1" xfId="2" quotePrefix="1" applyFont="1" applyFill="1" applyBorder="1" applyAlignment="1">
      <alignment vertical="center"/>
    </xf>
    <xf numFmtId="0" fontId="14" fillId="7" borderId="1" xfId="0" applyFont="1" applyFill="1" applyBorder="1"/>
    <xf numFmtId="177" fontId="13" fillId="4" borderId="1" xfId="0" applyNumberFormat="1" applyFont="1" applyFill="1" applyBorder="1"/>
    <xf numFmtId="0" fontId="13" fillId="0" borderId="1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5" borderId="6" xfId="0" applyFont="1" applyFill="1" applyBorder="1" applyAlignment="1">
      <alignment vertical="center"/>
    </xf>
    <xf numFmtId="0" fontId="19" fillId="5" borderId="6" xfId="0" applyFont="1" applyFill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13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3" fillId="6" borderId="1" xfId="2" applyFont="1" applyFill="1" applyBorder="1">
      <alignment vertical="center"/>
    </xf>
    <xf numFmtId="2" fontId="13" fillId="5" borderId="1" xfId="2" applyNumberFormat="1" applyFont="1" applyFill="1" applyBorder="1">
      <alignment vertical="center"/>
    </xf>
    <xf numFmtId="0" fontId="14" fillId="3" borderId="1" xfId="2" applyFont="1" applyFill="1" applyBorder="1">
      <alignment vertical="center"/>
    </xf>
    <xf numFmtId="0" fontId="13" fillId="6" borderId="1" xfId="2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left" vertical="center"/>
    </xf>
    <xf numFmtId="0" fontId="13" fillId="5" borderId="12" xfId="0" applyFont="1" applyFill="1" applyBorder="1" applyAlignment="1">
      <alignment horizontal="left"/>
    </xf>
    <xf numFmtId="181" fontId="13" fillId="5" borderId="12" xfId="0" applyNumberFormat="1" applyFont="1" applyFill="1" applyBorder="1" applyAlignment="1">
      <alignment horizontal="left" vertical="center"/>
    </xf>
    <xf numFmtId="182" fontId="13" fillId="5" borderId="12" xfId="0" applyNumberFormat="1" applyFont="1" applyFill="1" applyBorder="1" applyAlignment="1">
      <alignment horizontal="left" vertical="center"/>
    </xf>
    <xf numFmtId="180" fontId="13" fillId="5" borderId="12" xfId="0" applyNumberFormat="1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left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9" borderId="15" xfId="0" applyFont="1" applyFill="1" applyBorder="1" applyAlignment="1">
      <alignment horizontal="center" vertical="center"/>
    </xf>
    <xf numFmtId="181" fontId="13" fillId="5" borderId="16" xfId="0" applyNumberFormat="1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left"/>
    </xf>
    <xf numFmtId="182" fontId="13" fillId="5" borderId="16" xfId="0" applyNumberFormat="1" applyFont="1" applyFill="1" applyBorder="1" applyAlignment="1">
      <alignment horizontal="left" vertical="center"/>
    </xf>
    <xf numFmtId="180" fontId="13" fillId="5" borderId="16" xfId="0" applyNumberFormat="1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9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left" vertical="center"/>
    </xf>
    <xf numFmtId="0" fontId="13" fillId="5" borderId="20" xfId="0" applyFont="1" applyFill="1" applyBorder="1" applyAlignment="1">
      <alignment horizontal="left"/>
    </xf>
    <xf numFmtId="181" fontId="13" fillId="5" borderId="20" xfId="0" applyNumberFormat="1" applyFont="1" applyFill="1" applyBorder="1" applyAlignment="1">
      <alignment horizontal="left" vertical="center"/>
    </xf>
    <xf numFmtId="182" fontId="13" fillId="5" borderId="20" xfId="0" applyNumberFormat="1" applyFont="1" applyFill="1" applyBorder="1" applyAlignment="1">
      <alignment horizontal="left" vertical="center"/>
    </xf>
    <xf numFmtId="180" fontId="13" fillId="5" borderId="20" xfId="0" applyNumberFormat="1" applyFont="1" applyFill="1" applyBorder="1" applyAlignment="1">
      <alignment horizontal="left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2" fontId="13" fillId="4" borderId="1" xfId="2" applyNumberFormat="1" applyFont="1" applyFill="1" applyBorder="1">
      <alignment vertical="center"/>
    </xf>
    <xf numFmtId="0" fontId="13" fillId="0" borderId="1" xfId="0" applyFont="1" applyBorder="1" applyAlignment="1">
      <alignment horizontal="center" vertical="center"/>
    </xf>
    <xf numFmtId="183" fontId="13" fillId="4" borderId="1" xfId="0" applyNumberFormat="1" applyFont="1" applyFill="1" applyBorder="1" applyAlignment="1">
      <alignment vertical="center"/>
    </xf>
    <xf numFmtId="0" fontId="24" fillId="0" borderId="0" xfId="0" applyFont="1"/>
    <xf numFmtId="0" fontId="17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84" fontId="11" fillId="5" borderId="1" xfId="0" applyNumberFormat="1" applyFont="1" applyFill="1" applyBorder="1" applyAlignment="1">
      <alignment vertical="center"/>
    </xf>
    <xf numFmtId="41" fontId="13" fillId="5" borderId="1" xfId="1" applyFont="1" applyFill="1" applyBorder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184" fontId="13" fillId="5" borderId="1" xfId="0" applyNumberFormat="1" applyFont="1" applyFill="1" applyBorder="1" applyAlignment="1">
      <alignment vertical="center"/>
    </xf>
    <xf numFmtId="185" fontId="13" fillId="5" borderId="1" xfId="1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41" fontId="13" fillId="5" borderId="1" xfId="1" applyNumberFormat="1" applyFont="1" applyFill="1" applyBorder="1" applyAlignment="1">
      <alignment vertical="center"/>
    </xf>
    <xf numFmtId="41" fontId="11" fillId="5" borderId="1" xfId="1" applyFont="1" applyFill="1" applyBorder="1" applyAlignment="1">
      <alignment vertical="center"/>
    </xf>
    <xf numFmtId="186" fontId="11" fillId="5" borderId="1" xfId="1" applyNumberFormat="1" applyFont="1" applyFill="1" applyBorder="1" applyAlignment="1">
      <alignment vertical="center"/>
    </xf>
    <xf numFmtId="41" fontId="11" fillId="5" borderId="1" xfId="1" applyNumberFormat="1" applyFont="1" applyFill="1" applyBorder="1" applyAlignment="1">
      <alignment vertical="center"/>
    </xf>
    <xf numFmtId="0" fontId="13" fillId="5" borderId="24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left" vertical="center"/>
    </xf>
    <xf numFmtId="179" fontId="11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 wrapText="1"/>
    </xf>
    <xf numFmtId="181" fontId="13" fillId="5" borderId="1" xfId="1" applyNumberFormat="1" applyFont="1" applyFill="1" applyBorder="1" applyAlignment="1">
      <alignment vertical="center"/>
    </xf>
    <xf numFmtId="0" fontId="13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2" fillId="11" borderId="38" xfId="0" applyFont="1" applyFill="1" applyBorder="1" applyAlignment="1">
      <alignment horizontal="center" vertical="center"/>
    </xf>
    <xf numFmtId="0" fontId="12" fillId="11" borderId="39" xfId="0" applyFont="1" applyFill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/>
    </xf>
    <xf numFmtId="0" fontId="12" fillId="15" borderId="41" xfId="0" applyFont="1" applyFill="1" applyBorder="1" applyAlignment="1">
      <alignment horizontal="center" vertical="center"/>
    </xf>
    <xf numFmtId="0" fontId="12" fillId="12" borderId="40" xfId="0" applyFont="1" applyFill="1" applyBorder="1" applyAlignment="1">
      <alignment horizontal="center" vertical="center"/>
    </xf>
    <xf numFmtId="0" fontId="12" fillId="15" borderId="42" xfId="0" applyFont="1" applyFill="1" applyBorder="1" applyAlignment="1">
      <alignment horizontal="center" vertical="center"/>
    </xf>
    <xf numFmtId="0" fontId="12" fillId="13" borderId="38" xfId="0" applyFont="1" applyFill="1" applyBorder="1" applyAlignment="1">
      <alignment horizontal="center" vertical="center"/>
    </xf>
    <xf numFmtId="0" fontId="12" fillId="13" borderId="39" xfId="0" applyFont="1" applyFill="1" applyBorder="1" applyAlignment="1">
      <alignment horizontal="center" vertical="center"/>
    </xf>
    <xf numFmtId="0" fontId="12" fillId="13" borderId="40" xfId="0" applyFont="1" applyFill="1" applyBorder="1" applyAlignment="1">
      <alignment horizontal="center" vertical="center"/>
    </xf>
    <xf numFmtId="0" fontId="12" fillId="14" borderId="43" xfId="0" applyFont="1" applyFill="1" applyBorder="1" applyAlignment="1">
      <alignment horizontal="center" vertical="center"/>
    </xf>
    <xf numFmtId="0" fontId="12" fillId="14" borderId="39" xfId="0" applyFont="1" applyFill="1" applyBorder="1" applyAlignment="1">
      <alignment horizontal="center" vertical="center"/>
    </xf>
    <xf numFmtId="0" fontId="12" fillId="14" borderId="44" xfId="0" applyFont="1" applyFill="1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0" fontId="0" fillId="2" borderId="46" xfId="0" applyNumberFormat="1" applyFill="1" applyBorder="1" applyAlignment="1">
      <alignment horizontal="center" vertical="center"/>
    </xf>
    <xf numFmtId="0" fontId="0" fillId="2" borderId="47" xfId="0" applyNumberFormat="1" applyFill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187" fontId="0" fillId="2" borderId="47" xfId="0" applyNumberFormat="1" applyFill="1" applyBorder="1" applyAlignment="1">
      <alignment horizontal="center" vertical="center"/>
    </xf>
    <xf numFmtId="188" fontId="0" fillId="2" borderId="48" xfId="0" applyNumberFormat="1" applyFill="1" applyBorder="1" applyAlignment="1">
      <alignment horizontal="center" vertical="center"/>
    </xf>
    <xf numFmtId="178" fontId="0" fillId="11" borderId="47" xfId="0" applyNumberFormat="1" applyFill="1" applyBorder="1" applyAlignment="1">
      <alignment horizontal="center" vertical="center"/>
    </xf>
    <xf numFmtId="189" fontId="0" fillId="11" borderId="48" xfId="0" applyNumberFormat="1" applyFill="1" applyBorder="1" applyAlignment="1">
      <alignment horizontal="center" vertical="center"/>
    </xf>
    <xf numFmtId="0" fontId="0" fillId="2" borderId="49" xfId="0" applyNumberFormat="1" applyFill="1" applyBorder="1" applyAlignment="1">
      <alignment horizontal="center" vertical="center"/>
    </xf>
    <xf numFmtId="190" fontId="0" fillId="12" borderId="47" xfId="0" applyNumberFormat="1" applyFill="1" applyBorder="1" applyAlignment="1">
      <alignment horizontal="center" vertical="center"/>
    </xf>
    <xf numFmtId="189" fontId="0" fillId="12" borderId="50" xfId="0" applyNumberFormat="1" applyFill="1" applyBorder="1" applyAlignment="1">
      <alignment horizontal="center" vertical="center"/>
    </xf>
    <xf numFmtId="187" fontId="0" fillId="2" borderId="49" xfId="0" applyNumberFormat="1" applyFill="1" applyBorder="1" applyAlignment="1">
      <alignment horizontal="center" vertical="center"/>
    </xf>
    <xf numFmtId="190" fontId="0" fillId="13" borderId="47" xfId="0" applyNumberFormat="1" applyFill="1" applyBorder="1" applyAlignment="1">
      <alignment horizontal="center" vertical="center"/>
    </xf>
    <xf numFmtId="189" fontId="0" fillId="13" borderId="48" xfId="0" applyNumberForma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190" fontId="0" fillId="14" borderId="47" xfId="0" applyNumberFormat="1" applyFill="1" applyBorder="1" applyAlignment="1">
      <alignment horizontal="center" vertical="center"/>
    </xf>
    <xf numFmtId="189" fontId="0" fillId="14" borderId="51" xfId="0" applyNumberFormat="1" applyFill="1" applyBorder="1" applyAlignment="1">
      <alignment horizontal="center" vertical="center"/>
    </xf>
    <xf numFmtId="0" fontId="0" fillId="2" borderId="52" xfId="0" applyNumberFormat="1" applyFill="1" applyBorder="1" applyAlignment="1">
      <alignment horizontal="center" vertical="center"/>
    </xf>
    <xf numFmtId="0" fontId="0" fillId="2" borderId="53" xfId="0" applyNumberFormat="1" applyFill="1" applyBorder="1" applyAlignment="1">
      <alignment horizontal="center" vertical="center"/>
    </xf>
    <xf numFmtId="0" fontId="0" fillId="0" borderId="53" xfId="0" applyNumberFormat="1" applyBorder="1" applyAlignment="1">
      <alignment horizontal="center" vertical="center"/>
    </xf>
    <xf numFmtId="187" fontId="0" fillId="2" borderId="53" xfId="0" applyNumberFormat="1" applyFill="1" applyBorder="1" applyAlignment="1">
      <alignment horizontal="center" vertical="center"/>
    </xf>
    <xf numFmtId="188" fontId="0" fillId="2" borderId="54" xfId="0" applyNumberFormat="1" applyFill="1" applyBorder="1" applyAlignment="1">
      <alignment horizontal="center" vertical="center"/>
    </xf>
    <xf numFmtId="178" fontId="0" fillId="11" borderId="53" xfId="0" applyNumberFormat="1" applyFill="1" applyBorder="1" applyAlignment="1">
      <alignment horizontal="center" vertical="center"/>
    </xf>
    <xf numFmtId="189" fontId="0" fillId="11" borderId="54" xfId="0" applyNumberFormat="1" applyFill="1" applyBorder="1" applyAlignment="1">
      <alignment horizontal="center" vertical="center"/>
    </xf>
    <xf numFmtId="0" fontId="0" fillId="2" borderId="55" xfId="0" applyNumberFormat="1" applyFill="1" applyBorder="1" applyAlignment="1">
      <alignment horizontal="center" vertical="center"/>
    </xf>
    <xf numFmtId="190" fontId="0" fillId="12" borderId="53" xfId="0" applyNumberFormat="1" applyFill="1" applyBorder="1" applyAlignment="1">
      <alignment horizontal="center" vertical="center"/>
    </xf>
    <xf numFmtId="189" fontId="0" fillId="12" borderId="56" xfId="0" applyNumberFormat="1" applyFill="1" applyBorder="1" applyAlignment="1">
      <alignment horizontal="center" vertical="center"/>
    </xf>
    <xf numFmtId="187" fontId="0" fillId="2" borderId="55" xfId="0" applyNumberFormat="1" applyFill="1" applyBorder="1" applyAlignment="1">
      <alignment horizontal="center" vertical="center"/>
    </xf>
    <xf numFmtId="190" fontId="0" fillId="13" borderId="53" xfId="0" applyNumberFormat="1" applyFill="1" applyBorder="1" applyAlignment="1">
      <alignment horizontal="center" vertical="center"/>
    </xf>
    <xf numFmtId="189" fontId="0" fillId="13" borderId="54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90" fontId="0" fillId="14" borderId="53" xfId="0" applyNumberFormat="1" applyFill="1" applyBorder="1" applyAlignment="1">
      <alignment horizontal="center" vertical="center"/>
    </xf>
    <xf numFmtId="189" fontId="0" fillId="14" borderId="57" xfId="0" applyNumberFormat="1" applyFill="1" applyBorder="1" applyAlignment="1">
      <alignment horizontal="center" vertical="center"/>
    </xf>
    <xf numFmtId="14" fontId="0" fillId="0" borderId="45" xfId="0" applyNumberFormat="1" applyBorder="1" applyAlignment="1">
      <alignment vertical="center"/>
    </xf>
    <xf numFmtId="14" fontId="0" fillId="0" borderId="58" xfId="0" applyNumberFormat="1" applyBorder="1" applyAlignment="1">
      <alignment vertical="center"/>
    </xf>
    <xf numFmtId="0" fontId="0" fillId="2" borderId="59" xfId="0" applyNumberFormat="1" applyFill="1" applyBorder="1" applyAlignment="1">
      <alignment horizontal="center" vertical="center"/>
    </xf>
    <xf numFmtId="0" fontId="0" fillId="2" borderId="60" xfId="0" applyNumberFormat="1" applyFill="1" applyBorder="1" applyAlignment="1">
      <alignment horizontal="center" vertical="center"/>
    </xf>
    <xf numFmtId="0" fontId="0" fillId="0" borderId="60" xfId="0" applyNumberFormat="1" applyBorder="1" applyAlignment="1">
      <alignment horizontal="center" vertical="center"/>
    </xf>
    <xf numFmtId="187" fontId="0" fillId="2" borderId="60" xfId="0" applyNumberFormat="1" applyFill="1" applyBorder="1" applyAlignment="1">
      <alignment horizontal="center" vertical="center"/>
    </xf>
    <xf numFmtId="188" fontId="0" fillId="2" borderId="61" xfId="0" applyNumberFormat="1" applyFill="1" applyBorder="1" applyAlignment="1">
      <alignment horizontal="center" vertical="center"/>
    </xf>
    <xf numFmtId="178" fontId="0" fillId="11" borderId="60" xfId="0" applyNumberFormat="1" applyFill="1" applyBorder="1" applyAlignment="1">
      <alignment horizontal="center" vertical="center"/>
    </xf>
    <xf numFmtId="189" fontId="0" fillId="11" borderId="61" xfId="0" applyNumberFormat="1" applyFill="1" applyBorder="1" applyAlignment="1">
      <alignment horizontal="center" vertical="center"/>
    </xf>
    <xf numFmtId="0" fontId="0" fillId="2" borderId="62" xfId="0" applyNumberFormat="1" applyFill="1" applyBorder="1" applyAlignment="1">
      <alignment horizontal="center" vertical="center"/>
    </xf>
    <xf numFmtId="190" fontId="0" fillId="12" borderId="60" xfId="0" applyNumberFormat="1" applyFill="1" applyBorder="1" applyAlignment="1">
      <alignment horizontal="center" vertical="center"/>
    </xf>
    <xf numFmtId="189" fontId="0" fillId="12" borderId="63" xfId="0" applyNumberFormat="1" applyFill="1" applyBorder="1" applyAlignment="1">
      <alignment horizontal="center" vertical="center"/>
    </xf>
    <xf numFmtId="187" fontId="0" fillId="2" borderId="62" xfId="0" applyNumberFormat="1" applyFill="1" applyBorder="1" applyAlignment="1">
      <alignment horizontal="center" vertical="center"/>
    </xf>
    <xf numFmtId="190" fontId="0" fillId="13" borderId="60" xfId="0" applyNumberFormat="1" applyFill="1" applyBorder="1" applyAlignment="1">
      <alignment horizontal="center" vertical="center"/>
    </xf>
    <xf numFmtId="189" fontId="0" fillId="13" borderId="61" xfId="0" applyNumberFormat="1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190" fontId="0" fillId="14" borderId="60" xfId="0" applyNumberFormat="1" applyFill="1" applyBorder="1" applyAlignment="1">
      <alignment horizontal="center" vertical="center"/>
    </xf>
    <xf numFmtId="189" fontId="0" fillId="14" borderId="64" xfId="0" applyNumberFormat="1" applyFill="1" applyBorder="1" applyAlignment="1">
      <alignment horizontal="center" vertical="center"/>
    </xf>
    <xf numFmtId="0" fontId="13" fillId="9" borderId="3" xfId="2" applyFont="1" applyFill="1" applyBorder="1">
      <alignment vertical="center"/>
    </xf>
    <xf numFmtId="0" fontId="19" fillId="5" borderId="8" xfId="0" applyFont="1" applyFill="1" applyBorder="1" applyAlignment="1">
      <alignment vertical="center"/>
    </xf>
    <xf numFmtId="0" fontId="19" fillId="5" borderId="9" xfId="0" applyFont="1" applyFill="1" applyBorder="1" applyAlignment="1">
      <alignment vertical="center"/>
    </xf>
    <xf numFmtId="0" fontId="19" fillId="5" borderId="7" xfId="0" applyFont="1" applyFill="1" applyBorder="1" applyAlignment="1">
      <alignment vertical="center"/>
    </xf>
    <xf numFmtId="0" fontId="25" fillId="5" borderId="6" xfId="0" applyFont="1" applyFill="1" applyBorder="1" applyAlignment="1">
      <alignment vertical="center"/>
    </xf>
    <xf numFmtId="0" fontId="25" fillId="5" borderId="6" xfId="0" applyFont="1" applyFill="1" applyBorder="1" applyAlignment="1">
      <alignment vertical="center" wrapText="1"/>
    </xf>
    <xf numFmtId="181" fontId="19" fillId="5" borderId="6" xfId="0" applyNumberFormat="1" applyFont="1" applyFill="1" applyBorder="1" applyAlignment="1">
      <alignment vertical="center"/>
    </xf>
    <xf numFmtId="0" fontId="13" fillId="4" borderId="3" xfId="2" applyFont="1" applyFill="1" applyBorder="1">
      <alignment vertical="center"/>
    </xf>
    <xf numFmtId="2" fontId="13" fillId="5" borderId="3" xfId="2" applyNumberFormat="1" applyFont="1" applyFill="1" applyBorder="1">
      <alignment vertical="center"/>
    </xf>
    <xf numFmtId="0" fontId="13" fillId="8" borderId="3" xfId="2" applyFont="1" applyFill="1" applyBorder="1">
      <alignment vertical="center"/>
    </xf>
    <xf numFmtId="0" fontId="13" fillId="5" borderId="3" xfId="2" applyFont="1" applyFill="1" applyBorder="1">
      <alignment vertical="center"/>
    </xf>
    <xf numFmtId="0" fontId="13" fillId="0" borderId="3" xfId="2" applyFont="1" applyBorder="1">
      <alignment vertical="center"/>
    </xf>
    <xf numFmtId="176" fontId="13" fillId="8" borderId="3" xfId="2" applyNumberFormat="1" applyFont="1" applyFill="1" applyBorder="1">
      <alignment vertical="center"/>
    </xf>
    <xf numFmtId="2" fontId="13" fillId="4" borderId="3" xfId="2" applyNumberFormat="1" applyFont="1" applyFill="1" applyBorder="1">
      <alignment vertical="center"/>
    </xf>
    <xf numFmtId="178" fontId="13" fillId="3" borderId="3" xfId="2" applyNumberFormat="1" applyFont="1" applyFill="1" applyBorder="1">
      <alignment vertical="center"/>
    </xf>
    <xf numFmtId="179" fontId="13" fillId="5" borderId="3" xfId="2" applyNumberFormat="1" applyFont="1" applyFill="1" applyBorder="1">
      <alignment vertical="center"/>
    </xf>
    <xf numFmtId="176" fontId="13" fillId="5" borderId="3" xfId="2" applyNumberFormat="1" applyFont="1" applyFill="1" applyBorder="1">
      <alignment vertical="center"/>
    </xf>
    <xf numFmtId="179" fontId="13" fillId="0" borderId="3" xfId="2" applyNumberFormat="1" applyFont="1" applyBorder="1">
      <alignment vertical="center"/>
    </xf>
    <xf numFmtId="179" fontId="13" fillId="3" borderId="3" xfId="2" applyNumberFormat="1" applyFont="1" applyFill="1" applyBorder="1">
      <alignment vertical="center"/>
    </xf>
    <xf numFmtId="178" fontId="13" fillId="5" borderId="3" xfId="2" applyNumberFormat="1" applyFont="1" applyFill="1" applyBorder="1">
      <alignment vertical="center"/>
    </xf>
    <xf numFmtId="176" fontId="13" fillId="9" borderId="3" xfId="2" applyNumberFormat="1" applyFont="1" applyFill="1" applyBorder="1">
      <alignment vertical="center"/>
    </xf>
    <xf numFmtId="179" fontId="13" fillId="9" borderId="3" xfId="2" applyNumberFormat="1" applyFont="1" applyFill="1" applyBorder="1">
      <alignment vertical="center"/>
    </xf>
    <xf numFmtId="0" fontId="13" fillId="0" borderId="4" xfId="2" applyFont="1" applyBorder="1">
      <alignment vertical="center"/>
    </xf>
    <xf numFmtId="0" fontId="13" fillId="4" borderId="68" xfId="2" applyFont="1" applyFill="1" applyBorder="1">
      <alignment vertical="center"/>
    </xf>
    <xf numFmtId="0" fontId="13" fillId="4" borderId="69" xfId="2" applyFont="1" applyFill="1" applyBorder="1">
      <alignment vertical="center"/>
    </xf>
    <xf numFmtId="2" fontId="13" fillId="5" borderId="68" xfId="2" applyNumberFormat="1" applyFont="1" applyFill="1" applyBorder="1">
      <alignment vertical="center"/>
    </xf>
    <xf numFmtId="2" fontId="13" fillId="5" borderId="69" xfId="2" applyNumberFormat="1" applyFont="1" applyFill="1" applyBorder="1">
      <alignment vertical="center"/>
    </xf>
    <xf numFmtId="0" fontId="13" fillId="8" borderId="68" xfId="2" applyFont="1" applyFill="1" applyBorder="1">
      <alignment vertical="center"/>
    </xf>
    <xf numFmtId="0" fontId="13" fillId="8" borderId="69" xfId="2" applyFont="1" applyFill="1" applyBorder="1">
      <alignment vertical="center"/>
    </xf>
    <xf numFmtId="0" fontId="13" fillId="5" borderId="68" xfId="2" applyFont="1" applyFill="1" applyBorder="1">
      <alignment vertical="center"/>
    </xf>
    <xf numFmtId="0" fontId="13" fillId="5" borderId="69" xfId="2" applyFont="1" applyFill="1" applyBorder="1">
      <alignment vertical="center"/>
    </xf>
    <xf numFmtId="0" fontId="13" fillId="0" borderId="68" xfId="2" applyFont="1" applyBorder="1">
      <alignment vertical="center"/>
    </xf>
    <xf numFmtId="0" fontId="13" fillId="0" borderId="69" xfId="2" applyFont="1" applyBorder="1">
      <alignment vertical="center"/>
    </xf>
    <xf numFmtId="176" fontId="13" fillId="8" borderId="68" xfId="2" applyNumberFormat="1" applyFont="1" applyFill="1" applyBorder="1">
      <alignment vertical="center"/>
    </xf>
    <xf numFmtId="176" fontId="13" fillId="8" borderId="69" xfId="2" applyNumberFormat="1" applyFont="1" applyFill="1" applyBorder="1">
      <alignment vertical="center"/>
    </xf>
    <xf numFmtId="2" fontId="13" fillId="4" borderId="68" xfId="2" applyNumberFormat="1" applyFont="1" applyFill="1" applyBorder="1">
      <alignment vertical="center"/>
    </xf>
    <xf numFmtId="2" fontId="13" fillId="4" borderId="69" xfId="2" applyNumberFormat="1" applyFont="1" applyFill="1" applyBorder="1">
      <alignment vertical="center"/>
    </xf>
    <xf numFmtId="178" fontId="13" fillId="3" borderId="68" xfId="2" applyNumberFormat="1" applyFont="1" applyFill="1" applyBorder="1">
      <alignment vertical="center"/>
    </xf>
    <xf numFmtId="178" fontId="13" fillId="3" borderId="69" xfId="2" applyNumberFormat="1" applyFont="1" applyFill="1" applyBorder="1">
      <alignment vertical="center"/>
    </xf>
    <xf numFmtId="179" fontId="13" fillId="5" borderId="68" xfId="2" applyNumberFormat="1" applyFont="1" applyFill="1" applyBorder="1">
      <alignment vertical="center"/>
    </xf>
    <xf numFmtId="179" fontId="13" fillId="5" borderId="69" xfId="2" applyNumberFormat="1" applyFont="1" applyFill="1" applyBorder="1">
      <alignment vertical="center"/>
    </xf>
    <xf numFmtId="176" fontId="13" fillId="5" borderId="68" xfId="2" applyNumberFormat="1" applyFont="1" applyFill="1" applyBorder="1">
      <alignment vertical="center"/>
    </xf>
    <xf numFmtId="176" fontId="13" fillId="5" borderId="69" xfId="2" applyNumberFormat="1" applyFont="1" applyFill="1" applyBorder="1">
      <alignment vertical="center"/>
    </xf>
    <xf numFmtId="179" fontId="13" fillId="0" borderId="68" xfId="2" applyNumberFormat="1" applyFont="1" applyBorder="1">
      <alignment vertical="center"/>
    </xf>
    <xf numFmtId="179" fontId="13" fillId="0" borderId="69" xfId="2" applyNumberFormat="1" applyFont="1" applyBorder="1">
      <alignment vertical="center"/>
    </xf>
    <xf numFmtId="179" fontId="13" fillId="3" borderId="68" xfId="2" applyNumberFormat="1" applyFont="1" applyFill="1" applyBorder="1">
      <alignment vertical="center"/>
    </xf>
    <xf numFmtId="179" fontId="13" fillId="3" borderId="69" xfId="2" applyNumberFormat="1" applyFont="1" applyFill="1" applyBorder="1">
      <alignment vertical="center"/>
    </xf>
    <xf numFmtId="178" fontId="13" fillId="5" borderId="68" xfId="2" applyNumberFormat="1" applyFont="1" applyFill="1" applyBorder="1">
      <alignment vertical="center"/>
    </xf>
    <xf numFmtId="178" fontId="13" fillId="5" borderId="69" xfId="2" applyNumberFormat="1" applyFont="1" applyFill="1" applyBorder="1">
      <alignment vertical="center"/>
    </xf>
    <xf numFmtId="176" fontId="13" fillId="9" borderId="68" xfId="2" applyNumberFormat="1" applyFont="1" applyFill="1" applyBorder="1">
      <alignment vertical="center"/>
    </xf>
    <xf numFmtId="179" fontId="13" fillId="9" borderId="69" xfId="2" applyNumberFormat="1" applyFont="1" applyFill="1" applyBorder="1">
      <alignment vertical="center"/>
    </xf>
    <xf numFmtId="179" fontId="13" fillId="9" borderId="68" xfId="2" applyNumberFormat="1" applyFont="1" applyFill="1" applyBorder="1">
      <alignment vertical="center"/>
    </xf>
    <xf numFmtId="176" fontId="13" fillId="5" borderId="70" xfId="2" applyNumberFormat="1" applyFont="1" applyFill="1" applyBorder="1">
      <alignment vertical="center"/>
    </xf>
    <xf numFmtId="176" fontId="13" fillId="5" borderId="71" xfId="2" applyNumberFormat="1" applyFont="1" applyFill="1" applyBorder="1">
      <alignment vertical="center"/>
    </xf>
    <xf numFmtId="176" fontId="13" fillId="5" borderId="72" xfId="2" applyNumberFormat="1" applyFont="1" applyFill="1" applyBorder="1">
      <alignment vertical="center"/>
    </xf>
    <xf numFmtId="0" fontId="0" fillId="0" borderId="0" xfId="2" applyFont="1" applyAlignment="1">
      <alignment vertical="center"/>
    </xf>
    <xf numFmtId="0" fontId="15" fillId="0" borderId="23" xfId="2" applyFont="1" applyBorder="1" applyAlignment="1">
      <alignment horizontal="left" vertical="center"/>
    </xf>
    <xf numFmtId="0" fontId="15" fillId="0" borderId="23" xfId="0" applyFont="1" applyBorder="1" applyAlignment="1">
      <alignment horizontal="left"/>
    </xf>
    <xf numFmtId="0" fontId="15" fillId="0" borderId="0" xfId="2" applyFont="1" applyAlignment="1">
      <alignment horizontal="left" vertical="center"/>
    </xf>
    <xf numFmtId="0" fontId="13" fillId="6" borderId="1" xfId="0" applyFont="1" applyFill="1" applyBorder="1" applyAlignment="1">
      <alignment horizontal="center" vertical="center"/>
    </xf>
    <xf numFmtId="0" fontId="13" fillId="0" borderId="66" xfId="2" applyFont="1" applyBorder="1" applyAlignment="1">
      <alignment horizontal="center" vertical="center"/>
    </xf>
    <xf numFmtId="0" fontId="13" fillId="0" borderId="67" xfId="2" applyFont="1" applyBorder="1" applyAlignment="1">
      <alignment horizontal="center" vertical="center"/>
    </xf>
    <xf numFmtId="0" fontId="13" fillId="0" borderId="65" xfId="2" applyFont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left" vertical="center"/>
    </xf>
    <xf numFmtId="0" fontId="13" fillId="5" borderId="25" xfId="0" applyFont="1" applyFill="1" applyBorder="1" applyAlignment="1">
      <alignment horizontal="left" vertical="center"/>
    </xf>
    <xf numFmtId="41" fontId="13" fillId="5" borderId="3" xfId="1" applyFont="1" applyFill="1" applyBorder="1" applyAlignment="1">
      <alignment horizontal="center" vertical="center"/>
    </xf>
    <xf numFmtId="41" fontId="13" fillId="5" borderId="27" xfId="1" applyFont="1" applyFill="1" applyBorder="1" applyAlignment="1">
      <alignment horizontal="center" vertical="center"/>
    </xf>
    <xf numFmtId="41" fontId="13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3" fillId="5" borderId="26" xfId="0" applyFont="1" applyFill="1" applyBorder="1" applyAlignment="1">
      <alignment horizontal="left" vertical="center"/>
    </xf>
    <xf numFmtId="0" fontId="13" fillId="5" borderId="24" xfId="0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27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3" borderId="35" xfId="0" applyFont="1" applyFill="1" applyBorder="1" applyAlignment="1">
      <alignment horizontal="center" vertical="center"/>
    </xf>
    <xf numFmtId="0" fontId="12" fillId="14" borderId="35" xfId="0" applyFont="1" applyFill="1" applyBorder="1" applyAlignment="1">
      <alignment horizontal="center" vertical="center"/>
    </xf>
    <xf numFmtId="0" fontId="12" fillId="14" borderId="36" xfId="0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4" xfId="2" applyFont="1" applyBorder="1" applyAlignment="1">
      <alignment horizontal="center" vertical="center"/>
    </xf>
    <xf numFmtId="0" fontId="13" fillId="4" borderId="4" xfId="2" applyFont="1" applyFill="1" applyBorder="1">
      <alignment vertical="center"/>
    </xf>
    <xf numFmtId="2" fontId="13" fillId="5" borderId="4" xfId="2" applyNumberFormat="1" applyFont="1" applyFill="1" applyBorder="1">
      <alignment vertical="center"/>
    </xf>
    <xf numFmtId="0" fontId="13" fillId="8" borderId="4" xfId="2" applyFont="1" applyFill="1" applyBorder="1">
      <alignment vertical="center"/>
    </xf>
    <xf numFmtId="0" fontId="13" fillId="5" borderId="4" xfId="2" applyFont="1" applyFill="1" applyBorder="1">
      <alignment vertical="center"/>
    </xf>
    <xf numFmtId="176" fontId="13" fillId="8" borderId="4" xfId="2" applyNumberFormat="1" applyFont="1" applyFill="1" applyBorder="1">
      <alignment vertical="center"/>
    </xf>
    <xf numFmtId="2" fontId="13" fillId="4" borderId="4" xfId="2" applyNumberFormat="1" applyFont="1" applyFill="1" applyBorder="1">
      <alignment vertical="center"/>
    </xf>
    <xf numFmtId="178" fontId="13" fillId="3" borderId="4" xfId="2" applyNumberFormat="1" applyFont="1" applyFill="1" applyBorder="1">
      <alignment vertical="center"/>
    </xf>
    <xf numFmtId="179" fontId="13" fillId="5" borderId="4" xfId="2" applyNumberFormat="1" applyFont="1" applyFill="1" applyBorder="1">
      <alignment vertical="center"/>
    </xf>
    <xf numFmtId="176" fontId="13" fillId="5" borderId="4" xfId="2" applyNumberFormat="1" applyFont="1" applyFill="1" applyBorder="1">
      <alignment vertical="center"/>
    </xf>
    <xf numFmtId="179" fontId="13" fillId="0" borderId="4" xfId="2" applyNumberFormat="1" applyFont="1" applyBorder="1">
      <alignment vertical="center"/>
    </xf>
    <xf numFmtId="179" fontId="13" fillId="3" borderId="4" xfId="2" applyNumberFormat="1" applyFont="1" applyFill="1" applyBorder="1">
      <alignment vertical="center"/>
    </xf>
    <xf numFmtId="178" fontId="13" fillId="5" borderId="4" xfId="2" applyNumberFormat="1" applyFont="1" applyFill="1" applyBorder="1">
      <alignment vertical="center"/>
    </xf>
    <xf numFmtId="176" fontId="13" fillId="9" borderId="4" xfId="2" applyNumberFormat="1" applyFont="1" applyFill="1" applyBorder="1">
      <alignment vertical="center"/>
    </xf>
    <xf numFmtId="179" fontId="13" fillId="9" borderId="4" xfId="2" applyNumberFormat="1" applyFont="1" applyFill="1" applyBorder="1">
      <alignment vertical="center"/>
    </xf>
    <xf numFmtId="176" fontId="13" fillId="9" borderId="69" xfId="2" applyNumberFormat="1" applyFont="1" applyFill="1" applyBorder="1">
      <alignment vertical="center"/>
    </xf>
    <xf numFmtId="0" fontId="28" fillId="0" borderId="0" xfId="3" applyFont="1" applyAlignment="1">
      <alignment horizontal="center"/>
    </xf>
    <xf numFmtId="0" fontId="1" fillId="0" borderId="0" xfId="3" applyAlignment="1"/>
    <xf numFmtId="0" fontId="1" fillId="0" borderId="0" xfId="3" applyBorder="1" applyAlignment="1"/>
    <xf numFmtId="0" fontId="1" fillId="0" borderId="0" xfId="3">
      <alignment vertical="center"/>
    </xf>
    <xf numFmtId="0" fontId="1" fillId="0" borderId="1" xfId="3" applyBorder="1" applyAlignment="1"/>
    <xf numFmtId="0" fontId="1" fillId="4" borderId="1" xfId="3" applyFill="1" applyBorder="1" applyAlignment="1"/>
    <xf numFmtId="0" fontId="1" fillId="0" borderId="1" xfId="3" applyBorder="1" applyAlignment="1">
      <alignment horizontal="left"/>
    </xf>
    <xf numFmtId="0" fontId="1" fillId="4" borderId="1" xfId="3" applyFill="1" applyBorder="1" applyAlignment="1">
      <alignment horizontal="right"/>
    </xf>
    <xf numFmtId="0" fontId="1" fillId="0" borderId="3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0" borderId="4" xfId="3" applyFont="1" applyBorder="1" applyAlignment="1">
      <alignment horizontal="center"/>
    </xf>
    <xf numFmtId="0" fontId="1" fillId="0" borderId="1" xfId="3" applyFill="1" applyBorder="1" applyAlignment="1">
      <alignment horizontal="right"/>
    </xf>
    <xf numFmtId="0" fontId="1" fillId="16" borderId="1" xfId="3" applyFill="1" applyBorder="1" applyAlignment="1"/>
    <xf numFmtId="0" fontId="1" fillId="0" borderId="1" xfId="3" applyFill="1" applyBorder="1" applyAlignment="1"/>
    <xf numFmtId="0" fontId="12" fillId="3" borderId="1" xfId="3" applyFont="1" applyFill="1" applyBorder="1" applyAlignment="1"/>
    <xf numFmtId="0" fontId="1" fillId="0" borderId="1" xfId="3" applyBorder="1" applyAlignment="1">
      <alignment horizontal="right"/>
    </xf>
    <xf numFmtId="0" fontId="13" fillId="0" borderId="1" xfId="3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0" fontId="12" fillId="0" borderId="1" xfId="3" applyNumberFormat="1" applyFont="1" applyBorder="1" applyAlignment="1">
      <alignment vertical="center"/>
    </xf>
    <xf numFmtId="0" fontId="11" fillId="0" borderId="1" xfId="3" applyNumberFormat="1" applyFont="1" applyBorder="1" applyAlignment="1">
      <alignment vertical="center"/>
    </xf>
    <xf numFmtId="0" fontId="1" fillId="7" borderId="1" xfId="3" applyFill="1" applyBorder="1" applyAlignment="1"/>
    <xf numFmtId="0" fontId="12" fillId="7" borderId="1" xfId="3" applyFont="1" applyFill="1" applyBorder="1" applyAlignment="1"/>
    <xf numFmtId="0" fontId="12" fillId="5" borderId="1" xfId="3" applyNumberFormat="1" applyFont="1" applyFill="1" applyBorder="1" applyAlignment="1">
      <alignment vertical="center"/>
    </xf>
    <xf numFmtId="0" fontId="27" fillId="5" borderId="1" xfId="3" applyFont="1" applyFill="1" applyBorder="1" applyAlignment="1"/>
    <xf numFmtId="0" fontId="1" fillId="3" borderId="1" xfId="3" applyFill="1" applyBorder="1" applyAlignment="1"/>
    <xf numFmtId="1" fontId="12" fillId="0" borderId="1" xfId="3" applyNumberFormat="1" applyFont="1" applyBorder="1" applyAlignment="1">
      <alignment vertical="center"/>
    </xf>
    <xf numFmtId="0" fontId="1" fillId="0" borderId="1" xfId="3" applyFont="1" applyBorder="1" applyAlignment="1"/>
    <xf numFmtId="191" fontId="1" fillId="0" borderId="1" xfId="3" applyNumberFormat="1" applyBorder="1" applyAlignment="1"/>
    <xf numFmtId="0" fontId="11" fillId="4" borderId="1" xfId="3" applyNumberFormat="1" applyFont="1" applyFill="1" applyBorder="1" applyAlignment="1">
      <alignment vertical="center"/>
    </xf>
    <xf numFmtId="179" fontId="12" fillId="3" borderId="1" xfId="3" applyNumberFormat="1" applyFont="1" applyFill="1" applyBorder="1" applyAlignment="1">
      <alignment vertical="center"/>
    </xf>
    <xf numFmtId="0" fontId="1" fillId="0" borderId="0" xfId="3" applyFill="1" applyBorder="1" applyAlignment="1"/>
    <xf numFmtId="179" fontId="11" fillId="4" borderId="1" xfId="3" applyNumberFormat="1" applyFont="1" applyFill="1" applyBorder="1" applyAlignment="1">
      <alignment vertical="center"/>
    </xf>
    <xf numFmtId="191" fontId="1" fillId="0" borderId="0" xfId="3" applyNumberFormat="1" applyAlignment="1"/>
    <xf numFmtId="0" fontId="1" fillId="0" borderId="73" xfId="3" applyBorder="1" applyAlignment="1"/>
    <xf numFmtId="0" fontId="1" fillId="0" borderId="0" xfId="3" applyFont="1" applyAlignment="1"/>
    <xf numFmtId="0" fontId="12" fillId="0" borderId="0" xfId="3" applyFont="1" applyAlignment="1"/>
    <xf numFmtId="179" fontId="11" fillId="3" borderId="1" xfId="3" applyNumberFormat="1" applyFont="1" applyFill="1" applyBorder="1" applyAlignment="1">
      <alignment vertical="center"/>
    </xf>
    <xf numFmtId="178" fontId="11" fillId="0" borderId="1" xfId="3" applyNumberFormat="1" applyFont="1" applyBorder="1" applyAlignment="1">
      <alignment vertical="center"/>
    </xf>
    <xf numFmtId="179" fontId="1" fillId="0" borderId="0" xfId="3" applyNumberFormat="1" applyAlignment="1"/>
    <xf numFmtId="179" fontId="14" fillId="7" borderId="1" xfId="3" applyNumberFormat="1" applyFont="1" applyFill="1" applyBorder="1" applyAlignment="1">
      <alignment vertical="center"/>
    </xf>
    <xf numFmtId="0" fontId="1" fillId="0" borderId="1" xfId="3" applyFont="1" applyBorder="1" applyAlignment="1">
      <alignment horizontal="right"/>
    </xf>
    <xf numFmtId="0" fontId="1" fillId="5" borderId="1" xfId="3" applyFont="1" applyFill="1" applyBorder="1" applyAlignment="1"/>
    <xf numFmtId="0" fontId="1" fillId="0" borderId="0" xfId="3" applyFont="1" applyBorder="1" applyAlignment="1"/>
    <xf numFmtId="0" fontId="14" fillId="3" borderId="0" xfId="3" applyFont="1" applyFill="1" applyAlignment="1"/>
    <xf numFmtId="0" fontId="1" fillId="17" borderId="1" xfId="3" applyFill="1" applyBorder="1" applyAlignment="1"/>
    <xf numFmtId="0" fontId="1" fillId="5" borderId="1" xfId="3" applyFill="1" applyBorder="1" applyAlignment="1"/>
    <xf numFmtId="191" fontId="1" fillId="0" borderId="74" xfId="3" applyNumberFormat="1" applyBorder="1" applyAlignment="1"/>
    <xf numFmtId="0" fontId="1" fillId="0" borderId="0" xfId="3" applyFill="1" applyAlignment="1"/>
    <xf numFmtId="0" fontId="14" fillId="16" borderId="1" xfId="3" applyFont="1" applyFill="1" applyBorder="1" applyAlignment="1"/>
    <xf numFmtId="0" fontId="14" fillId="7" borderId="0" xfId="3" applyFont="1" applyFill="1" applyBorder="1" applyAlignment="1"/>
    <xf numFmtId="0" fontId="1" fillId="5" borderId="0" xfId="3" applyFill="1" applyBorder="1" applyAlignment="1"/>
    <xf numFmtId="0" fontId="1" fillId="0" borderId="74" xfId="3" applyBorder="1" applyAlignment="1"/>
    <xf numFmtId="0" fontId="1" fillId="18" borderId="1" xfId="3" applyFill="1" applyBorder="1" applyAlignment="1"/>
  </cellXfs>
  <cellStyles count="4">
    <cellStyle name="쉼표 [0]" xfId="1" builtinId="6"/>
    <cellStyle name="표준" xfId="0" builtinId="0"/>
    <cellStyle name="표준 2 3" xfId="3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1557705</xdr:colOff>
      <xdr:row>19</xdr:row>
      <xdr:rowOff>58555</xdr:rowOff>
    </xdr:from>
    <xdr:to>
      <xdr:col>26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467824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1695356</xdr:colOff>
      <xdr:row>19</xdr:row>
      <xdr:rowOff>55621</xdr:rowOff>
    </xdr:from>
    <xdr:to>
      <xdr:col>26</xdr:col>
      <xdr:colOff>1786806</xdr:colOff>
      <xdr:row>19</xdr:row>
      <xdr:rowOff>147459</xdr:rowOff>
    </xdr:to>
    <xdr:sp macro="" textlink="">
      <xdr:nvSpPr>
        <xdr:cNvPr id="3" name="타원 2"/>
        <xdr:cNvSpPr/>
      </xdr:nvSpPr>
      <xdr:spPr>
        <a:xfrm>
          <a:off x="469200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1557705</xdr:colOff>
      <xdr:row>23</xdr:row>
      <xdr:rowOff>56203</xdr:rowOff>
    </xdr:from>
    <xdr:to>
      <xdr:col>26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467824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1690298</xdr:colOff>
      <xdr:row>23</xdr:row>
      <xdr:rowOff>54429</xdr:rowOff>
    </xdr:from>
    <xdr:to>
      <xdr:col>26</xdr:col>
      <xdr:colOff>1779854</xdr:colOff>
      <xdr:row>23</xdr:row>
      <xdr:rowOff>140533</xdr:rowOff>
    </xdr:to>
    <xdr:sp macro="" textlink="">
      <xdr:nvSpPr>
        <xdr:cNvPr id="5" name="타원 4"/>
        <xdr:cNvSpPr/>
      </xdr:nvSpPr>
      <xdr:spPr>
        <a:xfrm>
          <a:off x="469149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1819409</xdr:colOff>
      <xdr:row>23</xdr:row>
      <xdr:rowOff>53245</xdr:rowOff>
    </xdr:from>
    <xdr:to>
      <xdr:col>26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470441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1950107</xdr:colOff>
      <xdr:row>23</xdr:row>
      <xdr:rowOff>54428</xdr:rowOff>
    </xdr:from>
    <xdr:to>
      <xdr:col>26</xdr:col>
      <xdr:colOff>2047875</xdr:colOff>
      <xdr:row>23</xdr:row>
      <xdr:rowOff>146277</xdr:rowOff>
    </xdr:to>
    <xdr:sp macro="" textlink="">
      <xdr:nvSpPr>
        <xdr:cNvPr id="7" name="타원 6"/>
        <xdr:cNvSpPr/>
      </xdr:nvSpPr>
      <xdr:spPr>
        <a:xfrm>
          <a:off x="471748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1553159</xdr:colOff>
      <xdr:row>27</xdr:row>
      <xdr:rowOff>23664</xdr:rowOff>
    </xdr:from>
    <xdr:to>
      <xdr:col>26</xdr:col>
      <xdr:colOff>1632857</xdr:colOff>
      <xdr:row>27</xdr:row>
      <xdr:rowOff>94657</xdr:rowOff>
    </xdr:to>
    <xdr:sp macro="" textlink="">
      <xdr:nvSpPr>
        <xdr:cNvPr id="8" name="타원 7"/>
        <xdr:cNvSpPr/>
      </xdr:nvSpPr>
      <xdr:spPr>
        <a:xfrm>
          <a:off x="467778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1668030</xdr:colOff>
      <xdr:row>27</xdr:row>
      <xdr:rowOff>23230</xdr:rowOff>
    </xdr:from>
    <xdr:to>
      <xdr:col>26</xdr:col>
      <xdr:colOff>1738638</xdr:colOff>
      <xdr:row>27</xdr:row>
      <xdr:rowOff>91335</xdr:rowOff>
    </xdr:to>
    <xdr:sp macro="" textlink="">
      <xdr:nvSpPr>
        <xdr:cNvPr id="9" name="타원 8"/>
        <xdr:cNvSpPr/>
      </xdr:nvSpPr>
      <xdr:spPr>
        <a:xfrm>
          <a:off x="468927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1664555</xdr:colOff>
      <xdr:row>27</xdr:row>
      <xdr:rowOff>120160</xdr:rowOff>
    </xdr:from>
    <xdr:to>
      <xdr:col>26</xdr:col>
      <xdr:colOff>1737784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468892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1556525</xdr:colOff>
      <xdr:row>27</xdr:row>
      <xdr:rowOff>124239</xdr:rowOff>
    </xdr:from>
    <xdr:to>
      <xdr:col>26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467812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</xdr:row>
          <xdr:rowOff>19050</xdr:rowOff>
        </xdr:from>
        <xdr:to>
          <xdr:col>11</xdr:col>
          <xdr:colOff>771525</xdr:colOff>
          <xdr:row>14</xdr:row>
          <xdr:rowOff>47625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92"/>
  <sheetViews>
    <sheetView zoomScale="80" zoomScaleNormal="80" workbookViewId="0">
      <selection activeCell="G21" sqref="G21"/>
    </sheetView>
  </sheetViews>
  <sheetFormatPr defaultColWidth="8.88671875" defaultRowHeight="13.5" x14ac:dyDescent="0.15"/>
  <cols>
    <col min="1" max="1" width="8.88671875" style="1"/>
    <col min="2" max="2" width="40.77734375" style="1" customWidth="1"/>
    <col min="3" max="4" width="13.88671875" style="1" bestFit="1" customWidth="1"/>
    <col min="5" max="5" width="13.88671875" style="1" customWidth="1"/>
    <col min="6" max="6" width="13.88671875" style="1" bestFit="1" customWidth="1"/>
    <col min="7" max="7" width="13.88671875" style="1" customWidth="1"/>
    <col min="8" max="10" width="13.88671875" style="1" bestFit="1" customWidth="1"/>
    <col min="11" max="11" width="6.33203125" style="1" customWidth="1"/>
    <col min="12" max="12" width="8.21875" style="1" bestFit="1" customWidth="1"/>
    <col min="13" max="13" width="67.33203125" style="1" customWidth="1"/>
    <col min="14" max="14" width="4" style="1" customWidth="1"/>
    <col min="15" max="15" width="19.109375" style="1" customWidth="1"/>
    <col min="16" max="17" width="12.77734375" style="1" bestFit="1" customWidth="1"/>
    <col min="18" max="18" width="12.109375" style="1" bestFit="1" customWidth="1"/>
    <col min="19" max="19" width="20.88671875" style="1" bestFit="1" customWidth="1"/>
    <col min="20" max="20" width="10.109375" style="1" bestFit="1" customWidth="1"/>
    <col min="21" max="21" width="8.88671875" style="1"/>
    <col min="22" max="22" width="4.44140625" style="1" customWidth="1"/>
    <col min="23" max="23" width="17.5546875" style="1" bestFit="1" customWidth="1"/>
    <col min="24" max="24" width="8.88671875" style="1"/>
    <col min="25" max="25" width="10.77734375" style="1" bestFit="1" customWidth="1"/>
    <col min="26" max="26" width="4.5546875" style="1" customWidth="1"/>
    <col min="27" max="27" width="30.6640625" style="1" customWidth="1"/>
    <col min="28" max="28" width="9" style="1" bestFit="1" customWidth="1"/>
    <col min="29" max="29" width="7" style="1" customWidth="1"/>
    <col min="30" max="30" width="8.88671875" style="1"/>
    <col min="31" max="31" width="25.21875" style="1" bestFit="1" customWidth="1"/>
    <col min="32" max="32" width="12.88671875" style="1" bestFit="1" customWidth="1"/>
    <col min="33" max="33" width="3.88671875" style="1" bestFit="1" customWidth="1"/>
    <col min="34" max="16384" width="8.88671875" style="1"/>
  </cols>
  <sheetData>
    <row r="1" spans="2:34" ht="18" thickBot="1" x14ac:dyDescent="0.2">
      <c r="B1" s="69" t="s">
        <v>290</v>
      </c>
    </row>
    <row r="2" spans="2:34" ht="16.5" x14ac:dyDescent="0.15">
      <c r="B2" s="214" t="s">
        <v>216</v>
      </c>
      <c r="C2" s="323" t="s">
        <v>654</v>
      </c>
      <c r="D2" s="322" t="s">
        <v>655</v>
      </c>
      <c r="E2" s="276" t="s">
        <v>656</v>
      </c>
      <c r="F2" s="274"/>
      <c r="G2" s="275"/>
      <c r="H2" s="324" t="s">
        <v>657</v>
      </c>
      <c r="I2" s="323" t="s">
        <v>658</v>
      </c>
      <c r="J2" s="323" t="s">
        <v>659</v>
      </c>
      <c r="K2" s="47"/>
      <c r="L2" s="47" t="s">
        <v>273</v>
      </c>
      <c r="M2" s="47" t="s">
        <v>221</v>
      </c>
    </row>
    <row r="3" spans="2:34" ht="16.5" x14ac:dyDescent="0.15">
      <c r="B3" s="225" t="s">
        <v>18</v>
      </c>
      <c r="C3" s="57">
        <v>700</v>
      </c>
      <c r="D3" s="221">
        <v>700</v>
      </c>
      <c r="E3" s="237">
        <v>700</v>
      </c>
      <c r="F3" s="57">
        <v>700</v>
      </c>
      <c r="G3" s="238">
        <v>700</v>
      </c>
      <c r="H3" s="325">
        <v>700</v>
      </c>
      <c r="I3" s="57">
        <v>700</v>
      </c>
      <c r="J3" s="57">
        <v>700</v>
      </c>
      <c r="K3" s="236" t="s">
        <v>1</v>
      </c>
      <c r="L3" s="49">
        <v>1</v>
      </c>
      <c r="M3" s="50" t="s">
        <v>219</v>
      </c>
      <c r="O3" s="270" t="s">
        <v>258</v>
      </c>
      <c r="P3" s="270"/>
      <c r="Q3" s="270"/>
      <c r="R3" s="13"/>
      <c r="S3" s="272" t="s">
        <v>217</v>
      </c>
      <c r="T3" s="272"/>
      <c r="U3" s="272"/>
      <c r="V3" s="13"/>
      <c r="W3" s="272" t="s">
        <v>489</v>
      </c>
      <c r="X3" s="272"/>
      <c r="Y3" s="272"/>
      <c r="Z3" s="13"/>
      <c r="AA3" s="270" t="s">
        <v>238</v>
      </c>
      <c r="AB3" s="270"/>
      <c r="AC3" s="270"/>
      <c r="AD3" s="14"/>
      <c r="AE3" s="270" t="s">
        <v>238</v>
      </c>
      <c r="AF3" s="270"/>
      <c r="AG3" s="270"/>
    </row>
    <row r="4" spans="2:34" ht="16.5" x14ac:dyDescent="0.15">
      <c r="B4" s="225" t="s">
        <v>500</v>
      </c>
      <c r="C4" s="57">
        <v>440</v>
      </c>
      <c r="D4" s="221">
        <v>440</v>
      </c>
      <c r="E4" s="237">
        <v>440</v>
      </c>
      <c r="F4" s="57">
        <v>440</v>
      </c>
      <c r="G4" s="238">
        <v>440</v>
      </c>
      <c r="H4" s="325">
        <v>440</v>
      </c>
      <c r="I4" s="57">
        <v>440</v>
      </c>
      <c r="J4" s="57">
        <v>440</v>
      </c>
      <c r="K4" s="236" t="s">
        <v>0</v>
      </c>
      <c r="L4" s="49">
        <v>2</v>
      </c>
      <c r="M4" s="50" t="s">
        <v>220</v>
      </c>
      <c r="O4" s="5" t="s">
        <v>10</v>
      </c>
      <c r="P4" s="7">
        <v>52</v>
      </c>
      <c r="Q4" s="5" t="s">
        <v>11</v>
      </c>
      <c r="R4" s="13"/>
      <c r="S4" s="5" t="s">
        <v>20</v>
      </c>
      <c r="T4" s="7">
        <v>400</v>
      </c>
      <c r="U4" s="5" t="s">
        <v>0</v>
      </c>
      <c r="V4" s="13"/>
      <c r="W4" s="5" t="s">
        <v>188</v>
      </c>
      <c r="X4" s="3" t="s">
        <v>189</v>
      </c>
      <c r="Y4" s="3"/>
      <c r="Z4" s="13"/>
      <c r="AA4" s="6" t="s">
        <v>106</v>
      </c>
      <c r="AB4" s="7">
        <v>25</v>
      </c>
      <c r="AC4" s="6" t="s">
        <v>15</v>
      </c>
      <c r="AD4" s="269" t="s">
        <v>837</v>
      </c>
      <c r="AE4" s="6" t="s">
        <v>838</v>
      </c>
      <c r="AF4" s="7">
        <v>490</v>
      </c>
      <c r="AG4" s="6" t="s">
        <v>15</v>
      </c>
      <c r="AH4" s="2" t="s">
        <v>840</v>
      </c>
    </row>
    <row r="5" spans="2:34" ht="16.5" x14ac:dyDescent="0.15">
      <c r="B5" s="225" t="s">
        <v>73</v>
      </c>
      <c r="C5" s="87">
        <v>0.9</v>
      </c>
      <c r="D5" s="222">
        <v>0.9</v>
      </c>
      <c r="E5" s="239">
        <v>0.9</v>
      </c>
      <c r="F5" s="87">
        <v>0.9</v>
      </c>
      <c r="G5" s="240">
        <v>0.9</v>
      </c>
      <c r="H5" s="326">
        <v>0.9</v>
      </c>
      <c r="I5" s="87">
        <v>0.9</v>
      </c>
      <c r="J5" s="87">
        <v>0.9</v>
      </c>
      <c r="K5" s="236"/>
      <c r="L5" s="49"/>
      <c r="M5" s="48" t="s">
        <v>479</v>
      </c>
      <c r="O5" s="5" t="s">
        <v>12</v>
      </c>
      <c r="P5" s="7">
        <v>135</v>
      </c>
      <c r="Q5" s="5" t="s">
        <v>13</v>
      </c>
      <c r="R5" s="13"/>
      <c r="S5" s="5" t="s">
        <v>466</v>
      </c>
      <c r="T5" s="7">
        <v>0.04</v>
      </c>
      <c r="U5" s="5" t="s">
        <v>19</v>
      </c>
      <c r="V5" s="13"/>
      <c r="W5" s="12" t="s">
        <v>190</v>
      </c>
      <c r="X5" s="15">
        <v>1.75</v>
      </c>
      <c r="Y5" s="12" t="s">
        <v>191</v>
      </c>
      <c r="Z5" s="13"/>
      <c r="AA5" s="6" t="s">
        <v>107</v>
      </c>
      <c r="AB5" s="7">
        <v>5100</v>
      </c>
      <c r="AC5" s="6" t="s">
        <v>2</v>
      </c>
      <c r="AD5" s="14"/>
      <c r="AE5" s="6" t="s">
        <v>839</v>
      </c>
      <c r="AF5" s="7">
        <v>1210</v>
      </c>
      <c r="AG5" s="6" t="s">
        <v>2</v>
      </c>
    </row>
    <row r="6" spans="2:34" ht="16.5" x14ac:dyDescent="0.15">
      <c r="B6" s="225" t="s">
        <v>64</v>
      </c>
      <c r="C6" s="59">
        <f>ROUND(C3*1000/(C4*0.9)/1.732/C5,1)</f>
        <v>1134</v>
      </c>
      <c r="D6" s="223">
        <f>ROUND(D3*1000/(D4*0.9)/1.732/D5,1)</f>
        <v>1134</v>
      </c>
      <c r="E6" s="241">
        <f t="shared" ref="E6" si="0">ROUND(E3*1000/(E4*0.9)/1.732/E5,1)</f>
        <v>1134</v>
      </c>
      <c r="F6" s="59">
        <f t="shared" ref="F6:H6" si="1">ROUND(F3*1000/(F4*0.9)/1.732/F5,1)</f>
        <v>1134</v>
      </c>
      <c r="G6" s="242">
        <f t="shared" ref="G6" si="2">ROUND(G3*1000/(G4*0.9)/1.732/G5,1)</f>
        <v>1134</v>
      </c>
      <c r="H6" s="327">
        <f t="shared" si="1"/>
        <v>1134</v>
      </c>
      <c r="I6" s="59">
        <f t="shared" ref="I6:J6" si="3">ROUND(I3*1000/(I4*0.9)/1.732/I5,1)</f>
        <v>1134</v>
      </c>
      <c r="J6" s="59">
        <f t="shared" si="3"/>
        <v>1134</v>
      </c>
      <c r="K6" s="236" t="s">
        <v>2</v>
      </c>
      <c r="L6" s="49"/>
      <c r="M6" s="48" t="s">
        <v>270</v>
      </c>
      <c r="O6" s="5" t="s">
        <v>14</v>
      </c>
      <c r="P6" s="7">
        <v>1920</v>
      </c>
      <c r="Q6" s="5" t="s">
        <v>13</v>
      </c>
      <c r="R6" s="13"/>
      <c r="S6" s="5" t="s">
        <v>21</v>
      </c>
      <c r="T6" s="7">
        <v>36</v>
      </c>
      <c r="U6" s="5" t="s">
        <v>22</v>
      </c>
      <c r="V6" s="13"/>
      <c r="W6" s="12" t="s">
        <v>192</v>
      </c>
      <c r="X6" s="16">
        <v>3.8999999999999998E-3</v>
      </c>
      <c r="Y6" s="12" t="s">
        <v>193</v>
      </c>
      <c r="Z6" s="13"/>
      <c r="AA6" s="6" t="s">
        <v>108</v>
      </c>
      <c r="AB6" s="7">
        <v>7200</v>
      </c>
      <c r="AC6" s="6" t="s">
        <v>27</v>
      </c>
      <c r="AD6" s="14"/>
      <c r="AE6" s="6" t="s">
        <v>108</v>
      </c>
      <c r="AF6" s="7">
        <v>7200</v>
      </c>
      <c r="AG6" s="6" t="s">
        <v>27</v>
      </c>
    </row>
    <row r="7" spans="2:34" ht="16.5" x14ac:dyDescent="0.15">
      <c r="B7" s="225" t="s">
        <v>51</v>
      </c>
      <c r="C7" s="58">
        <v>2</v>
      </c>
      <c r="D7" s="224">
        <v>2</v>
      </c>
      <c r="E7" s="243">
        <v>2</v>
      </c>
      <c r="F7" s="58">
        <v>2</v>
      </c>
      <c r="G7" s="244">
        <v>2</v>
      </c>
      <c r="H7" s="328">
        <v>2</v>
      </c>
      <c r="I7" s="58">
        <v>2</v>
      </c>
      <c r="J7" s="58">
        <v>2</v>
      </c>
      <c r="K7" s="236" t="s">
        <v>74</v>
      </c>
      <c r="L7" s="49"/>
      <c r="M7" s="48"/>
      <c r="O7" s="5" t="s">
        <v>97</v>
      </c>
      <c r="P7" s="8">
        <f>(P5*P4)*(P5*P4)/(101.6*(4.5*P5+10*P6))</f>
        <v>24.487861016615636</v>
      </c>
      <c r="Q7" s="5" t="s">
        <v>15</v>
      </c>
      <c r="R7" s="13"/>
      <c r="S7" s="5" t="s">
        <v>23</v>
      </c>
      <c r="T7" s="7">
        <v>400000</v>
      </c>
      <c r="U7" s="5" t="s">
        <v>24</v>
      </c>
      <c r="V7" s="13"/>
      <c r="W7" s="12" t="s">
        <v>194</v>
      </c>
      <c r="X7" s="17">
        <v>45</v>
      </c>
      <c r="Y7" s="12" t="s">
        <v>48</v>
      </c>
      <c r="Z7" s="13"/>
      <c r="AA7" s="6" t="s">
        <v>262</v>
      </c>
      <c r="AB7" s="7">
        <v>580</v>
      </c>
      <c r="AC7" s="6" t="s">
        <v>0</v>
      </c>
      <c r="AD7" s="14"/>
      <c r="AE7" s="6" t="s">
        <v>262</v>
      </c>
      <c r="AF7" s="7">
        <v>580</v>
      </c>
      <c r="AG7" s="6" t="s">
        <v>0</v>
      </c>
    </row>
    <row r="8" spans="2:34" ht="16.5" x14ac:dyDescent="0.15">
      <c r="B8" s="225" t="s">
        <v>65</v>
      </c>
      <c r="C8" s="58">
        <f>ROUND(C6/C7,0)</f>
        <v>567</v>
      </c>
      <c r="D8" s="224">
        <f>ROUND(D6/D7,0)</f>
        <v>567</v>
      </c>
      <c r="E8" s="243">
        <f>ROUND(E6/E7,0)</f>
        <v>567</v>
      </c>
      <c r="F8" s="58">
        <f>ROUND(F6/F7,0)</f>
        <v>567</v>
      </c>
      <c r="G8" s="244">
        <f>ROUND(G6/G7,0)</f>
        <v>567</v>
      </c>
      <c r="H8" s="328">
        <f>ROUND(H6/H7,0)</f>
        <v>567</v>
      </c>
      <c r="I8" s="58">
        <f>ROUND(I6/I7,0)</f>
        <v>567</v>
      </c>
      <c r="J8" s="58">
        <f t="shared" ref="J8" si="4">ROUND(J6/J7,0)</f>
        <v>567</v>
      </c>
      <c r="K8" s="236" t="s">
        <v>3</v>
      </c>
      <c r="L8" s="49"/>
      <c r="M8" s="48"/>
      <c r="O8" s="5" t="s">
        <v>98</v>
      </c>
      <c r="P8" s="7">
        <v>94</v>
      </c>
      <c r="Q8" s="5" t="s">
        <v>7</v>
      </c>
      <c r="R8" s="13"/>
      <c r="S8" s="5" t="s">
        <v>25</v>
      </c>
      <c r="T8" s="25">
        <f>(5000*T4)/(T5*T6*T7)</f>
        <v>3.4722222222222223</v>
      </c>
      <c r="U8" s="5" t="s">
        <v>218</v>
      </c>
      <c r="V8" s="13"/>
      <c r="W8" s="12" t="s">
        <v>195</v>
      </c>
      <c r="X8" s="16">
        <f>X5*(1+X6*(X7-20))</f>
        <v>1.9206249999999998</v>
      </c>
      <c r="Y8" s="12" t="s">
        <v>191</v>
      </c>
      <c r="Z8" s="13"/>
      <c r="AA8" s="6" t="s">
        <v>261</v>
      </c>
      <c r="AB8" s="25">
        <f>SQRT(AB7^2+AB4*AB5^2/AB6)</f>
        <v>653.23234763750031</v>
      </c>
      <c r="AC8" s="6" t="s">
        <v>0</v>
      </c>
      <c r="AD8" s="14"/>
      <c r="AE8" s="6" t="s">
        <v>261</v>
      </c>
      <c r="AF8" s="25">
        <f>SQRT(AF7^2+AF4*AF5^2/AF6)</f>
        <v>660.33335436648122</v>
      </c>
      <c r="AG8" s="6" t="s">
        <v>0</v>
      </c>
    </row>
    <row r="9" spans="2:34" ht="16.5" x14ac:dyDescent="0.15">
      <c r="B9" s="225"/>
      <c r="C9" s="48"/>
      <c r="D9" s="225"/>
      <c r="E9" s="245"/>
      <c r="F9" s="48"/>
      <c r="G9" s="246"/>
      <c r="H9" s="236"/>
      <c r="I9" s="48"/>
      <c r="J9" s="48"/>
      <c r="K9" s="236"/>
      <c r="L9" s="49"/>
      <c r="M9" s="48"/>
      <c r="O9" s="5" t="s">
        <v>95</v>
      </c>
      <c r="P9" s="8">
        <f>P7*P8/100</f>
        <v>23.018589355618698</v>
      </c>
      <c r="Q9" s="5" t="s">
        <v>15</v>
      </c>
      <c r="R9" s="13"/>
      <c r="S9" s="13"/>
      <c r="T9" s="13"/>
      <c r="U9" s="13"/>
      <c r="V9" s="13"/>
      <c r="W9" s="12" t="s">
        <v>196</v>
      </c>
      <c r="X9" s="18">
        <f>1/(X8/100000000)</f>
        <v>52066384.64041654</v>
      </c>
      <c r="Y9" s="12" t="s">
        <v>197</v>
      </c>
      <c r="Z9" s="13"/>
      <c r="AA9" s="13"/>
      <c r="AB9" s="13"/>
      <c r="AC9" s="13"/>
      <c r="AD9" s="14"/>
    </row>
    <row r="10" spans="2:34" ht="16.5" x14ac:dyDescent="0.15">
      <c r="B10" s="225" t="s">
        <v>16</v>
      </c>
      <c r="C10" s="59">
        <f>ROUND(C4*2^0.5*0.93,1)</f>
        <v>578.70000000000005</v>
      </c>
      <c r="D10" s="223">
        <f>ROUND(D4*2^0.5*0.93,1)</f>
        <v>578.70000000000005</v>
      </c>
      <c r="E10" s="241">
        <f>ROUND(E4*2^0.5*0.93,1)</f>
        <v>578.70000000000005</v>
      </c>
      <c r="F10" s="59">
        <f>ROUND(F4*2^0.5*0.93,1)</f>
        <v>578.70000000000005</v>
      </c>
      <c r="G10" s="242">
        <f>ROUND(G4*2^0.5*0.93,1)</f>
        <v>578.70000000000005</v>
      </c>
      <c r="H10" s="327">
        <f>ROUND(H4*2^0.5*0.93,1)</f>
        <v>578.70000000000005</v>
      </c>
      <c r="I10" s="59">
        <f>ROUND(I4*2^0.5*0.93,1)</f>
        <v>578.70000000000005</v>
      </c>
      <c r="J10" s="59">
        <f t="shared" ref="J10" si="5">ROUND(J4*2^0.5*0.93,1)</f>
        <v>578.70000000000005</v>
      </c>
      <c r="K10" s="236" t="s">
        <v>0</v>
      </c>
      <c r="L10" s="49"/>
      <c r="M10" s="48" t="s">
        <v>269</v>
      </c>
      <c r="O10" s="6" t="s">
        <v>94</v>
      </c>
      <c r="P10" s="7">
        <v>1.86</v>
      </c>
      <c r="Q10" s="5" t="s">
        <v>15</v>
      </c>
      <c r="R10" s="13"/>
      <c r="S10" s="272" t="s">
        <v>502</v>
      </c>
      <c r="T10" s="272"/>
      <c r="U10" s="272"/>
      <c r="V10" s="13"/>
      <c r="W10" s="12" t="s">
        <v>198</v>
      </c>
      <c r="X10" s="3">
        <v>1</v>
      </c>
      <c r="Y10" s="12" t="s">
        <v>199</v>
      </c>
      <c r="Z10" s="13"/>
      <c r="AA10" s="270" t="s">
        <v>249</v>
      </c>
      <c r="AB10" s="270"/>
      <c r="AC10" s="270"/>
      <c r="AD10" s="14"/>
    </row>
    <row r="11" spans="2:34" ht="16.5" x14ac:dyDescent="0.15">
      <c r="B11" s="225" t="s">
        <v>17</v>
      </c>
      <c r="C11" s="59">
        <f>ROUND(C3*1000/C10,1)</f>
        <v>1209.5999999999999</v>
      </c>
      <c r="D11" s="223">
        <f>ROUND(D3*1000/D10,1)</f>
        <v>1209.5999999999999</v>
      </c>
      <c r="E11" s="241">
        <f>ROUND(E3*1000/E10,1)</f>
        <v>1209.5999999999999</v>
      </c>
      <c r="F11" s="59">
        <f>ROUND(F3*1000/F10,1)</f>
        <v>1209.5999999999999</v>
      </c>
      <c r="G11" s="242">
        <f>ROUND(G3*1000/G10,1)</f>
        <v>1209.5999999999999</v>
      </c>
      <c r="H11" s="327">
        <f>ROUND(H3*1000/H10,1)</f>
        <v>1209.5999999999999</v>
      </c>
      <c r="I11" s="59">
        <f>ROUND(I3*1000/I10,1)</f>
        <v>1209.5999999999999</v>
      </c>
      <c r="J11" s="59">
        <f t="shared" ref="J11" si="6">ROUND(J3*1000/J10,1)</f>
        <v>1209.5999999999999</v>
      </c>
      <c r="K11" s="236" t="s">
        <v>2</v>
      </c>
      <c r="L11" s="49"/>
      <c r="M11" s="48" t="s">
        <v>271</v>
      </c>
      <c r="O11" s="6" t="s">
        <v>259</v>
      </c>
      <c r="P11" s="7">
        <v>1</v>
      </c>
      <c r="Q11" s="5" t="s">
        <v>42</v>
      </c>
      <c r="R11" s="13"/>
      <c r="S11" s="5" t="s">
        <v>26</v>
      </c>
      <c r="T11" s="7">
        <f>P24</f>
        <v>976</v>
      </c>
      <c r="U11" s="5" t="s">
        <v>27</v>
      </c>
      <c r="V11" s="13"/>
      <c r="W11" s="12" t="s">
        <v>37</v>
      </c>
      <c r="X11" s="19">
        <v>1000</v>
      </c>
      <c r="Y11" s="12" t="s">
        <v>200</v>
      </c>
      <c r="Z11" s="13"/>
      <c r="AA11" s="5" t="s">
        <v>108</v>
      </c>
      <c r="AB11" s="7">
        <v>7200</v>
      </c>
      <c r="AC11" s="5" t="s">
        <v>27</v>
      </c>
      <c r="AD11" s="269" t="s">
        <v>837</v>
      </c>
    </row>
    <row r="12" spans="2:34" ht="16.5" x14ac:dyDescent="0.15">
      <c r="B12" s="225"/>
      <c r="C12" s="48"/>
      <c r="D12" s="225"/>
      <c r="E12" s="245"/>
      <c r="F12" s="48"/>
      <c r="G12" s="246"/>
      <c r="H12" s="236"/>
      <c r="I12" s="48"/>
      <c r="J12" s="48"/>
      <c r="K12" s="236"/>
      <c r="L12" s="49"/>
      <c r="M12" s="48"/>
      <c r="O12" s="6" t="s">
        <v>96</v>
      </c>
      <c r="P12" s="7">
        <v>1</v>
      </c>
      <c r="Q12" s="5" t="s">
        <v>66</v>
      </c>
      <c r="R12" s="13"/>
      <c r="S12" s="5" t="s">
        <v>28</v>
      </c>
      <c r="T12" s="121">
        <f>P14</f>
        <v>24.878589355618697</v>
      </c>
      <c r="U12" s="5" t="s">
        <v>15</v>
      </c>
      <c r="V12" s="13"/>
      <c r="W12" s="12" t="s">
        <v>230</v>
      </c>
      <c r="X12" s="31">
        <f>503.3*SQRT((X8/100000000)/(X10*X11))*1000</f>
        <v>2.205709020034714</v>
      </c>
      <c r="Y12" s="12" t="s">
        <v>201</v>
      </c>
      <c r="Z12" s="13"/>
      <c r="AA12" s="5" t="s">
        <v>110</v>
      </c>
      <c r="AB12" s="7">
        <v>580</v>
      </c>
      <c r="AC12" s="5" t="s">
        <v>0</v>
      </c>
      <c r="AD12" s="14"/>
    </row>
    <row r="13" spans="2:34" ht="16.5" x14ac:dyDescent="0.15">
      <c r="B13" s="214" t="s">
        <v>215</v>
      </c>
      <c r="C13" s="48"/>
      <c r="D13" s="225"/>
      <c r="E13" s="245"/>
      <c r="F13" s="48"/>
      <c r="G13" s="246"/>
      <c r="H13" s="236"/>
      <c r="I13" s="48"/>
      <c r="J13" s="48"/>
      <c r="K13" s="236"/>
      <c r="L13" s="49"/>
      <c r="M13" s="48"/>
      <c r="O13" s="6" t="s">
        <v>99</v>
      </c>
      <c r="P13" s="20">
        <v>1</v>
      </c>
      <c r="Q13" s="5" t="s">
        <v>67</v>
      </c>
      <c r="R13" s="13"/>
      <c r="S13" s="5" t="s">
        <v>29</v>
      </c>
      <c r="T13" s="25">
        <f>1/(2*3.14*SQRT((T11/1000000)*(T12/1000000)))</f>
        <v>1021.8862877169458</v>
      </c>
      <c r="U13" s="5" t="s">
        <v>30</v>
      </c>
      <c r="V13" s="13"/>
      <c r="W13" s="12" t="s">
        <v>231</v>
      </c>
      <c r="X13" s="26">
        <v>6126</v>
      </c>
      <c r="Y13" s="12" t="s">
        <v>201</v>
      </c>
      <c r="Z13" s="13"/>
      <c r="AA13" s="5" t="s">
        <v>107</v>
      </c>
      <c r="AB13" s="7">
        <v>5100</v>
      </c>
      <c r="AC13" s="5" t="s">
        <v>2</v>
      </c>
      <c r="AD13" s="14"/>
    </row>
    <row r="14" spans="2:34" ht="16.5" x14ac:dyDescent="0.15">
      <c r="B14" s="225" t="s">
        <v>75</v>
      </c>
      <c r="C14" s="57">
        <v>27.1</v>
      </c>
      <c r="D14" s="221">
        <v>27.3</v>
      </c>
      <c r="E14" s="237">
        <v>25</v>
      </c>
      <c r="F14" s="57">
        <v>25</v>
      </c>
      <c r="G14" s="238">
        <v>25</v>
      </c>
      <c r="H14" s="325">
        <v>23.5</v>
      </c>
      <c r="I14" s="57">
        <v>23.6</v>
      </c>
      <c r="J14" s="57">
        <v>22</v>
      </c>
      <c r="K14" s="236" t="s">
        <v>15</v>
      </c>
      <c r="L14" s="49">
        <v>3</v>
      </c>
      <c r="M14" s="50" t="s">
        <v>267</v>
      </c>
      <c r="O14" s="6" t="s">
        <v>260</v>
      </c>
      <c r="P14" s="30">
        <f>P9/P12*P13*P11^2+P10</f>
        <v>24.878589355618697</v>
      </c>
      <c r="Q14" s="5" t="s">
        <v>15</v>
      </c>
      <c r="R14" s="13"/>
      <c r="S14" s="13"/>
      <c r="T14" s="13"/>
      <c r="U14" s="13"/>
      <c r="V14" s="13"/>
      <c r="W14" s="12" t="s">
        <v>257</v>
      </c>
      <c r="X14" s="26">
        <v>2</v>
      </c>
      <c r="Y14" s="12" t="s">
        <v>201</v>
      </c>
      <c r="Z14" s="13"/>
      <c r="AA14" s="5" t="s">
        <v>112</v>
      </c>
      <c r="AB14" s="7">
        <v>12000</v>
      </c>
      <c r="AC14" s="5" t="s">
        <v>24</v>
      </c>
      <c r="AD14" s="14"/>
    </row>
    <row r="15" spans="2:34" ht="16.5" x14ac:dyDescent="0.15">
      <c r="B15" s="225" t="s">
        <v>76</v>
      </c>
      <c r="C15" s="57">
        <v>976</v>
      </c>
      <c r="D15" s="57">
        <v>976</v>
      </c>
      <c r="E15" s="57">
        <v>976</v>
      </c>
      <c r="F15" s="57">
        <v>976</v>
      </c>
      <c r="G15" s="57">
        <v>976</v>
      </c>
      <c r="H15" s="57">
        <v>976</v>
      </c>
      <c r="I15" s="57">
        <v>976</v>
      </c>
      <c r="J15" s="57">
        <v>976</v>
      </c>
      <c r="K15" s="236" t="s">
        <v>27</v>
      </c>
      <c r="L15" s="49">
        <v>4</v>
      </c>
      <c r="M15" s="50" t="s">
        <v>272</v>
      </c>
      <c r="N15" s="2"/>
      <c r="O15" s="13"/>
      <c r="P15" s="13"/>
      <c r="Q15" s="13"/>
      <c r="R15" s="13"/>
      <c r="S15" s="272" t="s">
        <v>224</v>
      </c>
      <c r="T15" s="272"/>
      <c r="U15" s="272"/>
      <c r="V15" s="13"/>
      <c r="W15" s="12" t="s">
        <v>255</v>
      </c>
      <c r="X15" s="27">
        <f>MIN(X12,X14)</f>
        <v>2</v>
      </c>
      <c r="Y15" s="12" t="s">
        <v>201</v>
      </c>
      <c r="Z15" s="13"/>
      <c r="AA15" s="5" t="s">
        <v>113</v>
      </c>
      <c r="AB15" s="8">
        <f>(1.414*AB13*0.421)/(2*3.14159*AB14*AB12*2*AB11*0.000001)*2*100</f>
        <v>0.96422956551554095</v>
      </c>
      <c r="AC15" s="5" t="s">
        <v>7</v>
      </c>
      <c r="AD15" s="14"/>
    </row>
    <row r="16" spans="2:34" ht="16.5" x14ac:dyDescent="0.15">
      <c r="B16" s="225" t="s">
        <v>77</v>
      </c>
      <c r="C16" s="60">
        <f>1000/(2*PI()*(C14*C15)^0.5)</f>
        <v>0.97861209121644688</v>
      </c>
      <c r="D16" s="226">
        <f>1000/(2*PI()*(D14*D15)^0.5)</f>
        <v>0.97502084207146322</v>
      </c>
      <c r="E16" s="247">
        <f>1000/(2*PI()*(E14*E15)^0.5)</f>
        <v>1.0188851169691948</v>
      </c>
      <c r="F16" s="60">
        <f>1000/(2*PI()*(F14*F15)^0.5)</f>
        <v>1.0188851169691948</v>
      </c>
      <c r="G16" s="248">
        <f>1000/(2*PI()*(G14*G15)^0.5)</f>
        <v>1.0188851169691948</v>
      </c>
      <c r="H16" s="329">
        <f>1000/(2*PI()*(H14*H15)^0.5)</f>
        <v>1.0508997571389034</v>
      </c>
      <c r="I16" s="60">
        <f>1000/(2*PI()*(I14*I15)^0.5)</f>
        <v>1.0486709110303571</v>
      </c>
      <c r="J16" s="60">
        <f t="shared" ref="J16" si="7">1000/(2*PI()*(J14*J15)^0.5)</f>
        <v>1.0861351841095113</v>
      </c>
      <c r="K16" s="236" t="s">
        <v>4</v>
      </c>
      <c r="L16" s="49"/>
      <c r="M16" s="48" t="s">
        <v>223</v>
      </c>
      <c r="O16" s="270" t="s">
        <v>202</v>
      </c>
      <c r="P16" s="270"/>
      <c r="Q16" s="270"/>
      <c r="R16" s="13"/>
      <c r="S16" s="5" t="s">
        <v>31</v>
      </c>
      <c r="T16" s="7">
        <v>40</v>
      </c>
      <c r="U16" s="5" t="s">
        <v>32</v>
      </c>
      <c r="V16" s="13"/>
      <c r="W16" s="12" t="s">
        <v>253</v>
      </c>
      <c r="X16" s="26">
        <v>60</v>
      </c>
      <c r="Y16" s="12" t="s">
        <v>201</v>
      </c>
      <c r="Z16" s="13"/>
      <c r="AA16" s="5" t="s">
        <v>109</v>
      </c>
      <c r="AB16" s="25">
        <f>AB12*AB15/100</f>
        <v>5.5925314799901376</v>
      </c>
      <c r="AC16" s="5" t="s">
        <v>0</v>
      </c>
      <c r="AD16" s="14"/>
    </row>
    <row r="17" spans="2:30" ht="16.5" x14ac:dyDescent="0.15">
      <c r="B17" s="225" t="s">
        <v>78</v>
      </c>
      <c r="C17" s="57">
        <v>50</v>
      </c>
      <c r="D17" s="221">
        <v>48.5</v>
      </c>
      <c r="E17" s="237">
        <v>30</v>
      </c>
      <c r="F17" s="57">
        <v>47.5</v>
      </c>
      <c r="G17" s="238">
        <v>57.5</v>
      </c>
      <c r="H17" s="325">
        <v>48</v>
      </c>
      <c r="I17" s="57">
        <v>47.5</v>
      </c>
      <c r="J17" s="57">
        <v>47.5</v>
      </c>
      <c r="K17" s="236" t="s">
        <v>79</v>
      </c>
      <c r="L17" s="49">
        <v>6</v>
      </c>
      <c r="M17" s="50" t="s">
        <v>250</v>
      </c>
      <c r="O17" s="21" t="s">
        <v>207</v>
      </c>
      <c r="P17" s="22">
        <v>305</v>
      </c>
      <c r="Q17" s="21" t="s">
        <v>27</v>
      </c>
      <c r="R17" s="13"/>
      <c r="S17" s="5" t="s">
        <v>33</v>
      </c>
      <c r="T17" s="7">
        <v>17.34</v>
      </c>
      <c r="U17" s="5" t="s">
        <v>4</v>
      </c>
      <c r="V17" s="13"/>
      <c r="W17" s="12" t="s">
        <v>252</v>
      </c>
      <c r="X17" s="27">
        <f>X15*X16</f>
        <v>120</v>
      </c>
      <c r="Y17" s="12" t="s">
        <v>227</v>
      </c>
      <c r="Z17" s="13"/>
      <c r="AA17" s="5" t="s">
        <v>111</v>
      </c>
      <c r="AB17" s="25">
        <f>2*3.14159*AB14*AB11*0.000001*AB16</f>
        <v>3035.9993999999992</v>
      </c>
      <c r="AC17" s="5" t="s">
        <v>2</v>
      </c>
      <c r="AD17" s="14"/>
    </row>
    <row r="18" spans="2:30" ht="16.5" x14ac:dyDescent="0.15">
      <c r="B18" s="225" t="s">
        <v>80</v>
      </c>
      <c r="C18" s="58">
        <f>ROUNDUP(TAN(PI()*C17/180),3)</f>
        <v>1.1919999999999999</v>
      </c>
      <c r="D18" s="224">
        <f>ROUNDUP(TAN(PI()*D17/180),3)</f>
        <v>1.1309999999999998</v>
      </c>
      <c r="E18" s="243">
        <f>ROUNDUP(TAN(PI()*E17/180),3)</f>
        <v>0.57799999999999996</v>
      </c>
      <c r="F18" s="58">
        <f>ROUNDUP(TAN(PI()*F17/180),3)</f>
        <v>1.0919999999999999</v>
      </c>
      <c r="G18" s="244">
        <f>ROUNDUP(TAN(PI()*G17/180),3)</f>
        <v>1.5699999999999998</v>
      </c>
      <c r="H18" s="328">
        <f>ROUNDUP(TAN(PI()*H17/180),3)</f>
        <v>1.111</v>
      </c>
      <c r="I18" s="58">
        <f>ROUNDUP(TAN(PI()*I17/180),3)</f>
        <v>1.0919999999999999</v>
      </c>
      <c r="J18" s="58">
        <f t="shared" ref="J18" si="8">ROUNDUP(TAN(PI()*J17/180),3)</f>
        <v>1.0919999999999999</v>
      </c>
      <c r="K18" s="236"/>
      <c r="L18" s="49"/>
      <c r="M18" s="48"/>
      <c r="O18" s="21" t="s">
        <v>203</v>
      </c>
      <c r="P18" s="22">
        <v>10</v>
      </c>
      <c r="Q18" s="21" t="s">
        <v>210</v>
      </c>
      <c r="R18" s="13"/>
      <c r="S18" s="5" t="s">
        <v>34</v>
      </c>
      <c r="T18" s="7">
        <v>1396</v>
      </c>
      <c r="U18" s="5" t="s">
        <v>2</v>
      </c>
      <c r="V18" s="13"/>
      <c r="W18" s="12" t="s">
        <v>232</v>
      </c>
      <c r="X18" s="26">
        <v>850</v>
      </c>
      <c r="Y18" s="4" t="s">
        <v>228</v>
      </c>
      <c r="Z18" s="13"/>
      <c r="AA18" s="13"/>
      <c r="AB18" s="13"/>
      <c r="AC18" s="13"/>
      <c r="AD18" s="14"/>
    </row>
    <row r="19" spans="2:30" ht="16.5" x14ac:dyDescent="0.15">
      <c r="B19" s="225"/>
      <c r="C19" s="48"/>
      <c r="D19" s="225"/>
      <c r="E19" s="245"/>
      <c r="F19" s="48"/>
      <c r="G19" s="246"/>
      <c r="H19" s="236"/>
      <c r="I19" s="48"/>
      <c r="J19" s="48"/>
      <c r="K19" s="236"/>
      <c r="L19" s="49"/>
      <c r="M19" s="48"/>
      <c r="O19" s="21" t="s">
        <v>205</v>
      </c>
      <c r="P19" s="22">
        <v>1250</v>
      </c>
      <c r="Q19" s="21" t="s">
        <v>0</v>
      </c>
      <c r="R19" s="13"/>
      <c r="S19" s="5" t="s">
        <v>35</v>
      </c>
      <c r="T19" s="25">
        <f>(T18)/(2*3.14*T17*1000*(T16/1000000))</f>
        <v>320.49162864846198</v>
      </c>
      <c r="U19" s="5" t="s">
        <v>0</v>
      </c>
      <c r="V19" s="13"/>
      <c r="W19" s="12" t="s">
        <v>492</v>
      </c>
      <c r="X19" s="28">
        <f>X18/X17</f>
        <v>7.083333333333333</v>
      </c>
      <c r="Y19" s="4" t="s">
        <v>228</v>
      </c>
      <c r="Z19" s="13"/>
      <c r="AA19" s="270" t="s">
        <v>487</v>
      </c>
      <c r="AB19" s="270"/>
      <c r="AC19" s="270"/>
      <c r="AD19" s="14"/>
    </row>
    <row r="20" spans="2:30" ht="16.5" x14ac:dyDescent="0.15">
      <c r="B20" s="225" t="s">
        <v>41</v>
      </c>
      <c r="C20" s="119">
        <v>4.3499999999999996</v>
      </c>
      <c r="D20" s="227">
        <v>4.1100000000000003</v>
      </c>
      <c r="E20" s="249">
        <v>2.2999999999999998</v>
      </c>
      <c r="F20" s="119">
        <v>3.83</v>
      </c>
      <c r="G20" s="250">
        <v>6</v>
      </c>
      <c r="H20" s="330">
        <v>3.75</v>
      </c>
      <c r="I20" s="119">
        <v>3.67</v>
      </c>
      <c r="J20" s="119">
        <v>3.56</v>
      </c>
      <c r="K20" s="236"/>
      <c r="L20" s="49">
        <v>5</v>
      </c>
      <c r="M20" s="50" t="s">
        <v>268</v>
      </c>
      <c r="O20" s="21" t="s">
        <v>206</v>
      </c>
      <c r="P20" s="22">
        <v>2400</v>
      </c>
      <c r="Q20" s="21" t="s">
        <v>2</v>
      </c>
      <c r="R20" s="13"/>
      <c r="S20" s="13"/>
      <c r="T20" s="13"/>
      <c r="U20" s="13"/>
      <c r="V20" s="13"/>
      <c r="W20" s="12" t="s">
        <v>233</v>
      </c>
      <c r="X20" s="28">
        <f>X8/100000000*(X18^2)/(X17/1000000)*X13/1000</f>
        <v>708.39612265624987</v>
      </c>
      <c r="Y20" s="4" t="s">
        <v>229</v>
      </c>
      <c r="Z20" s="13"/>
      <c r="AA20" s="89" t="s">
        <v>481</v>
      </c>
      <c r="AB20" s="48">
        <v>0.9133</v>
      </c>
      <c r="AC20" s="48" t="s">
        <v>480</v>
      </c>
      <c r="AD20" s="14"/>
    </row>
    <row r="21" spans="2:30" ht="16.5" x14ac:dyDescent="0.15">
      <c r="B21" s="225" t="s">
        <v>81</v>
      </c>
      <c r="C21" s="61">
        <f>C16*((C18/C20)+(((C18/C20)^2+4)^0.5))/2</f>
        <v>1.1218358152365404</v>
      </c>
      <c r="D21" s="228">
        <f>D16*((D18/D20)+(((D18/D20)^2+4)^0.5))/2</f>
        <v>1.1183611280004264</v>
      </c>
      <c r="E21" s="251">
        <f>E16*((E18/E20)+(((E18/E20)^2+4)^0.5))/2</f>
        <v>1.1549220650894496</v>
      </c>
      <c r="F21" s="61">
        <f>F16*((F18/F20)+(((F18/F20)^2+4)^0.5))/2</f>
        <v>1.1744374263367376</v>
      </c>
      <c r="G21" s="252">
        <f>G16*((G18/G20)+(((G18/G20)^2+4)^0.5))/2</f>
        <v>1.1608725641709214</v>
      </c>
      <c r="H21" s="331">
        <f>H16*((H18/H20)+(((H18/H20)^2+4)^0.5))/2</f>
        <v>1.2180406738255942</v>
      </c>
      <c r="I21" s="61">
        <f>I16*((I18/I20)+(((I18/I20)^2+4)^0.5))/2</f>
        <v>1.2162276552338698</v>
      </c>
      <c r="J21" s="61">
        <f t="shared" ref="J21" si="9">J16*((J18/J20)+(((J18/J20)^2+4)^0.5))/2</f>
        <v>1.2654167015090776</v>
      </c>
      <c r="K21" s="236" t="s">
        <v>4</v>
      </c>
      <c r="L21" s="49"/>
      <c r="M21" s="51" t="s">
        <v>248</v>
      </c>
      <c r="O21" s="21" t="s">
        <v>204</v>
      </c>
      <c r="P21" s="22">
        <v>8</v>
      </c>
      <c r="Q21" s="21" t="s">
        <v>210</v>
      </c>
      <c r="R21" s="13"/>
      <c r="S21" s="272" t="s">
        <v>225</v>
      </c>
      <c r="T21" s="272"/>
      <c r="U21" s="272"/>
      <c r="V21" s="13"/>
      <c r="W21" s="13"/>
      <c r="X21" s="13"/>
      <c r="Y21" s="13"/>
      <c r="Z21" s="13"/>
      <c r="AA21" s="21" t="s">
        <v>482</v>
      </c>
      <c r="AB21" s="57">
        <v>3</v>
      </c>
      <c r="AC21" s="48" t="s">
        <v>305</v>
      </c>
      <c r="AD21" s="14"/>
    </row>
    <row r="22" spans="2:30" ht="16.5" x14ac:dyDescent="0.15">
      <c r="B22" s="225" t="s">
        <v>285</v>
      </c>
      <c r="C22" s="62">
        <f>2*PI()*C16*C14</f>
        <v>166.63251016120159</v>
      </c>
      <c r="D22" s="229">
        <f>2*PI()*D16*D14</f>
        <v>167.24625997435589</v>
      </c>
      <c r="E22" s="253">
        <f>2*PI()*E16*E14</f>
        <v>160.04609991611997</v>
      </c>
      <c r="F22" s="62">
        <f>2*PI()*F16*F14</f>
        <v>160.04609991611997</v>
      </c>
      <c r="G22" s="254">
        <f>2*PI()*G16*G14</f>
        <v>160.04609991611997</v>
      </c>
      <c r="H22" s="332">
        <f>2*PI()*H16*H14</f>
        <v>155.17045096428319</v>
      </c>
      <c r="I22" s="62">
        <f>2*PI()*I16*I14</f>
        <v>155.50025038196068</v>
      </c>
      <c r="J22" s="62">
        <f t="shared" ref="J22" si="10">2*PI()*J16*J14</f>
        <v>150.13654986896887</v>
      </c>
      <c r="K22" s="236" t="s">
        <v>83</v>
      </c>
      <c r="L22" s="49"/>
      <c r="M22" s="48"/>
      <c r="O22" s="21" t="s">
        <v>211</v>
      </c>
      <c r="P22" s="22">
        <v>1</v>
      </c>
      <c r="Q22" s="21" t="s">
        <v>67</v>
      </c>
      <c r="R22" s="13"/>
      <c r="S22" s="6" t="s">
        <v>152</v>
      </c>
      <c r="T22" s="7">
        <v>600</v>
      </c>
      <c r="U22" s="5" t="s">
        <v>153</v>
      </c>
      <c r="V22" s="13" t="s">
        <v>630</v>
      </c>
      <c r="W22" s="272" t="s">
        <v>490</v>
      </c>
      <c r="X22" s="272"/>
      <c r="Y22" s="272"/>
      <c r="Z22" s="13"/>
      <c r="AA22" s="21" t="s">
        <v>483</v>
      </c>
      <c r="AB22" s="88">
        <f>AB20*AB21</f>
        <v>2.7399</v>
      </c>
      <c r="AC22" s="48" t="s">
        <v>480</v>
      </c>
      <c r="AD22" s="14"/>
    </row>
    <row r="23" spans="2:30" ht="16.5" x14ac:dyDescent="0.15">
      <c r="B23" s="225" t="s">
        <v>82</v>
      </c>
      <c r="C23" s="62">
        <f>2*PI()*C21*C14</f>
        <v>191.01983263791195</v>
      </c>
      <c r="D23" s="229">
        <f>2*PI()*D21*D14</f>
        <v>191.83355666674476</v>
      </c>
      <c r="E23" s="253">
        <f>2*PI()*E21*E14</f>
        <v>181.4147337576884</v>
      </c>
      <c r="F23" s="62">
        <f>2*PI()*F21*F14</f>
        <v>184.48019953401996</v>
      </c>
      <c r="G23" s="254">
        <f>2*PI()*G21*G14</f>
        <v>182.34943596766561</v>
      </c>
      <c r="H23" s="332">
        <f>2*PI()*H21*H14</f>
        <v>179.84961873521027</v>
      </c>
      <c r="I23" s="62">
        <f>2*PI()*I21*I14</f>
        <v>180.34609611180196</v>
      </c>
      <c r="J23" s="62">
        <f t="shared" ref="J23" si="11">2*PI()*J21*J14</f>
        <v>174.91864778039283</v>
      </c>
      <c r="K23" s="236" t="s">
        <v>83</v>
      </c>
      <c r="L23" s="49"/>
      <c r="M23" s="48"/>
      <c r="O23" s="21" t="s">
        <v>212</v>
      </c>
      <c r="P23" s="22">
        <v>4</v>
      </c>
      <c r="Q23" s="21" t="s">
        <v>66</v>
      </c>
      <c r="R23" s="13"/>
      <c r="S23" s="6" t="s">
        <v>263</v>
      </c>
      <c r="T23" s="7">
        <v>22</v>
      </c>
      <c r="U23" s="5" t="s">
        <v>154</v>
      </c>
      <c r="V23" s="13"/>
      <c r="W23" s="5" t="s">
        <v>188</v>
      </c>
      <c r="X23" s="3" t="s">
        <v>189</v>
      </c>
      <c r="Y23" s="3"/>
      <c r="Z23" s="13"/>
      <c r="AA23" s="21"/>
      <c r="AB23" s="48"/>
      <c r="AC23" s="48"/>
      <c r="AD23" s="14"/>
    </row>
    <row r="24" spans="2:30" ht="16.5" x14ac:dyDescent="0.15">
      <c r="B24" s="225" t="s">
        <v>84</v>
      </c>
      <c r="C24" s="62">
        <f>1000000/(2*PI()*C21*C15)</f>
        <v>145.35869422132518</v>
      </c>
      <c r="D24" s="229">
        <f>1000000/(2*PI()*D21*D15)</f>
        <v>145.81031578329066</v>
      </c>
      <c r="E24" s="253">
        <f>1000000/(2*PI()*E21*E15)</f>
        <v>141.19445299615913</v>
      </c>
      <c r="F24" s="62">
        <f>1000000/(2*PI()*F21*F15)</f>
        <v>138.84825668587291</v>
      </c>
      <c r="G24" s="254">
        <f>1000000/(2*PI()*G21*G15)</f>
        <v>140.4707064896142</v>
      </c>
      <c r="H24" s="332">
        <f>1000000/(2*PI()*H21*H15)</f>
        <v>133.87778646285861</v>
      </c>
      <c r="I24" s="62">
        <f>1000000/(2*PI()*I21*I15)</f>
        <v>134.07735676109314</v>
      </c>
      <c r="J24" s="62">
        <f t="shared" ref="J24" si="12">1000000/(2*PI()*J21*J15)</f>
        <v>128.8655263037316</v>
      </c>
      <c r="K24" s="236" t="s">
        <v>83</v>
      </c>
      <c r="L24" s="49"/>
      <c r="M24" s="48"/>
      <c r="O24" s="21" t="s">
        <v>239</v>
      </c>
      <c r="P24" s="29">
        <f>P17*(P21/P18)*P23/P22</f>
        <v>976</v>
      </c>
      <c r="Q24" s="21" t="s">
        <v>27</v>
      </c>
      <c r="R24" s="13"/>
      <c r="S24" s="6" t="s">
        <v>157</v>
      </c>
      <c r="T24" s="7">
        <v>66</v>
      </c>
      <c r="U24" s="5" t="s">
        <v>158</v>
      </c>
      <c r="V24" s="13"/>
      <c r="W24" s="12" t="s">
        <v>190</v>
      </c>
      <c r="X24" s="15">
        <v>1.75</v>
      </c>
      <c r="Y24" s="12" t="s">
        <v>191</v>
      </c>
      <c r="Z24" s="13"/>
      <c r="AA24" s="89" t="s">
        <v>484</v>
      </c>
      <c r="AB24" s="48">
        <v>0.48</v>
      </c>
      <c r="AC24" s="48" t="s">
        <v>480</v>
      </c>
      <c r="AD24" s="14"/>
    </row>
    <row r="25" spans="2:30" ht="16.5" x14ac:dyDescent="0.15">
      <c r="B25" s="225" t="s">
        <v>68</v>
      </c>
      <c r="C25" s="63">
        <f>C22/C20</f>
        <v>38.306324174988873</v>
      </c>
      <c r="D25" s="230">
        <f>D22/D20</f>
        <v>40.692520675025762</v>
      </c>
      <c r="E25" s="255">
        <f>E22/E20</f>
        <v>69.585260833095646</v>
      </c>
      <c r="F25" s="63">
        <f>F22/F20</f>
        <v>41.787493450684067</v>
      </c>
      <c r="G25" s="256">
        <f>G22/G20</f>
        <v>26.674349986019994</v>
      </c>
      <c r="H25" s="333">
        <f>H22/H20</f>
        <v>41.378786923808853</v>
      </c>
      <c r="I25" s="63">
        <f>I22/I20</f>
        <v>42.37064043105196</v>
      </c>
      <c r="J25" s="63">
        <f t="shared" ref="J25" si="13">J22/J20</f>
        <v>42.173188165440692</v>
      </c>
      <c r="K25" s="236" t="s">
        <v>83</v>
      </c>
      <c r="L25" s="49"/>
      <c r="M25" s="48"/>
      <c r="O25" s="21" t="s">
        <v>208</v>
      </c>
      <c r="P25" s="23">
        <f>P19*P22</f>
        <v>1250</v>
      </c>
      <c r="Q25" s="21" t="s">
        <v>0</v>
      </c>
      <c r="R25" s="13"/>
      <c r="S25" s="6" t="s">
        <v>161</v>
      </c>
      <c r="T25" s="7">
        <v>2</v>
      </c>
      <c r="U25" s="5"/>
      <c r="V25" s="13"/>
      <c r="W25" s="12" t="s">
        <v>192</v>
      </c>
      <c r="X25" s="16">
        <v>3.8999999999999998E-3</v>
      </c>
      <c r="Y25" s="12" t="s">
        <v>193</v>
      </c>
      <c r="Z25" s="13"/>
      <c r="AA25" s="21" t="s">
        <v>485</v>
      </c>
      <c r="AB25" s="57">
        <v>5</v>
      </c>
      <c r="AC25" s="48" t="s">
        <v>305</v>
      </c>
      <c r="AD25" s="14"/>
    </row>
    <row r="26" spans="2:30" ht="16.5" x14ac:dyDescent="0.15">
      <c r="B26" s="225" t="s">
        <v>85</v>
      </c>
      <c r="C26" s="62">
        <f>(C25^2+(C23-C24)^2)^0.5</f>
        <v>59.601292211646154</v>
      </c>
      <c r="D26" s="229">
        <f>(D25^2+(D23-D24)^2)^0.5</f>
        <v>61.433052506804835</v>
      </c>
      <c r="E26" s="253">
        <f>(E25^2+(E23-E24)^2)^0.5</f>
        <v>80.372753528457608</v>
      </c>
      <c r="F26" s="62">
        <f>(F25^2+(F23-F24)^2)^0.5</f>
        <v>61.874621752278394</v>
      </c>
      <c r="G26" s="254">
        <f>(G25^2+(G23-G24)^2)^0.5</f>
        <v>49.652280208188799</v>
      </c>
      <c r="H26" s="332">
        <f>(H25^2+(H23-H24)^2)^0.5</f>
        <v>61.851542986114808</v>
      </c>
      <c r="I26" s="62">
        <f>(I25^2+(I23-I24)^2)^0.5</f>
        <v>62.738085814290869</v>
      </c>
      <c r="J26" s="62">
        <f t="shared" ref="J26" si="14">(J25^2+(J23-J24)^2)^0.5</f>
        <v>62.445718810674144</v>
      </c>
      <c r="K26" s="236" t="s">
        <v>83</v>
      </c>
      <c r="L26" s="49"/>
      <c r="M26" s="48"/>
      <c r="O26" s="21" t="s">
        <v>209</v>
      </c>
      <c r="P26" s="23">
        <f>P20*(P21/P18)*P23</f>
        <v>7680</v>
      </c>
      <c r="Q26" s="21" t="s">
        <v>2</v>
      </c>
      <c r="R26" s="13"/>
      <c r="S26" s="6" t="s">
        <v>164</v>
      </c>
      <c r="T26" s="8">
        <f>T23*T24*T25*2</f>
        <v>5808</v>
      </c>
      <c r="U26" s="5" t="s">
        <v>154</v>
      </c>
      <c r="V26" s="13"/>
      <c r="W26" s="12" t="s">
        <v>194</v>
      </c>
      <c r="X26" s="17">
        <v>45</v>
      </c>
      <c r="Y26" s="12" t="s">
        <v>48</v>
      </c>
      <c r="Z26" s="13"/>
      <c r="AA26" s="21" t="s">
        <v>486</v>
      </c>
      <c r="AB26" s="88">
        <f>AB24*AB25</f>
        <v>2.4</v>
      </c>
      <c r="AC26" s="48" t="s">
        <v>480</v>
      </c>
      <c r="AD26" s="14"/>
    </row>
    <row r="27" spans="2:30" ht="16.5" x14ac:dyDescent="0.15">
      <c r="B27" s="225"/>
      <c r="C27" s="64"/>
      <c r="D27" s="231"/>
      <c r="E27" s="257"/>
      <c r="F27" s="64"/>
      <c r="G27" s="258"/>
      <c r="H27" s="334"/>
      <c r="I27" s="64"/>
      <c r="J27" s="64"/>
      <c r="K27" s="236"/>
      <c r="L27" s="49"/>
      <c r="M27" s="48"/>
      <c r="O27" s="21" t="s">
        <v>47</v>
      </c>
      <c r="P27" s="23">
        <f>P25*P26/1000</f>
        <v>9600</v>
      </c>
      <c r="Q27" s="21" t="s">
        <v>47</v>
      </c>
      <c r="R27" s="13"/>
      <c r="S27" s="6" t="s">
        <v>167</v>
      </c>
      <c r="T27" s="7">
        <v>7</v>
      </c>
      <c r="U27" s="5" t="s">
        <v>168</v>
      </c>
      <c r="V27" s="13"/>
      <c r="W27" s="12" t="s">
        <v>195</v>
      </c>
      <c r="X27" s="16">
        <f>X24*(1+X25*(X26-20))</f>
        <v>1.9206249999999998</v>
      </c>
      <c r="Y27" s="12" t="s">
        <v>191</v>
      </c>
      <c r="Z27" s="13"/>
      <c r="AA27" s="21"/>
      <c r="AB27" s="48"/>
      <c r="AC27" s="48"/>
      <c r="AD27" s="14"/>
    </row>
    <row r="28" spans="2:30" ht="16.5" x14ac:dyDescent="0.15">
      <c r="B28" s="225" t="s">
        <v>105</v>
      </c>
      <c r="C28" s="65">
        <f>(C3*1000000/C25)^0.5</f>
        <v>4274.780111728146</v>
      </c>
      <c r="D28" s="232">
        <f>(D3*1000000/D25)^0.5</f>
        <v>4147.550891206397</v>
      </c>
      <c r="E28" s="259">
        <f>(E3*1000000/E25)^0.5</f>
        <v>3171.6874976213799</v>
      </c>
      <c r="F28" s="65">
        <f>(F3*1000000/F25)^0.5</f>
        <v>4092.8502910422453</v>
      </c>
      <c r="G28" s="260">
        <f>(G3*1000000/G25)^0.5</f>
        <v>5122.7374431105054</v>
      </c>
      <c r="H28" s="335">
        <f>(H3*1000000/H25)^0.5</f>
        <v>4113.0135732894869</v>
      </c>
      <c r="I28" s="65">
        <f>(I3*1000000/I25)^0.5</f>
        <v>4064.5877675444922</v>
      </c>
      <c r="J28" s="65">
        <f t="shared" ref="J28" si="15">(J3*1000000/J25)^0.5</f>
        <v>4074.0917308976373</v>
      </c>
      <c r="K28" s="236" t="s">
        <v>2</v>
      </c>
      <c r="L28" s="49"/>
      <c r="M28" s="51" t="s">
        <v>247</v>
      </c>
      <c r="O28" s="13"/>
      <c r="P28" s="13"/>
      <c r="Q28" s="13"/>
      <c r="R28" s="13"/>
      <c r="S28" s="6" t="s">
        <v>169</v>
      </c>
      <c r="T28" s="7">
        <v>3000</v>
      </c>
      <c r="U28" s="5" t="s">
        <v>170</v>
      </c>
      <c r="V28" s="13"/>
      <c r="W28" s="12" t="s">
        <v>196</v>
      </c>
      <c r="X28" s="18">
        <f>1/(X27/100000000)</f>
        <v>52066384.64041654</v>
      </c>
      <c r="Y28" s="12" t="s">
        <v>197</v>
      </c>
      <c r="Z28" s="13"/>
      <c r="AA28" s="89" t="s">
        <v>484</v>
      </c>
      <c r="AB28" s="48">
        <v>0.4133</v>
      </c>
      <c r="AC28" s="48" t="s">
        <v>480</v>
      </c>
      <c r="AD28" s="14"/>
    </row>
    <row r="29" spans="2:30" ht="16.5" x14ac:dyDescent="0.15">
      <c r="B29" s="225" t="s">
        <v>103</v>
      </c>
      <c r="C29" s="62">
        <f>C28*C25/1000</f>
        <v>163.75111273665351</v>
      </c>
      <c r="D29" s="229">
        <f>D28*D25/1000</f>
        <v>168.77430039113784</v>
      </c>
      <c r="E29" s="253">
        <f>E28*E25/1000</f>
        <v>220.70270180305212</v>
      </c>
      <c r="F29" s="62">
        <f>F28*F25/1000</f>
        <v>171.02995473155821</v>
      </c>
      <c r="G29" s="254">
        <f>G28*G25/1000</f>
        <v>136.64569144401881</v>
      </c>
      <c r="H29" s="332">
        <f>H28*H25/1000</f>
        <v>170.19151226387936</v>
      </c>
      <c r="I29" s="62">
        <f>I28*I25/1000</f>
        <v>172.21918679907986</v>
      </c>
      <c r="J29" s="62">
        <f t="shared" ref="J29" si="16">J28*J25/1000</f>
        <v>171.81743717041201</v>
      </c>
      <c r="K29" s="236" t="s">
        <v>0</v>
      </c>
      <c r="L29" s="49"/>
      <c r="M29" s="48"/>
      <c r="O29" s="270" t="s">
        <v>213</v>
      </c>
      <c r="P29" s="270"/>
      <c r="Q29" s="270"/>
      <c r="R29" s="13"/>
      <c r="S29" s="6" t="s">
        <v>171</v>
      </c>
      <c r="T29" s="7">
        <v>1</v>
      </c>
      <c r="U29" s="5" t="s">
        <v>172</v>
      </c>
      <c r="V29" s="13"/>
      <c r="W29" s="12" t="s">
        <v>198</v>
      </c>
      <c r="X29" s="3">
        <v>1</v>
      </c>
      <c r="Y29" s="12" t="s">
        <v>199</v>
      </c>
      <c r="Z29" s="13"/>
      <c r="AA29" s="21" t="s">
        <v>485</v>
      </c>
      <c r="AB29" s="57">
        <v>4.5</v>
      </c>
      <c r="AC29" s="48" t="s">
        <v>305</v>
      </c>
      <c r="AD29" s="14"/>
    </row>
    <row r="30" spans="2:30" ht="16.5" x14ac:dyDescent="0.15">
      <c r="B30" s="225" t="s">
        <v>286</v>
      </c>
      <c r="C30" s="65">
        <f>C28/(2*3.14159*C21*1000*C15/1000000)</f>
        <v>621.37697997877535</v>
      </c>
      <c r="D30" s="232">
        <f>D28/(2*3.14159*D21*1000*D15/1000000)</f>
        <v>604.75621598979615</v>
      </c>
      <c r="E30" s="259">
        <f>E28/(2*3.14159*E21*1000*E15/1000000)</f>
        <v>447.82505956305317</v>
      </c>
      <c r="F30" s="65">
        <f>F28/(2*3.14159*F21*1000*F15/1000000)</f>
        <v>568.28560779780128</v>
      </c>
      <c r="G30" s="260">
        <f>G28/(2*3.14159*G21*1000*G15/1000000)</f>
        <v>719.59515561055798</v>
      </c>
      <c r="H30" s="335">
        <f>H28/(2*3.14159*H21*1000*H15/1000000)</f>
        <v>550.64161799076635</v>
      </c>
      <c r="I30" s="65">
        <f>I28/(2*3.14159*I21*1000*I15/1000000)</f>
        <v>544.96964451200415</v>
      </c>
      <c r="J30" s="65">
        <f t="shared" ref="J30" si="17">J28/(2*3.14159*J21*1000*J15/1000000)</f>
        <v>525.01041856913423</v>
      </c>
      <c r="K30" s="236" t="s">
        <v>0</v>
      </c>
      <c r="L30" s="49"/>
      <c r="M30" s="51" t="s">
        <v>71</v>
      </c>
      <c r="O30" s="6" t="s">
        <v>37</v>
      </c>
      <c r="P30" s="7">
        <v>1890</v>
      </c>
      <c r="Q30" s="6" t="s">
        <v>24</v>
      </c>
      <c r="R30" s="13"/>
      <c r="S30" s="6" t="s">
        <v>173</v>
      </c>
      <c r="T30" s="8">
        <f>T28*T29</f>
        <v>3000</v>
      </c>
      <c r="U30" s="5" t="s">
        <v>170</v>
      </c>
      <c r="V30" s="13"/>
      <c r="W30" s="12" t="s">
        <v>37</v>
      </c>
      <c r="X30" s="19">
        <v>1000</v>
      </c>
      <c r="Y30" s="12" t="s">
        <v>200</v>
      </c>
      <c r="Z30" s="13"/>
      <c r="AA30" s="21" t="s">
        <v>486</v>
      </c>
      <c r="AB30" s="88">
        <f>AB28*AB29</f>
        <v>1.85985</v>
      </c>
      <c r="AC30" s="48" t="s">
        <v>480</v>
      </c>
      <c r="AD30" s="14"/>
    </row>
    <row r="31" spans="2:30" ht="16.5" x14ac:dyDescent="0.15">
      <c r="B31" s="225" t="s">
        <v>104</v>
      </c>
      <c r="C31" s="62">
        <f>C28*C26/1000</f>
        <v>254.78241857964264</v>
      </c>
      <c r="D31" s="229">
        <f>D28*D26/1000</f>
        <v>254.79671167412775</v>
      </c>
      <c r="E31" s="253">
        <f>E28*E26/1000</f>
        <v>254.91725751561364</v>
      </c>
      <c r="F31" s="62">
        <f>F28*F26/1000</f>
        <v>253.24356364694148</v>
      </c>
      <c r="G31" s="254">
        <f>G28*G26/1000</f>
        <v>254.35559495830344</v>
      </c>
      <c r="H31" s="332">
        <f>H28*H26/1000</f>
        <v>254.39623583078836</v>
      </c>
      <c r="I31" s="62">
        <f>I28*I26/1000</f>
        <v>255.00445615992328</v>
      </c>
      <c r="J31" s="62">
        <f t="shared" ref="J31" si="18">J28*J26/1000</f>
        <v>254.40958663652657</v>
      </c>
      <c r="K31" s="236" t="s">
        <v>0</v>
      </c>
      <c r="L31" s="49"/>
      <c r="M31" s="48"/>
      <c r="O31" s="6" t="s">
        <v>52</v>
      </c>
      <c r="P31" s="7">
        <v>305</v>
      </c>
      <c r="Q31" s="6" t="s">
        <v>27</v>
      </c>
      <c r="R31" s="13"/>
      <c r="S31" s="5"/>
      <c r="T31" s="5"/>
      <c r="U31" s="5"/>
      <c r="V31" s="13"/>
      <c r="W31" s="12" t="s">
        <v>230</v>
      </c>
      <c r="X31" s="31">
        <f>503.3*SQRT((X27/100000000)/(X29*X30))*1000</f>
        <v>2.205709020034714</v>
      </c>
      <c r="Y31" s="12" t="s">
        <v>201</v>
      </c>
      <c r="Z31" s="13"/>
      <c r="AA31" s="13"/>
      <c r="AB31" s="13"/>
      <c r="AC31" s="13"/>
      <c r="AD31" s="14"/>
    </row>
    <row r="32" spans="2:30" ht="16.5" x14ac:dyDescent="0.15">
      <c r="B32" s="225" t="s">
        <v>102</v>
      </c>
      <c r="C32" s="66">
        <f>ROUNDUP(COS(PI()*C17/180),3)</f>
        <v>0.64300000000000002</v>
      </c>
      <c r="D32" s="233">
        <f>ROUNDUP(COS(PI()*D17/180),3)</f>
        <v>0.66300000000000003</v>
      </c>
      <c r="E32" s="261">
        <f>ROUNDUP(COS(PI()*E17/180),3)</f>
        <v>0.86699999999999999</v>
      </c>
      <c r="F32" s="66">
        <f>ROUNDUP(COS(PI()*F17/180),3)</f>
        <v>0.67600000000000005</v>
      </c>
      <c r="G32" s="262">
        <f>ROUNDUP(COS(PI()*G17/180),3)</f>
        <v>0.53800000000000003</v>
      </c>
      <c r="H32" s="336">
        <f>ROUNDUP(COS(PI()*H17/180),3)</f>
        <v>0.67</v>
      </c>
      <c r="I32" s="66">
        <f>ROUNDUP(COS(PI()*I17/180),3)</f>
        <v>0.67600000000000005</v>
      </c>
      <c r="J32" s="66">
        <f t="shared" ref="J32" si="19">ROUNDUP(COS(PI()*J17/180),3)</f>
        <v>0.67600000000000005</v>
      </c>
      <c r="K32" s="236"/>
      <c r="L32" s="49"/>
      <c r="M32" s="48"/>
      <c r="O32" s="6" t="s">
        <v>53</v>
      </c>
      <c r="P32" s="7">
        <v>1783</v>
      </c>
      <c r="Q32" s="6" t="s">
        <v>2</v>
      </c>
      <c r="R32" s="13"/>
      <c r="S32" s="9" t="s">
        <v>174</v>
      </c>
      <c r="T32" s="273" t="s">
        <v>175</v>
      </c>
      <c r="U32" s="273"/>
      <c r="V32" s="13"/>
      <c r="W32" s="12" t="s">
        <v>231</v>
      </c>
      <c r="X32" s="26">
        <v>6126</v>
      </c>
      <c r="Y32" s="12" t="s">
        <v>201</v>
      </c>
      <c r="Z32" s="13"/>
      <c r="AA32" s="272" t="s">
        <v>494</v>
      </c>
      <c r="AB32" s="272"/>
      <c r="AC32" s="272"/>
      <c r="AD32" s="14"/>
    </row>
    <row r="33" spans="2:30" ht="16.5" x14ac:dyDescent="0.15">
      <c r="B33" s="225" t="s">
        <v>101</v>
      </c>
      <c r="C33" s="67">
        <f>C30/(C25*C28/1000)</f>
        <v>3.7946427941413821</v>
      </c>
      <c r="D33" s="234">
        <f>D30/(D25*D28/1000)</f>
        <v>3.5832245465586965</v>
      </c>
      <c r="E33" s="263">
        <f>E30/(E25*E28/1000)</f>
        <v>2.0290873464824077</v>
      </c>
      <c r="F33" s="67">
        <f>F30/(F25*F28/1000)</f>
        <v>3.3227255932433573</v>
      </c>
      <c r="G33" s="339">
        <f>G30/(G25*G28/1000)</f>
        <v>5.2661386393244802</v>
      </c>
      <c r="H33" s="337">
        <f>H30/(H25*H28/1000)</f>
        <v>3.2354234983058667</v>
      </c>
      <c r="I33" s="67">
        <f>I30/(I25*I28/1000)</f>
        <v>3.1643956439522327</v>
      </c>
      <c r="J33" s="68">
        <f t="shared" ref="J33" si="20">J30/(J25*J28/1000)</f>
        <v>3.0556294356108822</v>
      </c>
      <c r="K33" s="236"/>
      <c r="L33" s="49"/>
      <c r="M33" s="51" t="s">
        <v>244</v>
      </c>
      <c r="O33" s="6" t="s">
        <v>54</v>
      </c>
      <c r="P33" s="7">
        <v>383</v>
      </c>
      <c r="Q33" s="6" t="s">
        <v>1</v>
      </c>
      <c r="R33" s="13"/>
      <c r="S33" s="6" t="s">
        <v>176</v>
      </c>
      <c r="T33" s="7">
        <v>30</v>
      </c>
      <c r="U33" s="5" t="s">
        <v>177</v>
      </c>
      <c r="V33" s="13"/>
      <c r="W33" s="12" t="s">
        <v>256</v>
      </c>
      <c r="X33" s="26">
        <v>2</v>
      </c>
      <c r="Y33" s="12" t="s">
        <v>201</v>
      </c>
      <c r="Z33" s="13"/>
      <c r="AA33" s="5" t="s">
        <v>495</v>
      </c>
      <c r="AB33" s="7">
        <v>440</v>
      </c>
      <c r="AC33" s="5" t="s">
        <v>0</v>
      </c>
      <c r="AD33" s="14"/>
    </row>
    <row r="34" spans="2:30" ht="16.5" x14ac:dyDescent="0.15">
      <c r="B34" s="225" t="s">
        <v>287</v>
      </c>
      <c r="C34" s="65">
        <f>C30+C28*C18*C25/1000</f>
        <v>816.56830636086636</v>
      </c>
      <c r="D34" s="232">
        <f>D30+D28*D18*D25/1000</f>
        <v>795.63994973217302</v>
      </c>
      <c r="E34" s="259">
        <f>E30+E28*E18*E25/1000</f>
        <v>575.39122120521733</v>
      </c>
      <c r="F34" s="65">
        <f>F30+F28*F18*F25/1000</f>
        <v>755.05031836466287</v>
      </c>
      <c r="G34" s="260">
        <f>G30+G28*G18*G25/1000</f>
        <v>934.12889117766747</v>
      </c>
      <c r="H34" s="335">
        <f>H30+H28*H18*H25/1000</f>
        <v>739.72438811593634</v>
      </c>
      <c r="I34" s="65">
        <f>I30+I28*I18*I25/1000</f>
        <v>733.03299649659937</v>
      </c>
      <c r="J34" s="65">
        <f t="shared" ref="J34" si="21">J30+J28*J18*J25/1000</f>
        <v>712.63505995922412</v>
      </c>
      <c r="K34" s="236" t="s">
        <v>0</v>
      </c>
      <c r="L34" s="49"/>
      <c r="M34" s="51" t="s">
        <v>243</v>
      </c>
      <c r="O34" s="6" t="s">
        <v>264</v>
      </c>
      <c r="P34" s="7">
        <v>1</v>
      </c>
      <c r="Q34" s="6" t="s">
        <v>42</v>
      </c>
      <c r="R34" s="13"/>
      <c r="S34" s="6" t="s">
        <v>178</v>
      </c>
      <c r="T34" s="10">
        <f>T28*SQRT(2)*SIN(T33*PI()/180)</f>
        <v>2121.3203435596424</v>
      </c>
      <c r="U34" s="5" t="s">
        <v>179</v>
      </c>
      <c r="V34" s="13"/>
      <c r="W34" s="12" t="s">
        <v>255</v>
      </c>
      <c r="X34" s="27">
        <f>MIN(X31,X33)</f>
        <v>2</v>
      </c>
      <c r="Y34" s="12" t="s">
        <v>201</v>
      </c>
      <c r="Z34" s="13"/>
      <c r="AA34" s="5" t="s">
        <v>64</v>
      </c>
      <c r="AB34" s="7">
        <v>567</v>
      </c>
      <c r="AC34" s="5" t="s">
        <v>2</v>
      </c>
      <c r="AD34" s="14"/>
    </row>
    <row r="35" spans="2:30" ht="16.5" x14ac:dyDescent="0.15">
      <c r="B35" s="225"/>
      <c r="C35" s="48"/>
      <c r="D35" s="225"/>
      <c r="E35" s="245"/>
      <c r="F35" s="48"/>
      <c r="G35" s="246"/>
      <c r="H35" s="236"/>
      <c r="I35" s="48"/>
      <c r="J35" s="48"/>
      <c r="K35" s="236"/>
      <c r="L35" s="49"/>
      <c r="M35" s="48"/>
      <c r="O35" s="6" t="s">
        <v>55</v>
      </c>
      <c r="P35" s="8">
        <f>(P32*P34)/(2*3.1415*P30*(P31/1000000))</f>
        <v>492.29184313969438</v>
      </c>
      <c r="Q35" s="6" t="s">
        <v>56</v>
      </c>
      <c r="R35" s="13"/>
      <c r="S35" s="6" t="s">
        <v>180</v>
      </c>
      <c r="T35" s="24">
        <f>T22*T26/T34</f>
        <v>1642.7504740525874</v>
      </c>
      <c r="U35" s="5" t="s">
        <v>181</v>
      </c>
      <c r="V35" s="13"/>
      <c r="W35" s="12" t="s">
        <v>234</v>
      </c>
      <c r="X35" s="26">
        <v>30</v>
      </c>
      <c r="Y35" s="12" t="s">
        <v>201</v>
      </c>
      <c r="Z35" s="13"/>
      <c r="AA35" s="5" t="s">
        <v>498</v>
      </c>
      <c r="AB35" s="25">
        <f>AB33</f>
        <v>440</v>
      </c>
      <c r="AC35" s="5" t="s">
        <v>496</v>
      </c>
      <c r="AD35" s="14"/>
    </row>
    <row r="36" spans="2:30" ht="16.5" x14ac:dyDescent="0.15">
      <c r="B36" s="225" t="s">
        <v>86</v>
      </c>
      <c r="C36" s="58">
        <v>2</v>
      </c>
      <c r="D36" s="224">
        <v>2</v>
      </c>
      <c r="E36" s="243">
        <v>2</v>
      </c>
      <c r="F36" s="58">
        <v>2</v>
      </c>
      <c r="G36" s="244">
        <v>2</v>
      </c>
      <c r="H36" s="328">
        <v>2</v>
      </c>
      <c r="I36" s="58">
        <v>2</v>
      </c>
      <c r="J36" s="58">
        <v>2</v>
      </c>
      <c r="K36" s="236"/>
      <c r="L36" s="49"/>
      <c r="M36" s="48" t="s">
        <v>87</v>
      </c>
      <c r="O36" s="6" t="s">
        <v>57</v>
      </c>
      <c r="P36" s="8">
        <f>P32*P34</f>
        <v>1783</v>
      </c>
      <c r="Q36" s="6"/>
      <c r="R36" s="13"/>
      <c r="S36" s="5"/>
      <c r="T36" s="5"/>
      <c r="U36" s="5"/>
      <c r="V36" s="13"/>
      <c r="W36" s="12" t="s">
        <v>254</v>
      </c>
      <c r="X36" s="27">
        <f>(PI()*(X35/2)^2)-(PI()*(X35/2-X34)^2)</f>
        <v>175.92918860102839</v>
      </c>
      <c r="Y36" s="12" t="s">
        <v>227</v>
      </c>
      <c r="Z36" s="13"/>
      <c r="AA36" s="5" t="s">
        <v>499</v>
      </c>
      <c r="AB36" s="25">
        <f>AB34*1.25</f>
        <v>708.75</v>
      </c>
      <c r="AC36" s="5" t="s">
        <v>497</v>
      </c>
      <c r="AD36" s="14"/>
    </row>
    <row r="37" spans="2:30" ht="16.5" x14ac:dyDescent="0.15">
      <c r="B37" s="225" t="s">
        <v>288</v>
      </c>
      <c r="C37" s="62">
        <f>C10/C36*4/PI()/2^0.5</f>
        <v>260.50652608005862</v>
      </c>
      <c r="D37" s="229">
        <f>D10/D36*4/PI()/2^0.5</f>
        <v>260.50652608005862</v>
      </c>
      <c r="E37" s="253">
        <f>E10/E36*4/PI()/2^0.5</f>
        <v>260.50652608005862</v>
      </c>
      <c r="F37" s="62">
        <f>F10/F36*4/PI()/2^0.5</f>
        <v>260.50652608005862</v>
      </c>
      <c r="G37" s="254">
        <f>G10/G36*4/PI()/2^0.5</f>
        <v>260.50652608005862</v>
      </c>
      <c r="H37" s="332">
        <f>H10/H36*4/PI()/2^0.5</f>
        <v>260.50652608005862</v>
      </c>
      <c r="I37" s="62">
        <f>I10/I36*4/PI()/2^0.5</f>
        <v>260.50652608005862</v>
      </c>
      <c r="J37" s="62">
        <f t="shared" ref="J37" si="22">J10/J36*4/PI()/2^0.5</f>
        <v>260.50652608005862</v>
      </c>
      <c r="K37" s="236" t="s">
        <v>0</v>
      </c>
      <c r="L37" s="49"/>
      <c r="M37" s="48" t="s">
        <v>222</v>
      </c>
      <c r="O37" s="6" t="s">
        <v>47</v>
      </c>
      <c r="P37" s="8">
        <f>P35*P36/1000</f>
        <v>877.75635631807506</v>
      </c>
      <c r="Q37" s="6" t="s">
        <v>47</v>
      </c>
      <c r="R37" s="13"/>
      <c r="S37" s="9" t="s">
        <v>182</v>
      </c>
      <c r="T37" s="6"/>
      <c r="U37" s="6"/>
      <c r="V37" s="13"/>
      <c r="W37" s="12" t="s">
        <v>232</v>
      </c>
      <c r="X37" s="26">
        <v>850</v>
      </c>
      <c r="Y37" s="4" t="s">
        <v>228</v>
      </c>
      <c r="Z37" s="13"/>
      <c r="AA37" s="13"/>
      <c r="AB37" s="13"/>
      <c r="AC37" s="13"/>
      <c r="AD37" s="14"/>
    </row>
    <row r="38" spans="2:30" ht="16.5" x14ac:dyDescent="0.15">
      <c r="B38" s="225" t="s">
        <v>88</v>
      </c>
      <c r="C38" s="58">
        <v>1</v>
      </c>
      <c r="D38" s="224">
        <v>1</v>
      </c>
      <c r="E38" s="243">
        <v>1</v>
      </c>
      <c r="F38" s="58">
        <v>1</v>
      </c>
      <c r="G38" s="244">
        <v>1</v>
      </c>
      <c r="H38" s="328">
        <v>1</v>
      </c>
      <c r="I38" s="58">
        <v>1</v>
      </c>
      <c r="J38" s="58">
        <v>1</v>
      </c>
      <c r="K38" s="236" t="s">
        <v>42</v>
      </c>
      <c r="L38" s="49"/>
      <c r="M38" s="48" t="s">
        <v>245</v>
      </c>
      <c r="O38" s="6" t="s">
        <v>41</v>
      </c>
      <c r="P38" s="25">
        <f>P37/P33</f>
        <v>2.2917920530498042</v>
      </c>
      <c r="Q38" s="6"/>
      <c r="R38" s="13"/>
      <c r="S38" s="6" t="s">
        <v>183</v>
      </c>
      <c r="T38" s="10">
        <f>T22*T26/T27/1000</f>
        <v>497.82857142857142</v>
      </c>
      <c r="U38" s="5" t="s">
        <v>179</v>
      </c>
      <c r="V38" s="13"/>
      <c r="W38" s="12" t="s">
        <v>492</v>
      </c>
      <c r="X38" s="28">
        <f>X37/X36</f>
        <v>4.8314893438611097</v>
      </c>
      <c r="Y38" s="4" t="s">
        <v>228</v>
      </c>
      <c r="Z38" s="13"/>
      <c r="AA38" s="272" t="s">
        <v>501</v>
      </c>
      <c r="AB38" s="272"/>
      <c r="AC38" s="272"/>
      <c r="AD38" s="269" t="s">
        <v>653</v>
      </c>
    </row>
    <row r="39" spans="2:30" ht="16.5" x14ac:dyDescent="0.15">
      <c r="B39" s="225" t="s">
        <v>89</v>
      </c>
      <c r="C39" s="58">
        <f>ROUND(C37/C38,1)</f>
        <v>260.5</v>
      </c>
      <c r="D39" s="224">
        <f>ROUND(D37/D38,1)</f>
        <v>260.5</v>
      </c>
      <c r="E39" s="243">
        <f>ROUND(E37/E38,1)</f>
        <v>260.5</v>
      </c>
      <c r="F39" s="58">
        <f>ROUND(F37/F38,1)</f>
        <v>260.5</v>
      </c>
      <c r="G39" s="244">
        <f>ROUND(G37/G38,1)</f>
        <v>260.5</v>
      </c>
      <c r="H39" s="328">
        <f>ROUND(H37/H38,1)</f>
        <v>260.5</v>
      </c>
      <c r="I39" s="58">
        <f>ROUND(I37/I38,1)</f>
        <v>260.5</v>
      </c>
      <c r="J39" s="58">
        <f t="shared" ref="J39" si="23">ROUND(J37/J38,1)</f>
        <v>260.5</v>
      </c>
      <c r="K39" s="236" t="s">
        <v>0</v>
      </c>
      <c r="L39" s="49"/>
      <c r="M39" s="48" t="s">
        <v>289</v>
      </c>
      <c r="O39" s="13"/>
      <c r="P39" s="13"/>
      <c r="Q39" s="13"/>
      <c r="R39" s="13"/>
      <c r="S39" s="6" t="s">
        <v>184</v>
      </c>
      <c r="T39" s="10">
        <f>T38/SIN(T33*PI()/180)/SQRT(2)</f>
        <v>704.03591745110884</v>
      </c>
      <c r="U39" s="5" t="s">
        <v>170</v>
      </c>
      <c r="V39" s="13"/>
      <c r="W39" s="12" t="s">
        <v>233</v>
      </c>
      <c r="X39" s="28">
        <f>X27/100000000*(X37^2)/(X36/1000000)*X32/1000</f>
        <v>483.19176251946334</v>
      </c>
      <c r="Y39" s="4" t="s">
        <v>229</v>
      </c>
      <c r="Z39" s="13"/>
      <c r="AA39" s="5" t="s">
        <v>26</v>
      </c>
      <c r="AB39" s="7">
        <v>7200</v>
      </c>
      <c r="AC39" s="5" t="s">
        <v>27</v>
      </c>
      <c r="AD39" s="14"/>
    </row>
    <row r="40" spans="2:30" ht="16.5" x14ac:dyDescent="0.15">
      <c r="B40" s="225"/>
      <c r="C40" s="48"/>
      <c r="D40" s="225"/>
      <c r="E40" s="245"/>
      <c r="F40" s="48"/>
      <c r="G40" s="246"/>
      <c r="H40" s="236"/>
      <c r="I40" s="48"/>
      <c r="J40" s="48"/>
      <c r="K40" s="236"/>
      <c r="L40" s="49"/>
      <c r="M40" s="48"/>
      <c r="O40" s="270" t="s">
        <v>214</v>
      </c>
      <c r="P40" s="270"/>
      <c r="Q40" s="270"/>
      <c r="R40" s="13"/>
      <c r="S40" s="6" t="s">
        <v>173</v>
      </c>
      <c r="T40" s="24">
        <f>T39*T29</f>
        <v>704.03591745110884</v>
      </c>
      <c r="U40" s="5" t="s">
        <v>170</v>
      </c>
      <c r="V40" s="13"/>
      <c r="W40" s="13"/>
      <c r="X40" s="13"/>
      <c r="Y40" s="13"/>
      <c r="Z40" s="13"/>
      <c r="AA40" s="5" t="s">
        <v>28</v>
      </c>
      <c r="AB40" s="7">
        <v>490</v>
      </c>
      <c r="AC40" s="5" t="s">
        <v>15</v>
      </c>
      <c r="AD40" s="14"/>
    </row>
    <row r="41" spans="2:30" ht="16.5" x14ac:dyDescent="0.15">
      <c r="B41" s="225" t="s">
        <v>72</v>
      </c>
      <c r="C41" s="68">
        <f>C31/C39*100</f>
        <v>97.805151086235171</v>
      </c>
      <c r="D41" s="235">
        <f>D31/D39*100</f>
        <v>97.810637878743862</v>
      </c>
      <c r="E41" s="265">
        <f>E31/E39*100</f>
        <v>97.856912673939974</v>
      </c>
      <c r="F41" s="68">
        <f>F31/F39*100</f>
        <v>97.214419826081183</v>
      </c>
      <c r="G41" s="264">
        <f>G31/G39*100</f>
        <v>97.641303246949491</v>
      </c>
      <c r="H41" s="338">
        <f>H31/H39*100</f>
        <v>97.65690434963085</v>
      </c>
      <c r="I41" s="68">
        <f>I31/I39*100</f>
        <v>97.890386241813161</v>
      </c>
      <c r="J41" s="68">
        <f t="shared" ref="J41" si="24">J31/J39*100</f>
        <v>97.662029419012114</v>
      </c>
      <c r="K41" s="236" t="s">
        <v>7</v>
      </c>
      <c r="L41" s="49"/>
      <c r="M41" s="52" t="s">
        <v>251</v>
      </c>
      <c r="O41" s="21" t="s">
        <v>18</v>
      </c>
      <c r="P41" s="22">
        <v>40</v>
      </c>
      <c r="Q41" s="21" t="s">
        <v>240</v>
      </c>
      <c r="R41" s="13"/>
      <c r="S41" s="6" t="s">
        <v>185</v>
      </c>
      <c r="T41" s="10">
        <f>T40/T30*100</f>
        <v>23.467863915036961</v>
      </c>
      <c r="U41" s="11" t="s">
        <v>186</v>
      </c>
      <c r="V41" s="13"/>
      <c r="W41" s="272" t="s">
        <v>491</v>
      </c>
      <c r="X41" s="272"/>
      <c r="Y41" s="272"/>
      <c r="Z41" s="13"/>
      <c r="AA41" s="5" t="s">
        <v>29</v>
      </c>
      <c r="AB41" s="25">
        <f>1/(2*3.14*SQRT((AB39/1000000)*(AB40/1000000)))</f>
        <v>84.776614251584391</v>
      </c>
      <c r="AC41" s="5" t="s">
        <v>30</v>
      </c>
      <c r="AD41" s="14"/>
    </row>
    <row r="42" spans="2:30" ht="16.5" x14ac:dyDescent="0.15">
      <c r="B42" s="225"/>
      <c r="C42" s="48"/>
      <c r="D42" s="225"/>
      <c r="E42" s="245"/>
      <c r="F42" s="48"/>
      <c r="G42" s="246"/>
      <c r="H42" s="236"/>
      <c r="I42" s="48"/>
      <c r="J42" s="48"/>
      <c r="K42" s="236"/>
      <c r="L42" s="49"/>
      <c r="M42" s="48"/>
      <c r="O42" s="21" t="s">
        <v>100</v>
      </c>
      <c r="P42" s="22">
        <v>127</v>
      </c>
      <c r="Q42" s="21" t="s">
        <v>2</v>
      </c>
      <c r="R42" s="13"/>
      <c r="S42" s="6" t="s">
        <v>187</v>
      </c>
      <c r="T42" s="10">
        <f>T41*T41/100</f>
        <v>5.5074063673469391</v>
      </c>
      <c r="U42" s="11" t="s">
        <v>186</v>
      </c>
      <c r="V42" s="13"/>
      <c r="W42" s="5" t="s">
        <v>188</v>
      </c>
      <c r="X42" s="3" t="s">
        <v>189</v>
      </c>
      <c r="Y42" s="3"/>
      <c r="Z42" s="13"/>
      <c r="AA42" s="13"/>
      <c r="AB42" s="13"/>
      <c r="AC42" s="13"/>
      <c r="AD42" s="14"/>
    </row>
    <row r="43" spans="2:30" ht="16.5" x14ac:dyDescent="0.15">
      <c r="B43" s="225" t="s">
        <v>90</v>
      </c>
      <c r="C43" s="65">
        <f>C28/C38</f>
        <v>4274.780111728146</v>
      </c>
      <c r="D43" s="232">
        <f>D28/D38</f>
        <v>4147.550891206397</v>
      </c>
      <c r="E43" s="259">
        <f>E28/E38</f>
        <v>3171.6874976213799</v>
      </c>
      <c r="F43" s="65">
        <f>F28/F38</f>
        <v>4092.8502910422453</v>
      </c>
      <c r="G43" s="260">
        <f>G28/G38</f>
        <v>5122.7374431105054</v>
      </c>
      <c r="H43" s="335">
        <f>H28/H38</f>
        <v>4113.0135732894869</v>
      </c>
      <c r="I43" s="65">
        <f>I28/I38</f>
        <v>4064.5877675444922</v>
      </c>
      <c r="J43" s="65">
        <f t="shared" ref="J43" si="25">J28/J38</f>
        <v>4074.0917308976373</v>
      </c>
      <c r="K43" s="236" t="s">
        <v>2</v>
      </c>
      <c r="L43" s="49"/>
      <c r="M43" s="51" t="s">
        <v>246</v>
      </c>
      <c r="O43" s="21" t="s">
        <v>44</v>
      </c>
      <c r="P43" s="22">
        <v>401</v>
      </c>
      <c r="Q43" s="21" t="s">
        <v>0</v>
      </c>
      <c r="R43" s="13"/>
      <c r="S43" s="13"/>
      <c r="T43" s="13"/>
      <c r="U43" s="13"/>
      <c r="V43" s="13"/>
      <c r="W43" s="12" t="s">
        <v>190</v>
      </c>
      <c r="X43" s="15">
        <v>1.75</v>
      </c>
      <c r="Y43" s="12" t="s">
        <v>191</v>
      </c>
      <c r="Z43" s="13"/>
      <c r="AA43" s="13"/>
      <c r="AB43" s="13"/>
      <c r="AC43" s="13"/>
      <c r="AD43" s="14"/>
    </row>
    <row r="44" spans="2:30" ht="16.5" x14ac:dyDescent="0.15">
      <c r="B44" s="225" t="s">
        <v>91</v>
      </c>
      <c r="C44" s="62">
        <f>ROUND(C43*2^0.5*2/PI(),0)</f>
        <v>3849</v>
      </c>
      <c r="D44" s="229">
        <f>ROUND(D43*2^0.5*2/PI(),0)</f>
        <v>3734</v>
      </c>
      <c r="E44" s="253">
        <f>ROUND(E43*2^0.5*2/PI(),0)</f>
        <v>2856</v>
      </c>
      <c r="F44" s="62">
        <f>ROUND(F43*2^0.5*2/PI(),0)</f>
        <v>3685</v>
      </c>
      <c r="G44" s="254">
        <f>ROUND(G43*2^0.5*2/PI(),0)</f>
        <v>4612</v>
      </c>
      <c r="H44" s="332">
        <f>ROUND(H43*2^0.5*2/PI(),0)</f>
        <v>3703</v>
      </c>
      <c r="I44" s="62">
        <f>ROUND(I43*2^0.5*2/PI(),0)</f>
        <v>3659</v>
      </c>
      <c r="J44" s="62">
        <f t="shared" ref="J44" si="26">ROUND(J43*2^0.5*2/PI(),0)</f>
        <v>3668</v>
      </c>
      <c r="K44" s="236" t="s">
        <v>2</v>
      </c>
      <c r="L44" s="49"/>
      <c r="M44" s="48"/>
      <c r="O44" s="21" t="s">
        <v>467</v>
      </c>
      <c r="P44" s="22">
        <v>1</v>
      </c>
      <c r="Q44" s="21"/>
      <c r="R44" s="13"/>
      <c r="S44" s="272" t="s">
        <v>226</v>
      </c>
      <c r="T44" s="272"/>
      <c r="U44" s="272"/>
      <c r="V44" s="13"/>
      <c r="W44" s="12" t="s">
        <v>192</v>
      </c>
      <c r="X44" s="16">
        <v>3.8999999999999998E-3</v>
      </c>
      <c r="Y44" s="12" t="s">
        <v>193</v>
      </c>
      <c r="Z44" s="13"/>
      <c r="AA44" s="13"/>
      <c r="AB44" s="13"/>
      <c r="AC44" s="13"/>
      <c r="AD44" s="14"/>
    </row>
    <row r="45" spans="2:30" ht="16.5" x14ac:dyDescent="0.15">
      <c r="B45" s="225" t="s">
        <v>92</v>
      </c>
      <c r="C45" s="62">
        <f>C44/C36</f>
        <v>1924.5</v>
      </c>
      <c r="D45" s="229">
        <f>D44/D36</f>
        <v>1867</v>
      </c>
      <c r="E45" s="253">
        <f>E44/E36</f>
        <v>1428</v>
      </c>
      <c r="F45" s="62">
        <f>F44/F36</f>
        <v>1842.5</v>
      </c>
      <c r="G45" s="254">
        <f>G44/G36</f>
        <v>2306</v>
      </c>
      <c r="H45" s="332">
        <f>H44/H36</f>
        <v>1851.5</v>
      </c>
      <c r="I45" s="62">
        <f>I44/I36</f>
        <v>1829.5</v>
      </c>
      <c r="J45" s="62">
        <f t="shared" ref="J45" si="27">J44/J36</f>
        <v>1834</v>
      </c>
      <c r="K45" s="236" t="s">
        <v>2</v>
      </c>
      <c r="L45" s="49"/>
      <c r="M45" s="48"/>
      <c r="O45" s="21" t="s">
        <v>56</v>
      </c>
      <c r="P45" s="23">
        <f>P43*0.9/P44</f>
        <v>360.90000000000003</v>
      </c>
      <c r="Q45" s="21" t="s">
        <v>0</v>
      </c>
      <c r="R45" s="13"/>
      <c r="S45" s="6" t="s">
        <v>155</v>
      </c>
      <c r="T45" s="7">
        <v>5808</v>
      </c>
      <c r="U45" s="6" t="s">
        <v>156</v>
      </c>
      <c r="V45" s="13"/>
      <c r="W45" s="12" t="s">
        <v>194</v>
      </c>
      <c r="X45" s="17">
        <v>45</v>
      </c>
      <c r="Y45" s="12" t="s">
        <v>48</v>
      </c>
      <c r="Z45" s="13"/>
      <c r="AA45" s="13"/>
      <c r="AB45" s="13"/>
      <c r="AC45" s="13"/>
      <c r="AD45" s="14"/>
    </row>
    <row r="46" spans="2:30" ht="17.25" thickBot="1" x14ac:dyDescent="0.2">
      <c r="B46" s="225" t="s">
        <v>93</v>
      </c>
      <c r="C46" s="63">
        <f>ROUND(C45/C11,3)</f>
        <v>1.591</v>
      </c>
      <c r="D46" s="230">
        <f>ROUND(D45/D11,3)</f>
        <v>1.5429999999999999</v>
      </c>
      <c r="E46" s="266">
        <f>ROUND(E45/E11,3)</f>
        <v>1.181</v>
      </c>
      <c r="F46" s="267">
        <f>ROUND(F45/F11,3)</f>
        <v>1.5229999999999999</v>
      </c>
      <c r="G46" s="268">
        <f>ROUND(G45/G11,3)</f>
        <v>1.9059999999999999</v>
      </c>
      <c r="H46" s="333">
        <f>ROUND(H45/H11,3)</f>
        <v>1.5309999999999999</v>
      </c>
      <c r="I46" s="63">
        <f>ROUND(I45/I11,3)</f>
        <v>1.512</v>
      </c>
      <c r="J46" s="63">
        <f t="shared" ref="J46" si="28">ROUND(J45/J11,3)</f>
        <v>1.516</v>
      </c>
      <c r="K46" s="236"/>
      <c r="L46" s="49"/>
      <c r="M46" s="48"/>
      <c r="O46" s="21" t="s">
        <v>241</v>
      </c>
      <c r="P46" s="23">
        <f>(P41*1000)/(P42*P43*0.9/P44)</f>
        <v>0.87270886650390644</v>
      </c>
      <c r="Q46" s="21"/>
      <c r="R46" s="13"/>
      <c r="S46" s="6" t="s">
        <v>159</v>
      </c>
      <c r="T46" s="7">
        <v>600</v>
      </c>
      <c r="U46" s="6" t="s">
        <v>160</v>
      </c>
      <c r="V46" s="13"/>
      <c r="W46" s="12" t="s">
        <v>195</v>
      </c>
      <c r="X46" s="16">
        <f>X43*(1+X44*(X45-20))</f>
        <v>1.9206249999999998</v>
      </c>
      <c r="Y46" s="12" t="s">
        <v>191</v>
      </c>
      <c r="Z46" s="13"/>
      <c r="AA46" s="13"/>
      <c r="AB46" s="13"/>
      <c r="AC46" s="13"/>
      <c r="AD46" s="14"/>
    </row>
    <row r="47" spans="2:30" ht="16.5" x14ac:dyDescent="0.15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O47" s="21" t="s">
        <v>242</v>
      </c>
      <c r="P47" s="73">
        <f>DEGREES(ACOS(P46))</f>
        <v>29.225030363895115</v>
      </c>
      <c r="Q47" s="21"/>
      <c r="R47" s="13"/>
      <c r="S47" s="6" t="s">
        <v>162</v>
      </c>
      <c r="T47" s="7">
        <v>600</v>
      </c>
      <c r="U47" s="6" t="s">
        <v>163</v>
      </c>
      <c r="V47" s="13"/>
      <c r="W47" s="12" t="s">
        <v>196</v>
      </c>
      <c r="X47" s="18">
        <f>1/(X46/100000000)</f>
        <v>52066384.64041654</v>
      </c>
      <c r="Y47" s="12" t="s">
        <v>197</v>
      </c>
      <c r="Z47" s="13"/>
      <c r="AA47" s="13"/>
      <c r="AB47" s="13"/>
      <c r="AC47" s="13"/>
      <c r="AD47" s="14"/>
    </row>
    <row r="48" spans="2:30" ht="16.5" x14ac:dyDescent="0.15">
      <c r="B48" s="46" t="s">
        <v>291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O48" s="13"/>
      <c r="P48" s="13"/>
      <c r="Q48" s="13"/>
      <c r="R48" s="13"/>
      <c r="S48" s="6" t="s">
        <v>165</v>
      </c>
      <c r="T48" s="25">
        <f>T45*T46/T47</f>
        <v>5808</v>
      </c>
      <c r="U48" s="6" t="s">
        <v>166</v>
      </c>
      <c r="V48" s="13"/>
      <c r="W48" s="12" t="s">
        <v>198</v>
      </c>
      <c r="X48" s="3">
        <v>1</v>
      </c>
      <c r="Y48" s="12" t="s">
        <v>199</v>
      </c>
      <c r="Z48" s="13"/>
      <c r="AA48" s="13"/>
      <c r="AB48" s="13"/>
      <c r="AC48" s="13"/>
      <c r="AD48" s="14"/>
    </row>
    <row r="49" spans="2:30" ht="16.5" x14ac:dyDescent="0.3">
      <c r="B49" s="32" t="s">
        <v>275</v>
      </c>
      <c r="C49" s="34">
        <v>2</v>
      </c>
      <c r="D49" s="34">
        <v>2</v>
      </c>
      <c r="E49" s="34">
        <v>2</v>
      </c>
      <c r="F49" s="34">
        <v>2</v>
      </c>
      <c r="G49" s="34">
        <v>2</v>
      </c>
      <c r="H49" s="34">
        <v>2</v>
      </c>
      <c r="I49" s="34">
        <v>2</v>
      </c>
      <c r="J49" s="34">
        <v>2</v>
      </c>
      <c r="K49" s="32" t="s">
        <v>49</v>
      </c>
      <c r="L49" s="49">
        <v>6</v>
      </c>
      <c r="M49" s="35" t="s">
        <v>279</v>
      </c>
      <c r="O49" s="270" t="s">
        <v>266</v>
      </c>
      <c r="P49" s="270"/>
      <c r="Q49" s="270"/>
      <c r="R49" s="13"/>
      <c r="S49" s="13"/>
      <c r="T49" s="13"/>
      <c r="U49" s="13"/>
      <c r="V49" s="13"/>
      <c r="W49" s="12" t="s">
        <v>37</v>
      </c>
      <c r="X49" s="19">
        <v>10000</v>
      </c>
      <c r="Y49" s="12" t="s">
        <v>200</v>
      </c>
      <c r="Z49" s="13"/>
      <c r="AA49" s="13"/>
      <c r="AB49" s="13"/>
      <c r="AC49" s="13" t="s">
        <v>235</v>
      </c>
      <c r="AD49" s="14"/>
    </row>
    <row r="50" spans="2:30" ht="16.5" x14ac:dyDescent="0.3">
      <c r="B50" s="32" t="s">
        <v>114</v>
      </c>
      <c r="C50" s="55">
        <f t="shared" ref="C50:J50" si="29">C43/C49</f>
        <v>2137.390055864073</v>
      </c>
      <c r="D50" s="55">
        <f t="shared" si="29"/>
        <v>2073.7754456031985</v>
      </c>
      <c r="E50" s="55">
        <f t="shared" ref="E50" si="30">E43/E49</f>
        <v>1585.8437488106899</v>
      </c>
      <c r="F50" s="55">
        <f t="shared" si="29"/>
        <v>2046.4251455211227</v>
      </c>
      <c r="G50" s="55">
        <f t="shared" ref="G50" si="31">G43/G49</f>
        <v>2561.3687215552527</v>
      </c>
      <c r="H50" s="55">
        <f t="shared" si="29"/>
        <v>2056.5067866447434</v>
      </c>
      <c r="I50" s="55">
        <f t="shared" si="29"/>
        <v>2032.2938837722461</v>
      </c>
      <c r="J50" s="55">
        <f t="shared" si="29"/>
        <v>2037.0458654488186</v>
      </c>
      <c r="K50" s="32" t="s">
        <v>2</v>
      </c>
      <c r="L50" s="49"/>
      <c r="M50" s="32" t="s">
        <v>278</v>
      </c>
      <c r="O50" s="32" t="s">
        <v>36</v>
      </c>
      <c r="P50" s="33">
        <v>200</v>
      </c>
      <c r="Q50" s="32" t="s">
        <v>13</v>
      </c>
      <c r="R50" s="13"/>
      <c r="S50" s="272" t="s">
        <v>306</v>
      </c>
      <c r="T50" s="272"/>
      <c r="U50" s="272"/>
      <c r="V50" s="13"/>
      <c r="W50" s="12" t="s">
        <v>230</v>
      </c>
      <c r="X50" s="31">
        <f>503.3*SQRT((X46/100000000)/(X48*X49))*1000</f>
        <v>0.69750643588876649</v>
      </c>
      <c r="Y50" s="12" t="s">
        <v>201</v>
      </c>
      <c r="Z50" s="13"/>
      <c r="AA50" s="13"/>
      <c r="AB50" s="13"/>
      <c r="AC50" s="13"/>
      <c r="AD50" s="14"/>
    </row>
    <row r="51" spans="2:30" ht="16.5" x14ac:dyDescent="0.3">
      <c r="B51" s="32" t="s">
        <v>8</v>
      </c>
      <c r="C51" s="38">
        <v>18.5</v>
      </c>
      <c r="D51" s="38">
        <v>18.5</v>
      </c>
      <c r="E51" s="38">
        <v>18.5</v>
      </c>
      <c r="F51" s="38">
        <v>18.5</v>
      </c>
      <c r="G51" s="38">
        <v>18.5</v>
      </c>
      <c r="H51" s="38">
        <v>18.5</v>
      </c>
      <c r="I51" s="38">
        <v>18.5</v>
      </c>
      <c r="J51" s="38">
        <v>18.5</v>
      </c>
      <c r="K51" s="32" t="s">
        <v>45</v>
      </c>
      <c r="L51" s="49">
        <v>7</v>
      </c>
      <c r="M51" s="35" t="s">
        <v>117</v>
      </c>
      <c r="O51" s="32" t="s">
        <v>38</v>
      </c>
      <c r="P51" s="33">
        <v>3</v>
      </c>
      <c r="Q51" s="32" t="s">
        <v>13</v>
      </c>
      <c r="R51" s="13"/>
      <c r="S51" s="21" t="s">
        <v>296</v>
      </c>
      <c r="T51" s="22">
        <v>15.4</v>
      </c>
      <c r="U51" s="21" t="s">
        <v>13</v>
      </c>
      <c r="V51" s="13"/>
      <c r="W51" s="12" t="s">
        <v>231</v>
      </c>
      <c r="X51" s="26">
        <v>16000</v>
      </c>
      <c r="Y51" s="12" t="s">
        <v>201</v>
      </c>
      <c r="Z51" s="13"/>
      <c r="AA51" s="13"/>
      <c r="AB51" s="13"/>
      <c r="AC51" s="13"/>
      <c r="AD51" s="14"/>
    </row>
    <row r="52" spans="2:30" ht="16.5" x14ac:dyDescent="0.3">
      <c r="B52" s="32" t="s">
        <v>118</v>
      </c>
      <c r="C52" s="38">
        <v>25</v>
      </c>
      <c r="D52" s="38">
        <v>25</v>
      </c>
      <c r="E52" s="38">
        <v>25</v>
      </c>
      <c r="F52" s="38">
        <v>25</v>
      </c>
      <c r="G52" s="38">
        <v>25</v>
      </c>
      <c r="H52" s="38">
        <v>25</v>
      </c>
      <c r="I52" s="38">
        <v>25</v>
      </c>
      <c r="J52" s="38">
        <v>25</v>
      </c>
      <c r="K52" s="32" t="s">
        <v>0</v>
      </c>
      <c r="L52" s="49">
        <v>8</v>
      </c>
      <c r="M52" s="35" t="s">
        <v>119</v>
      </c>
      <c r="O52" s="32" t="s">
        <v>39</v>
      </c>
      <c r="P52" s="33">
        <v>300</v>
      </c>
      <c r="Q52" s="32" t="s">
        <v>13</v>
      </c>
      <c r="R52" s="13"/>
      <c r="S52" s="21" t="s">
        <v>297</v>
      </c>
      <c r="T52" s="22">
        <v>2</v>
      </c>
      <c r="U52" s="21" t="s">
        <v>13</v>
      </c>
      <c r="V52" s="13"/>
      <c r="W52" s="12" t="s">
        <v>256</v>
      </c>
      <c r="X52" s="26">
        <v>2</v>
      </c>
      <c r="Y52" s="12" t="s">
        <v>201</v>
      </c>
      <c r="Z52" s="13"/>
      <c r="AA52" s="13"/>
      <c r="AB52" s="13"/>
      <c r="AC52" s="13"/>
      <c r="AD52" s="14"/>
    </row>
    <row r="53" spans="2:30" ht="16.5" x14ac:dyDescent="0.3">
      <c r="B53" s="32" t="s">
        <v>9</v>
      </c>
      <c r="C53" s="42">
        <f t="shared" ref="C53:J53" si="32">C52*C51/1000000*C54*1000</f>
        <v>0.51884906454689994</v>
      </c>
      <c r="D53" s="42">
        <f t="shared" si="32"/>
        <v>0.51724202170019717</v>
      </c>
      <c r="E53" s="42">
        <f t="shared" ref="E53" si="33">E52*E51/1000000*E54*1000</f>
        <v>0.53415145510387041</v>
      </c>
      <c r="F53" s="42">
        <f t="shared" si="32"/>
        <v>0.54317730968074118</v>
      </c>
      <c r="G53" s="42">
        <f t="shared" ref="G53" si="34">G52*G51/1000000*G54*1000</f>
        <v>0.53690356092905123</v>
      </c>
      <c r="H53" s="42">
        <f t="shared" si="32"/>
        <v>0.56334381164433733</v>
      </c>
      <c r="I53" s="42">
        <f t="shared" si="32"/>
        <v>0.56250529054566478</v>
      </c>
      <c r="J53" s="42">
        <f t="shared" si="32"/>
        <v>0.58525522444794842</v>
      </c>
      <c r="K53" s="32" t="s">
        <v>6</v>
      </c>
      <c r="L53" s="49"/>
      <c r="M53" s="32"/>
      <c r="O53" s="32" t="s">
        <v>75</v>
      </c>
      <c r="P53" s="74">
        <f>12.5*(P51/10)*(P52/10)/(P50/10)</f>
        <v>5.625</v>
      </c>
      <c r="Q53" s="32" t="s">
        <v>40</v>
      </c>
      <c r="R53" s="13"/>
      <c r="S53" s="21" t="s">
        <v>299</v>
      </c>
      <c r="T53" s="23">
        <f>T51+T52*2</f>
        <v>19.399999999999999</v>
      </c>
      <c r="U53" s="21" t="s">
        <v>13</v>
      </c>
      <c r="V53" s="13"/>
      <c r="W53" s="12" t="s">
        <v>255</v>
      </c>
      <c r="X53" s="27">
        <f>MIN(X50,X52)</f>
        <v>0.69750643588876649</v>
      </c>
      <c r="Y53" s="12" t="s">
        <v>201</v>
      </c>
      <c r="Z53" s="13"/>
      <c r="AA53" s="13"/>
      <c r="AB53" s="13"/>
      <c r="AC53" s="13"/>
      <c r="AD53" s="14"/>
    </row>
    <row r="54" spans="2:30" ht="18" customHeight="1" x14ac:dyDescent="0.3">
      <c r="B54" s="32" t="s">
        <v>116</v>
      </c>
      <c r="C54" s="55">
        <f t="shared" ref="C54:J54" si="35">C21</f>
        <v>1.1218358152365404</v>
      </c>
      <c r="D54" s="55">
        <f t="shared" si="35"/>
        <v>1.1183611280004264</v>
      </c>
      <c r="E54" s="55">
        <f t="shared" ref="E54" si="36">E21</f>
        <v>1.1549220650894496</v>
      </c>
      <c r="F54" s="55">
        <f t="shared" si="35"/>
        <v>1.1744374263367376</v>
      </c>
      <c r="G54" s="55">
        <f t="shared" ref="G54" si="37">G21</f>
        <v>1.1608725641709214</v>
      </c>
      <c r="H54" s="55">
        <f t="shared" si="35"/>
        <v>1.2180406738255942</v>
      </c>
      <c r="I54" s="55">
        <f t="shared" si="35"/>
        <v>1.2162276552338698</v>
      </c>
      <c r="J54" s="55">
        <f t="shared" si="35"/>
        <v>1.2654167015090776</v>
      </c>
      <c r="K54" s="32" t="s">
        <v>4</v>
      </c>
      <c r="L54" s="49"/>
      <c r="M54" s="32" t="s">
        <v>115</v>
      </c>
      <c r="S54" s="70" t="s">
        <v>300</v>
      </c>
      <c r="T54" s="71">
        <v>8.8539999999999992E-12</v>
      </c>
      <c r="U54" s="48"/>
      <c r="W54" s="12" t="s">
        <v>236</v>
      </c>
      <c r="X54" s="26">
        <v>30</v>
      </c>
      <c r="Y54" s="12" t="s">
        <v>201</v>
      </c>
    </row>
    <row r="55" spans="2:30" ht="16.5" x14ac:dyDescent="0.3">
      <c r="B55" s="32" t="s">
        <v>274</v>
      </c>
      <c r="C55" s="41">
        <f t="shared" ref="C55:J55" si="38">C50*1.414</f>
        <v>3022.269538991799</v>
      </c>
      <c r="D55" s="41">
        <f t="shared" si="38"/>
        <v>2932.3184800829226</v>
      </c>
      <c r="E55" s="41">
        <f t="shared" ref="E55" si="39">E50*1.414</f>
        <v>2242.3830608183152</v>
      </c>
      <c r="F55" s="41">
        <f t="shared" si="38"/>
        <v>2893.6451557668674</v>
      </c>
      <c r="G55" s="41">
        <f t="shared" ref="G55" si="40">G50*1.414</f>
        <v>3621.7753722791272</v>
      </c>
      <c r="H55" s="41">
        <f t="shared" si="38"/>
        <v>2907.9005963156669</v>
      </c>
      <c r="I55" s="41">
        <f t="shared" si="38"/>
        <v>2873.6635516539559</v>
      </c>
      <c r="J55" s="41">
        <f t="shared" si="38"/>
        <v>2880.3828537446293</v>
      </c>
      <c r="K55" s="32" t="s">
        <v>2</v>
      </c>
      <c r="L55" s="49"/>
      <c r="M55" s="32" t="s">
        <v>280</v>
      </c>
      <c r="O55" s="270" t="s">
        <v>292</v>
      </c>
      <c r="P55" s="270"/>
      <c r="Q55" s="270"/>
      <c r="S55" s="70" t="s">
        <v>301</v>
      </c>
      <c r="T55" s="57">
        <v>2.1</v>
      </c>
      <c r="U55" s="48" t="s">
        <v>295</v>
      </c>
      <c r="W55" s="12" t="s">
        <v>237</v>
      </c>
      <c r="X55" s="26">
        <v>2</v>
      </c>
      <c r="Y55" s="12" t="s">
        <v>201</v>
      </c>
    </row>
    <row r="56" spans="2:30" ht="16.5" x14ac:dyDescent="0.3">
      <c r="B56" s="32" t="s">
        <v>120</v>
      </c>
      <c r="C56" s="38">
        <v>800</v>
      </c>
      <c r="D56" s="38">
        <v>800</v>
      </c>
      <c r="E56" s="38">
        <v>800</v>
      </c>
      <c r="F56" s="38">
        <v>800</v>
      </c>
      <c r="G56" s="38">
        <v>800</v>
      </c>
      <c r="H56" s="38">
        <v>800</v>
      </c>
      <c r="I56" s="38">
        <v>800</v>
      </c>
      <c r="J56" s="38">
        <v>800</v>
      </c>
      <c r="K56" s="32" t="s">
        <v>5</v>
      </c>
      <c r="L56" s="49">
        <v>9</v>
      </c>
      <c r="M56" s="35" t="s">
        <v>121</v>
      </c>
      <c r="O56" s="32" t="s">
        <v>293</v>
      </c>
      <c r="P56" s="33">
        <v>3000</v>
      </c>
      <c r="Q56" s="32" t="s">
        <v>50</v>
      </c>
      <c r="S56" s="48" t="s">
        <v>302</v>
      </c>
      <c r="T56" s="71">
        <f>2*PI()*T54*T55/(LN(T53/T51))*1000000000</f>
        <v>0.50594615125588516</v>
      </c>
      <c r="U56" s="48" t="s">
        <v>294</v>
      </c>
      <c r="W56" s="12" t="s">
        <v>252</v>
      </c>
      <c r="X56" s="27">
        <f>(X54*X55)-((X54-2*X53)*(X55-2*X53))</f>
        <v>42.694350984456051</v>
      </c>
      <c r="Y56" s="12" t="s">
        <v>227</v>
      </c>
    </row>
    <row r="57" spans="2:30" ht="16.5" x14ac:dyDescent="0.3">
      <c r="B57" s="32" t="s">
        <v>122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32" t="s">
        <v>5</v>
      </c>
      <c r="L57" s="49"/>
      <c r="M57" s="32"/>
      <c r="O57" s="32" t="s">
        <v>298</v>
      </c>
      <c r="P57" s="33">
        <v>1</v>
      </c>
      <c r="Q57" s="32" t="s">
        <v>13</v>
      </c>
      <c r="S57" s="48" t="s">
        <v>303</v>
      </c>
      <c r="T57" s="57">
        <v>10</v>
      </c>
      <c r="U57" s="48" t="s">
        <v>305</v>
      </c>
      <c r="W57" s="12" t="s">
        <v>232</v>
      </c>
      <c r="X57" s="26">
        <v>750</v>
      </c>
      <c r="Y57" s="4" t="s">
        <v>228</v>
      </c>
    </row>
    <row r="58" spans="2:30" ht="16.5" x14ac:dyDescent="0.3">
      <c r="B58" s="32" t="s">
        <v>123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32" t="s">
        <v>5</v>
      </c>
      <c r="L58" s="49"/>
      <c r="M58" s="32"/>
      <c r="O58" s="32" t="s">
        <v>301</v>
      </c>
      <c r="P58" s="33">
        <v>2.1</v>
      </c>
      <c r="Q58" s="32" t="s">
        <v>295</v>
      </c>
      <c r="R58" s="2"/>
      <c r="S58" s="48" t="s">
        <v>304</v>
      </c>
      <c r="T58" s="72">
        <f>T56*T57</f>
        <v>5.0594615125588511</v>
      </c>
      <c r="U58" s="48" t="s">
        <v>294</v>
      </c>
      <c r="W58" s="12" t="s">
        <v>492</v>
      </c>
      <c r="X58" s="28">
        <f>X57/X56</f>
        <v>17.566726808262207</v>
      </c>
      <c r="Y58" s="4" t="s">
        <v>228</v>
      </c>
    </row>
    <row r="59" spans="2:30" ht="16.5" x14ac:dyDescent="0.3">
      <c r="B59" s="32" t="s">
        <v>124</v>
      </c>
      <c r="C59" s="39">
        <f t="shared" ref="C59:J59" si="41">C56*C54+C57*C54</f>
        <v>897.46865218923233</v>
      </c>
      <c r="D59" s="39">
        <f t="shared" si="41"/>
        <v>894.68890240034114</v>
      </c>
      <c r="E59" s="39">
        <f t="shared" ref="E59" si="42">E56*E54+E57*E54</f>
        <v>923.93765207155968</v>
      </c>
      <c r="F59" s="39">
        <f t="shared" si="41"/>
        <v>939.54994106939012</v>
      </c>
      <c r="G59" s="39">
        <f t="shared" ref="G59" si="43">G56*G54+G57*G54</f>
        <v>928.69805133673719</v>
      </c>
      <c r="H59" s="39">
        <f t="shared" si="41"/>
        <v>974.43253906047539</v>
      </c>
      <c r="I59" s="39">
        <f t="shared" si="41"/>
        <v>972.98212418709579</v>
      </c>
      <c r="J59" s="39">
        <f t="shared" si="41"/>
        <v>1012.3333612072621</v>
      </c>
      <c r="K59" s="32" t="s">
        <v>6</v>
      </c>
      <c r="L59" s="49"/>
      <c r="M59" s="32"/>
      <c r="O59" s="32" t="s">
        <v>76</v>
      </c>
      <c r="P59" s="74">
        <f>8.854/1000000000000*P58*(P56/1000000)/(P57/1000)*1000000000</f>
        <v>5.5780200000000002E-2</v>
      </c>
      <c r="Q59" s="32" t="s">
        <v>294</v>
      </c>
      <c r="W59" s="12" t="s">
        <v>233</v>
      </c>
      <c r="X59" s="28">
        <f>X46/100000000*(X57^2)/(X56/1000000)*X51/1000</f>
        <v>4048.6913611342306</v>
      </c>
      <c r="Y59" s="4" t="s">
        <v>229</v>
      </c>
    </row>
    <row r="60" spans="2:30" ht="16.5" x14ac:dyDescent="0.3">
      <c r="B60" s="32" t="s">
        <v>125</v>
      </c>
      <c r="C60" s="42">
        <f t="shared" ref="C60:J60" si="44">C54*C58</f>
        <v>0</v>
      </c>
      <c r="D60" s="42">
        <f t="shared" si="44"/>
        <v>0</v>
      </c>
      <c r="E60" s="42">
        <f t="shared" ref="E60" si="45">E54*E58</f>
        <v>0</v>
      </c>
      <c r="F60" s="42">
        <f t="shared" si="44"/>
        <v>0</v>
      </c>
      <c r="G60" s="42">
        <f t="shared" ref="G60" si="46">G54*G58</f>
        <v>0</v>
      </c>
      <c r="H60" s="42">
        <f t="shared" si="44"/>
        <v>0</v>
      </c>
      <c r="I60" s="42">
        <f t="shared" si="44"/>
        <v>0</v>
      </c>
      <c r="J60" s="42">
        <f t="shared" si="44"/>
        <v>0</v>
      </c>
      <c r="K60" s="32" t="s">
        <v>6</v>
      </c>
      <c r="L60" s="49"/>
      <c r="M60" s="32"/>
    </row>
    <row r="61" spans="2:30" ht="16.5" x14ac:dyDescent="0.3">
      <c r="B61" s="32" t="s">
        <v>126</v>
      </c>
      <c r="C61" s="38">
        <v>100</v>
      </c>
      <c r="D61" s="38">
        <v>100</v>
      </c>
      <c r="E61" s="38">
        <v>100</v>
      </c>
      <c r="F61" s="38">
        <v>100</v>
      </c>
      <c r="G61" s="38">
        <v>100</v>
      </c>
      <c r="H61" s="38">
        <v>100</v>
      </c>
      <c r="I61" s="38">
        <v>100</v>
      </c>
      <c r="J61" s="38">
        <v>100</v>
      </c>
      <c r="K61" s="32" t="s">
        <v>7</v>
      </c>
      <c r="L61" s="49">
        <v>10</v>
      </c>
      <c r="M61" s="35" t="s">
        <v>127</v>
      </c>
      <c r="O61" s="271" t="s">
        <v>468</v>
      </c>
      <c r="P61" s="271"/>
      <c r="Q61" s="271"/>
      <c r="R61"/>
      <c r="W61" s="272" t="s">
        <v>488</v>
      </c>
      <c r="X61" s="272"/>
      <c r="Y61" s="272"/>
    </row>
    <row r="62" spans="2:30" ht="16.5" x14ac:dyDescent="0.3">
      <c r="B62" s="32" t="s">
        <v>128</v>
      </c>
      <c r="C62" s="43">
        <f t="shared" ref="C62:J62" si="47">C59*C61/100</f>
        <v>897.46865218923233</v>
      </c>
      <c r="D62" s="43">
        <f t="shared" si="47"/>
        <v>894.68890240034114</v>
      </c>
      <c r="E62" s="43">
        <f t="shared" ref="E62" si="48">E59*E61/100</f>
        <v>923.93765207155968</v>
      </c>
      <c r="F62" s="43">
        <f t="shared" si="47"/>
        <v>939.54994106939</v>
      </c>
      <c r="G62" s="43">
        <f t="shared" ref="G62" si="49">G59*G61/100</f>
        <v>928.69805133673731</v>
      </c>
      <c r="H62" s="43">
        <f t="shared" si="47"/>
        <v>974.43253906047539</v>
      </c>
      <c r="I62" s="43">
        <f t="shared" si="47"/>
        <v>972.98212418709579</v>
      </c>
      <c r="J62" s="43">
        <f t="shared" si="47"/>
        <v>1012.3333612072621</v>
      </c>
      <c r="K62" s="32" t="s">
        <v>6</v>
      </c>
      <c r="L62" s="49"/>
      <c r="M62" s="32"/>
      <c r="O62" s="84"/>
      <c r="P62" s="85" t="s">
        <v>460</v>
      </c>
      <c r="Q62" s="85" t="s">
        <v>461</v>
      </c>
      <c r="R62" s="85" t="s">
        <v>462</v>
      </c>
      <c r="W62" s="5" t="s">
        <v>188</v>
      </c>
      <c r="X62" s="3" t="s">
        <v>189</v>
      </c>
      <c r="Y62" s="3"/>
    </row>
    <row r="63" spans="2:30" ht="16.5" x14ac:dyDescent="0.3">
      <c r="B63" s="32" t="s">
        <v>129</v>
      </c>
      <c r="C63" s="41">
        <f t="shared" ref="C63:J63" si="50">C50*0.9</f>
        <v>1923.6510502776657</v>
      </c>
      <c r="D63" s="41">
        <f t="shared" si="50"/>
        <v>1866.3979010428786</v>
      </c>
      <c r="E63" s="41">
        <f t="shared" ref="E63" si="51">E50*0.9</f>
        <v>1427.259373929621</v>
      </c>
      <c r="F63" s="41">
        <f t="shared" si="50"/>
        <v>1841.7826309690104</v>
      </c>
      <c r="G63" s="41">
        <f t="shared" ref="G63" si="52">G50*0.9</f>
        <v>2305.2318493997277</v>
      </c>
      <c r="H63" s="41">
        <f t="shared" si="50"/>
        <v>1850.8561079802691</v>
      </c>
      <c r="I63" s="41">
        <f t="shared" si="50"/>
        <v>1829.0644953950216</v>
      </c>
      <c r="J63" s="41">
        <f t="shared" si="50"/>
        <v>1833.3412789039369</v>
      </c>
      <c r="K63" s="32" t="s">
        <v>2</v>
      </c>
      <c r="L63" s="49"/>
      <c r="M63" s="32"/>
      <c r="O63" s="85" t="s">
        <v>459</v>
      </c>
      <c r="P63" s="85" t="s">
        <v>465</v>
      </c>
      <c r="Q63" s="85" t="s">
        <v>463</v>
      </c>
      <c r="R63" s="85" t="s">
        <v>464</v>
      </c>
      <c r="W63" s="12" t="s">
        <v>190</v>
      </c>
      <c r="X63" s="15">
        <v>1.75</v>
      </c>
      <c r="Y63" s="12" t="s">
        <v>191</v>
      </c>
    </row>
    <row r="64" spans="2:30" ht="16.5" x14ac:dyDescent="0.3">
      <c r="B64" s="32" t="s">
        <v>130</v>
      </c>
      <c r="C64" s="38">
        <v>1.9</v>
      </c>
      <c r="D64" s="38">
        <v>1.9</v>
      </c>
      <c r="E64" s="38">
        <v>1.9</v>
      </c>
      <c r="F64" s="38">
        <v>1.9</v>
      </c>
      <c r="G64" s="38">
        <v>1.9</v>
      </c>
      <c r="H64" s="38">
        <v>1.9</v>
      </c>
      <c r="I64" s="38">
        <v>1.9</v>
      </c>
      <c r="J64" s="38">
        <v>1.9</v>
      </c>
      <c r="K64" s="32" t="s">
        <v>44</v>
      </c>
      <c r="L64" s="49">
        <v>11</v>
      </c>
      <c r="M64" s="35" t="s">
        <v>131</v>
      </c>
      <c r="O64" s="83">
        <v>0.5</v>
      </c>
      <c r="P64" s="83"/>
      <c r="Q64" s="83">
        <v>2.5</v>
      </c>
      <c r="R64" s="83"/>
      <c r="W64" s="12" t="s">
        <v>192</v>
      </c>
      <c r="X64" s="16">
        <v>3.8999999999999998E-3</v>
      </c>
      <c r="Y64" s="12" t="s">
        <v>193</v>
      </c>
    </row>
    <row r="65" spans="2:25" ht="16.5" x14ac:dyDescent="0.3">
      <c r="B65" s="32" t="s">
        <v>132</v>
      </c>
      <c r="C65" s="38">
        <v>1.7</v>
      </c>
      <c r="D65" s="38">
        <v>1.7</v>
      </c>
      <c r="E65" s="38">
        <v>1.7</v>
      </c>
      <c r="F65" s="38">
        <v>1.7</v>
      </c>
      <c r="G65" s="38">
        <v>1.7</v>
      </c>
      <c r="H65" s="38">
        <v>1.7</v>
      </c>
      <c r="I65" s="38">
        <v>1.7</v>
      </c>
      <c r="J65" s="38">
        <v>1.7</v>
      </c>
      <c r="K65" s="32" t="s">
        <v>44</v>
      </c>
      <c r="L65" s="49">
        <v>12</v>
      </c>
      <c r="M65" s="35" t="s">
        <v>133</v>
      </c>
      <c r="O65" s="83">
        <v>0.8</v>
      </c>
      <c r="P65" s="83"/>
      <c r="Q65" s="83">
        <v>1.42</v>
      </c>
      <c r="R65" s="83"/>
      <c r="W65" s="12" t="s">
        <v>194</v>
      </c>
      <c r="X65" s="17">
        <v>45</v>
      </c>
      <c r="Y65" s="12" t="s">
        <v>48</v>
      </c>
    </row>
    <row r="66" spans="2:25" ht="16.5" x14ac:dyDescent="0.3">
      <c r="B66" s="32" t="s">
        <v>72</v>
      </c>
      <c r="C66" s="42">
        <v>100</v>
      </c>
      <c r="D66" s="42">
        <v>100</v>
      </c>
      <c r="E66" s="42">
        <v>100</v>
      </c>
      <c r="F66" s="42">
        <v>100</v>
      </c>
      <c r="G66" s="42">
        <v>100</v>
      </c>
      <c r="H66" s="42">
        <v>100</v>
      </c>
      <c r="I66" s="42">
        <v>100</v>
      </c>
      <c r="J66" s="42">
        <v>100</v>
      </c>
      <c r="K66" s="32" t="s">
        <v>7</v>
      </c>
      <c r="L66" s="49"/>
      <c r="M66" s="35"/>
      <c r="O66" s="83">
        <v>1</v>
      </c>
      <c r="P66" s="83">
        <v>2</v>
      </c>
      <c r="Q66" s="83">
        <v>1.4</v>
      </c>
      <c r="R66" s="83"/>
      <c r="W66" s="12" t="s">
        <v>195</v>
      </c>
      <c r="X66" s="16">
        <f>X63*(1+X64*(X65-20))</f>
        <v>1.9206249999999998</v>
      </c>
      <c r="Y66" s="12" t="s">
        <v>191</v>
      </c>
    </row>
    <row r="67" spans="2:25" ht="16.5" x14ac:dyDescent="0.3">
      <c r="B67" s="32" t="s">
        <v>134</v>
      </c>
      <c r="C67" s="42">
        <f t="shared" ref="C67:J67" si="53">C17</f>
        <v>50</v>
      </c>
      <c r="D67" s="42">
        <f t="shared" si="53"/>
        <v>48.5</v>
      </c>
      <c r="E67" s="42">
        <f t="shared" ref="E67" si="54">E17</f>
        <v>30</v>
      </c>
      <c r="F67" s="42">
        <f t="shared" si="53"/>
        <v>47.5</v>
      </c>
      <c r="G67" s="42">
        <f t="shared" ref="G67" si="55">G17</f>
        <v>57.5</v>
      </c>
      <c r="H67" s="42">
        <f t="shared" si="53"/>
        <v>48</v>
      </c>
      <c r="I67" s="42">
        <f t="shared" si="53"/>
        <v>47.5</v>
      </c>
      <c r="J67" s="42">
        <f t="shared" si="53"/>
        <v>47.5</v>
      </c>
      <c r="K67" s="32" t="s">
        <v>79</v>
      </c>
      <c r="L67" s="49"/>
      <c r="M67" s="32"/>
      <c r="O67" s="83">
        <v>1.2</v>
      </c>
      <c r="P67" s="83"/>
      <c r="Q67" s="83">
        <v>1.04</v>
      </c>
      <c r="R67" s="83"/>
      <c r="W67" s="12" t="s">
        <v>196</v>
      </c>
      <c r="X67" s="18">
        <f>1/(X66/100000000)</f>
        <v>52066384.64041654</v>
      </c>
      <c r="Y67" s="12" t="s">
        <v>197</v>
      </c>
    </row>
    <row r="68" spans="2:25" ht="16.5" x14ac:dyDescent="0.3">
      <c r="B68" s="32" t="s">
        <v>135</v>
      </c>
      <c r="C68" s="42">
        <f t="shared" ref="C68:J68" si="56">ROUNDUP((C63*C64*((C66*180/100-C67)/180))/2,0)</f>
        <v>1320</v>
      </c>
      <c r="D68" s="42">
        <f t="shared" si="56"/>
        <v>1296</v>
      </c>
      <c r="E68" s="42">
        <f t="shared" ref="E68" si="57">ROUNDUP((E63*E64*((E66*180/100-E67)/180))/2,0)</f>
        <v>1130</v>
      </c>
      <c r="F68" s="42">
        <f t="shared" si="56"/>
        <v>1288</v>
      </c>
      <c r="G68" s="42">
        <f t="shared" ref="G68" si="58">ROUNDUP((G63*G64*((G66*180/100-G67)/180))/2,0)</f>
        <v>1491</v>
      </c>
      <c r="H68" s="42">
        <f t="shared" si="56"/>
        <v>1290</v>
      </c>
      <c r="I68" s="42">
        <f t="shared" si="56"/>
        <v>1280</v>
      </c>
      <c r="J68" s="42">
        <f t="shared" si="56"/>
        <v>1283</v>
      </c>
      <c r="K68" s="32" t="s">
        <v>6</v>
      </c>
      <c r="L68" s="49"/>
      <c r="M68" s="32"/>
      <c r="O68" s="83">
        <v>2</v>
      </c>
      <c r="P68" s="83">
        <v>1.1200000000000001</v>
      </c>
      <c r="Q68" s="83">
        <v>0.75</v>
      </c>
      <c r="R68" s="83"/>
      <c r="W68" s="12" t="s">
        <v>198</v>
      </c>
      <c r="X68" s="3">
        <v>1</v>
      </c>
      <c r="Y68" s="12" t="s">
        <v>199</v>
      </c>
    </row>
    <row r="69" spans="2:25" ht="16.5" x14ac:dyDescent="0.3">
      <c r="B69" s="32" t="s">
        <v>136</v>
      </c>
      <c r="C69" s="42">
        <f t="shared" ref="C69:J69" si="59">ROUNDUP((C63*C65*(1-(C66*180/100-C67)/180))/2,0)</f>
        <v>455</v>
      </c>
      <c r="D69" s="42">
        <f t="shared" si="59"/>
        <v>428</v>
      </c>
      <c r="E69" s="42">
        <f t="shared" ref="E69" si="60">ROUNDUP((E63*E65*(1-(E66*180/100-E67)/180))/2,0)</f>
        <v>203</v>
      </c>
      <c r="F69" s="42">
        <f t="shared" si="59"/>
        <v>414</v>
      </c>
      <c r="G69" s="42">
        <f t="shared" ref="G69" si="61">ROUNDUP((G63*G65*(1-(G66*180/100-G67)/180))/2,0)</f>
        <v>626</v>
      </c>
      <c r="H69" s="42">
        <f t="shared" si="59"/>
        <v>420</v>
      </c>
      <c r="I69" s="42">
        <f t="shared" si="59"/>
        <v>411</v>
      </c>
      <c r="J69" s="42">
        <f t="shared" si="59"/>
        <v>412</v>
      </c>
      <c r="K69" s="32" t="s">
        <v>6</v>
      </c>
      <c r="L69" s="49"/>
      <c r="M69" s="32"/>
      <c r="O69" s="83">
        <v>3</v>
      </c>
      <c r="P69" s="83">
        <v>0.71</v>
      </c>
      <c r="Q69" s="83">
        <v>0.57999999999999996</v>
      </c>
      <c r="R69" s="83"/>
      <c r="W69" s="12" t="s">
        <v>231</v>
      </c>
      <c r="X69" s="26">
        <v>6126</v>
      </c>
      <c r="Y69" s="12" t="s">
        <v>201</v>
      </c>
    </row>
    <row r="70" spans="2:25" ht="16.5" x14ac:dyDescent="0.3">
      <c r="B70" s="32" t="s">
        <v>69</v>
      </c>
      <c r="C70" s="43">
        <f t="shared" ref="C70:J70" si="62">ROUNDUP(((C63*C64*(((C66*180/100-C67)/180))+(C63*C65*(1-(C66*180/100-C67)/180))))/2,0)</f>
        <v>1775</v>
      </c>
      <c r="D70" s="43">
        <f t="shared" si="62"/>
        <v>1723</v>
      </c>
      <c r="E70" s="43">
        <f t="shared" ref="E70" si="63">ROUNDUP(((E63*E64*(((E66*180/100-E67)/180))+(E63*E65*(1-(E66*180/100-E67)/180))))/2,0)</f>
        <v>1333</v>
      </c>
      <c r="F70" s="43">
        <f t="shared" si="62"/>
        <v>1702</v>
      </c>
      <c r="G70" s="43">
        <f t="shared" ref="G70" si="64">ROUNDUP(((G63*G64*(((G66*180/100-G67)/180))+(G63*G65*(1-(G66*180/100-G67)/180))))/2,0)</f>
        <v>2117</v>
      </c>
      <c r="H70" s="43">
        <f t="shared" si="62"/>
        <v>1709</v>
      </c>
      <c r="I70" s="43">
        <f t="shared" si="62"/>
        <v>1690</v>
      </c>
      <c r="J70" s="43">
        <f t="shared" si="62"/>
        <v>1694</v>
      </c>
      <c r="K70" s="32" t="s">
        <v>6</v>
      </c>
      <c r="L70" s="49"/>
      <c r="M70" s="32"/>
      <c r="O70" s="83">
        <v>5</v>
      </c>
      <c r="P70" s="83">
        <v>0.43</v>
      </c>
      <c r="Q70" s="83">
        <v>0.36</v>
      </c>
      <c r="R70" s="83"/>
      <c r="W70" s="12" t="s">
        <v>257</v>
      </c>
      <c r="X70" s="26">
        <v>2</v>
      </c>
      <c r="Y70" s="12" t="s">
        <v>201</v>
      </c>
    </row>
    <row r="71" spans="2:25" ht="16.5" x14ac:dyDescent="0.3">
      <c r="B71" s="32" t="s">
        <v>276</v>
      </c>
      <c r="C71" s="42">
        <f t="shared" ref="C71:J71" si="65">C62+C68</f>
        <v>2217.4686521892322</v>
      </c>
      <c r="D71" s="42">
        <f t="shared" si="65"/>
        <v>2190.6889024003412</v>
      </c>
      <c r="E71" s="42">
        <f t="shared" ref="E71" si="66">E62+E68</f>
        <v>2053.9376520715596</v>
      </c>
      <c r="F71" s="42">
        <f t="shared" si="65"/>
        <v>2227.5499410693901</v>
      </c>
      <c r="G71" s="42">
        <f t="shared" ref="G71" si="67">G62+G68</f>
        <v>2419.6980513367371</v>
      </c>
      <c r="H71" s="42">
        <f t="shared" si="65"/>
        <v>2264.4325390604754</v>
      </c>
      <c r="I71" s="42">
        <f t="shared" si="65"/>
        <v>2252.9821241870959</v>
      </c>
      <c r="J71" s="42">
        <f t="shared" si="65"/>
        <v>2295.333361207262</v>
      </c>
      <c r="K71" s="32" t="s">
        <v>6</v>
      </c>
      <c r="L71" s="49"/>
      <c r="M71" s="32"/>
      <c r="O71" s="83">
        <v>6</v>
      </c>
      <c r="P71" s="83"/>
      <c r="Q71" s="83">
        <v>0.34</v>
      </c>
      <c r="R71" s="83">
        <v>0.62</v>
      </c>
      <c r="W71" s="12" t="s">
        <v>253</v>
      </c>
      <c r="X71" s="26">
        <v>60</v>
      </c>
      <c r="Y71" s="12" t="s">
        <v>201</v>
      </c>
    </row>
    <row r="72" spans="2:25" ht="16.5" x14ac:dyDescent="0.3">
      <c r="B72" s="32" t="s">
        <v>277</v>
      </c>
      <c r="C72" s="42">
        <f t="shared" ref="C72:J72" si="68">C69+C60</f>
        <v>455</v>
      </c>
      <c r="D72" s="42">
        <f t="shared" si="68"/>
        <v>428</v>
      </c>
      <c r="E72" s="42">
        <f t="shared" ref="E72" si="69">E69+E60</f>
        <v>203</v>
      </c>
      <c r="F72" s="42">
        <f t="shared" si="68"/>
        <v>414</v>
      </c>
      <c r="G72" s="42">
        <f t="shared" ref="G72" si="70">G69+G60</f>
        <v>626</v>
      </c>
      <c r="H72" s="42">
        <f t="shared" si="68"/>
        <v>420</v>
      </c>
      <c r="I72" s="42">
        <f t="shared" si="68"/>
        <v>411</v>
      </c>
      <c r="J72" s="42">
        <f t="shared" si="68"/>
        <v>412</v>
      </c>
      <c r="K72" s="32" t="s">
        <v>6</v>
      </c>
      <c r="L72" s="49"/>
      <c r="M72" s="32"/>
      <c r="O72" s="83">
        <v>8</v>
      </c>
      <c r="P72" s="83">
        <v>0.3</v>
      </c>
      <c r="Q72" s="83">
        <v>0.25</v>
      </c>
      <c r="R72" s="83"/>
      <c r="W72" s="12" t="s">
        <v>252</v>
      </c>
      <c r="X72" s="27">
        <f>X70*X71</f>
        <v>120</v>
      </c>
      <c r="Y72" s="12" t="s">
        <v>227</v>
      </c>
    </row>
    <row r="73" spans="2:25" ht="16.5" x14ac:dyDescent="0.3">
      <c r="B73" s="32" t="s">
        <v>284</v>
      </c>
      <c r="C73" s="43">
        <f t="shared" ref="C73:J73" si="71">ROUNDUP((C53+C62+C70),0)</f>
        <v>2673</v>
      </c>
      <c r="D73" s="43">
        <f t="shared" si="71"/>
        <v>2619</v>
      </c>
      <c r="E73" s="43">
        <f t="shared" ref="E73" si="72">ROUNDUP((E53+E62+E70),0)</f>
        <v>2258</v>
      </c>
      <c r="F73" s="43">
        <f t="shared" si="71"/>
        <v>2643</v>
      </c>
      <c r="G73" s="43">
        <f t="shared" ref="G73" si="73">ROUNDUP((G53+G62+G70),0)</f>
        <v>3047</v>
      </c>
      <c r="H73" s="43">
        <f t="shared" si="71"/>
        <v>2684</v>
      </c>
      <c r="I73" s="43">
        <f t="shared" si="71"/>
        <v>2664</v>
      </c>
      <c r="J73" s="43">
        <f t="shared" si="71"/>
        <v>2707</v>
      </c>
      <c r="K73" s="32" t="s">
        <v>6</v>
      </c>
      <c r="L73" s="49"/>
      <c r="M73" s="32"/>
      <c r="O73" s="83">
        <v>10</v>
      </c>
      <c r="P73" s="83"/>
      <c r="Q73" s="83"/>
      <c r="R73" s="83">
        <v>0.45</v>
      </c>
      <c r="W73" s="12" t="s">
        <v>232</v>
      </c>
      <c r="X73" s="26">
        <v>850</v>
      </c>
      <c r="Y73" s="4" t="s">
        <v>228</v>
      </c>
    </row>
    <row r="74" spans="2:25" ht="15.75" customHeight="1" x14ac:dyDescent="0.3">
      <c r="B74" s="32" t="s">
        <v>137</v>
      </c>
      <c r="C74" s="38">
        <v>1</v>
      </c>
      <c r="D74" s="38">
        <v>1</v>
      </c>
      <c r="E74" s="38">
        <v>1</v>
      </c>
      <c r="F74" s="38">
        <v>1</v>
      </c>
      <c r="G74" s="38">
        <v>1</v>
      </c>
      <c r="H74" s="38">
        <v>1</v>
      </c>
      <c r="I74" s="38">
        <v>1</v>
      </c>
      <c r="J74" s="38">
        <v>1</v>
      </c>
      <c r="K74" s="32"/>
      <c r="L74" s="49">
        <v>13</v>
      </c>
      <c r="M74" s="35" t="s">
        <v>283</v>
      </c>
      <c r="O74" s="83">
        <v>15</v>
      </c>
      <c r="P74" s="83"/>
      <c r="Q74" s="83"/>
      <c r="R74" s="83">
        <v>0.4</v>
      </c>
      <c r="W74" s="12" t="s">
        <v>492</v>
      </c>
      <c r="X74" s="28">
        <f>X73/X72</f>
        <v>7.083333333333333</v>
      </c>
      <c r="Y74" s="4" t="s">
        <v>228</v>
      </c>
    </row>
    <row r="75" spans="2:25" ht="16.5" x14ac:dyDescent="0.3">
      <c r="B75" s="32" t="s">
        <v>70</v>
      </c>
      <c r="C75" s="44">
        <f t="shared" ref="C75:J75" si="74">C73*C74</f>
        <v>2673</v>
      </c>
      <c r="D75" s="44">
        <f t="shared" si="74"/>
        <v>2619</v>
      </c>
      <c r="E75" s="44">
        <f t="shared" ref="E75" si="75">E73*E74</f>
        <v>2258</v>
      </c>
      <c r="F75" s="44">
        <f t="shared" si="74"/>
        <v>2643</v>
      </c>
      <c r="G75" s="44">
        <f t="shared" ref="G75" si="76">G73*G74</f>
        <v>3047</v>
      </c>
      <c r="H75" s="44">
        <f t="shared" si="74"/>
        <v>2684</v>
      </c>
      <c r="I75" s="44">
        <f t="shared" si="74"/>
        <v>2664</v>
      </c>
      <c r="J75" s="44">
        <f t="shared" si="74"/>
        <v>2707</v>
      </c>
      <c r="K75" s="32" t="s">
        <v>46</v>
      </c>
      <c r="L75" s="49"/>
      <c r="M75" s="32"/>
      <c r="O75" s="83">
        <v>20</v>
      </c>
      <c r="P75" s="83"/>
      <c r="Q75" s="83"/>
      <c r="R75" s="83">
        <v>0.35</v>
      </c>
      <c r="W75" s="12" t="s">
        <v>233</v>
      </c>
      <c r="X75" s="28">
        <f>X66/100000000*(X73^2)/(X72/1000000)*X69/1000</f>
        <v>708.39612265624987</v>
      </c>
      <c r="Y75" s="4" t="s">
        <v>229</v>
      </c>
    </row>
    <row r="76" spans="2:25" ht="16.5" x14ac:dyDescent="0.3">
      <c r="B76" s="32" t="s">
        <v>43</v>
      </c>
      <c r="C76" s="45">
        <v>13500</v>
      </c>
      <c r="D76" s="45">
        <v>13500</v>
      </c>
      <c r="E76" s="45">
        <v>13500</v>
      </c>
      <c r="F76" s="45">
        <v>13500</v>
      </c>
      <c r="G76" s="45">
        <v>13500</v>
      </c>
      <c r="H76" s="45">
        <v>13500</v>
      </c>
      <c r="I76" s="45">
        <v>13500</v>
      </c>
      <c r="J76" s="45">
        <v>13500</v>
      </c>
      <c r="K76" s="32" t="s">
        <v>6</v>
      </c>
      <c r="L76" s="49">
        <v>14</v>
      </c>
      <c r="M76" s="35" t="s">
        <v>117</v>
      </c>
      <c r="O76" s="83">
        <v>30</v>
      </c>
      <c r="P76" s="83"/>
      <c r="Q76" s="83"/>
      <c r="R76" s="83">
        <v>0.28939999999999999</v>
      </c>
    </row>
    <row r="77" spans="2:25" ht="16.5" x14ac:dyDescent="0.3">
      <c r="B77" s="32" t="s">
        <v>281</v>
      </c>
      <c r="C77" s="44">
        <f t="shared" ref="C77:J77" si="77">ROUNDUP(C75/C76*100,0)</f>
        <v>20</v>
      </c>
      <c r="D77" s="44">
        <f t="shared" si="77"/>
        <v>20</v>
      </c>
      <c r="E77" s="44">
        <f t="shared" ref="E77" si="78">ROUNDUP(E75/E76*100,0)</f>
        <v>17</v>
      </c>
      <c r="F77" s="44">
        <f t="shared" si="77"/>
        <v>20</v>
      </c>
      <c r="G77" s="44">
        <f t="shared" ref="G77" si="79">ROUNDUP(G75/G76*100,0)</f>
        <v>23</v>
      </c>
      <c r="H77" s="44">
        <f t="shared" si="77"/>
        <v>20</v>
      </c>
      <c r="I77" s="44">
        <f t="shared" si="77"/>
        <v>20</v>
      </c>
      <c r="J77" s="44">
        <f t="shared" si="77"/>
        <v>21</v>
      </c>
      <c r="K77" s="32" t="s">
        <v>7</v>
      </c>
      <c r="L77" s="49"/>
      <c r="M77" s="35" t="s">
        <v>282</v>
      </c>
      <c r="O77" s="83">
        <v>50</v>
      </c>
      <c r="P77" s="83"/>
      <c r="Q77" s="83"/>
      <c r="R77" s="83">
        <v>0.224</v>
      </c>
    </row>
    <row r="78" spans="2:25" ht="16.5" x14ac:dyDescent="0.3">
      <c r="B78" s="32" t="s">
        <v>138</v>
      </c>
      <c r="C78" s="75">
        <v>8.0000000000000002E-3</v>
      </c>
      <c r="D78" s="75">
        <v>8.0000000000000002E-3</v>
      </c>
      <c r="E78" s="75">
        <v>8.0000000000000002E-3</v>
      </c>
      <c r="F78" s="75">
        <v>8.0000000000000002E-3</v>
      </c>
      <c r="G78" s="75">
        <v>8.0000000000000002E-3</v>
      </c>
      <c r="H78" s="75">
        <v>8.0000000000000002E-3</v>
      </c>
      <c r="I78" s="75">
        <v>8.0000000000000002E-3</v>
      </c>
      <c r="J78" s="75">
        <v>8.0000000000000002E-3</v>
      </c>
      <c r="K78" s="32" t="s">
        <v>58</v>
      </c>
      <c r="L78" s="49">
        <v>15</v>
      </c>
      <c r="M78" s="53" t="s">
        <v>117</v>
      </c>
      <c r="O78" s="83">
        <v>100</v>
      </c>
      <c r="P78" s="83"/>
      <c r="Q78" s="83"/>
      <c r="R78" s="83">
        <v>0.161</v>
      </c>
    </row>
    <row r="79" spans="2:25" ht="16.5" x14ac:dyDescent="0.3">
      <c r="B79" s="32" t="s">
        <v>265</v>
      </c>
      <c r="C79" s="75">
        <v>1.35E-2</v>
      </c>
      <c r="D79" s="75">
        <v>1.35E-2</v>
      </c>
      <c r="E79" s="75">
        <v>1.35E-2</v>
      </c>
      <c r="F79" s="75">
        <v>1.35E-2</v>
      </c>
      <c r="G79" s="75">
        <v>1.35E-2</v>
      </c>
      <c r="H79" s="75">
        <v>1.35E-2</v>
      </c>
      <c r="I79" s="75">
        <v>1.35E-2</v>
      </c>
      <c r="J79" s="75">
        <v>1.35E-2</v>
      </c>
      <c r="K79" s="32" t="s">
        <v>58</v>
      </c>
      <c r="L79" s="49">
        <v>16</v>
      </c>
      <c r="M79" s="53" t="s">
        <v>117</v>
      </c>
      <c r="O79" s="83">
        <v>200</v>
      </c>
      <c r="P79" s="83"/>
      <c r="Q79" s="83"/>
      <c r="R79" s="83">
        <v>7.7600000000000002E-2</v>
      </c>
    </row>
    <row r="80" spans="2:25" ht="16.5" x14ac:dyDescent="0.3">
      <c r="B80" s="32" t="s">
        <v>139</v>
      </c>
      <c r="C80" s="36">
        <f t="shared" ref="C80:J81" si="80">125-C78*C71</f>
        <v>107.26025078248614</v>
      </c>
      <c r="D80" s="36">
        <f t="shared" si="80"/>
        <v>107.47448878079727</v>
      </c>
      <c r="E80" s="36">
        <f t="shared" ref="E80" si="81">125-E78*E71</f>
        <v>108.56849878342751</v>
      </c>
      <c r="F80" s="36">
        <f t="shared" si="80"/>
        <v>107.17960047144487</v>
      </c>
      <c r="G80" s="36">
        <f t="shared" ref="G80" si="82">125-G78*G71</f>
        <v>105.6424155893061</v>
      </c>
      <c r="H80" s="36">
        <f t="shared" si="80"/>
        <v>106.8845396875162</v>
      </c>
      <c r="I80" s="36">
        <f t="shared" si="80"/>
        <v>106.97614300650324</v>
      </c>
      <c r="J80" s="36">
        <f t="shared" si="80"/>
        <v>106.6373331103419</v>
      </c>
      <c r="K80" s="37" t="s">
        <v>59</v>
      </c>
      <c r="L80" s="49"/>
      <c r="M80" s="35" t="s">
        <v>140</v>
      </c>
      <c r="O80" s="83">
        <v>300</v>
      </c>
      <c r="P80" s="83"/>
      <c r="Q80" s="83"/>
      <c r="R80" s="83">
        <v>5.2400000000000002E-2</v>
      </c>
    </row>
    <row r="81" spans="2:21" ht="16.5" x14ac:dyDescent="0.3">
      <c r="B81" s="32" t="s">
        <v>141</v>
      </c>
      <c r="C81" s="55">
        <f t="shared" si="80"/>
        <v>118.8575</v>
      </c>
      <c r="D81" s="55">
        <f t="shared" si="80"/>
        <v>119.22199999999999</v>
      </c>
      <c r="E81" s="55">
        <f t="shared" ref="E81" si="83">125-E79*E72</f>
        <v>122.2595</v>
      </c>
      <c r="F81" s="55">
        <f t="shared" si="80"/>
        <v>119.411</v>
      </c>
      <c r="G81" s="55">
        <f t="shared" ref="G81" si="84">125-G79*G72</f>
        <v>116.54900000000001</v>
      </c>
      <c r="H81" s="55">
        <f t="shared" si="80"/>
        <v>119.33</v>
      </c>
      <c r="I81" s="55">
        <f t="shared" si="80"/>
        <v>119.4515</v>
      </c>
      <c r="J81" s="55">
        <f t="shared" si="80"/>
        <v>119.438</v>
      </c>
      <c r="K81" s="37" t="s">
        <v>59</v>
      </c>
      <c r="L81" s="49"/>
      <c r="M81" s="32"/>
    </row>
    <row r="82" spans="2:21" ht="16.5" x14ac:dyDescent="0.3">
      <c r="B82" s="32" t="s">
        <v>142</v>
      </c>
      <c r="C82" s="55">
        <f t="shared" ref="C82:J83" si="85">C78*C71</f>
        <v>17.739749217513857</v>
      </c>
      <c r="D82" s="55">
        <f t="shared" si="85"/>
        <v>17.52551121920273</v>
      </c>
      <c r="E82" s="55">
        <f t="shared" ref="E82" si="86">E78*E71</f>
        <v>16.431501216572478</v>
      </c>
      <c r="F82" s="55">
        <f t="shared" si="85"/>
        <v>17.820399528555122</v>
      </c>
      <c r="G82" s="55">
        <f t="shared" ref="G82" si="87">G78*G71</f>
        <v>19.357584410693896</v>
      </c>
      <c r="H82" s="55">
        <f t="shared" si="85"/>
        <v>18.115460312483805</v>
      </c>
      <c r="I82" s="55">
        <f t="shared" si="85"/>
        <v>18.023856993496768</v>
      </c>
      <c r="J82" s="55">
        <f t="shared" si="85"/>
        <v>18.362666889658097</v>
      </c>
      <c r="K82" s="37" t="s">
        <v>59</v>
      </c>
      <c r="L82" s="49"/>
      <c r="M82" s="32"/>
      <c r="O82" s="271" t="s">
        <v>472</v>
      </c>
      <c r="P82" s="271"/>
      <c r="Q82" s="271"/>
      <c r="S82" s="271" t="s">
        <v>508</v>
      </c>
      <c r="T82" s="271"/>
      <c r="U82" s="271"/>
    </row>
    <row r="83" spans="2:21" ht="16.5" x14ac:dyDescent="0.3">
      <c r="B83" s="32" t="s">
        <v>143</v>
      </c>
      <c r="C83" s="55">
        <f t="shared" si="85"/>
        <v>6.1425000000000001</v>
      </c>
      <c r="D83" s="55">
        <f t="shared" si="85"/>
        <v>5.7779999999999996</v>
      </c>
      <c r="E83" s="55">
        <f t="shared" ref="E83" si="88">E79*E72</f>
        <v>2.7404999999999999</v>
      </c>
      <c r="F83" s="55">
        <f t="shared" si="85"/>
        <v>5.5889999999999995</v>
      </c>
      <c r="G83" s="55">
        <f t="shared" ref="G83" si="89">G79*G72</f>
        <v>8.4510000000000005</v>
      </c>
      <c r="H83" s="55">
        <f t="shared" si="85"/>
        <v>5.67</v>
      </c>
      <c r="I83" s="55">
        <f t="shared" si="85"/>
        <v>5.5484999999999998</v>
      </c>
      <c r="J83" s="55">
        <f t="shared" si="85"/>
        <v>5.5620000000000003</v>
      </c>
      <c r="K83" s="37" t="s">
        <v>59</v>
      </c>
      <c r="L83" s="49"/>
      <c r="M83" s="32"/>
      <c r="O83" s="86" t="s">
        <v>471</v>
      </c>
      <c r="P83" s="86" t="s">
        <v>478</v>
      </c>
      <c r="Q83" s="86"/>
      <c r="S83" s="86" t="s">
        <v>509</v>
      </c>
      <c r="T83" s="86" t="s">
        <v>510</v>
      </c>
      <c r="U83" s="86" t="s">
        <v>511</v>
      </c>
    </row>
    <row r="84" spans="2:21" ht="16.5" x14ac:dyDescent="0.3">
      <c r="B84" s="32" t="s">
        <v>144</v>
      </c>
      <c r="C84" s="75">
        <v>0.03</v>
      </c>
      <c r="D84" s="75">
        <v>0.03</v>
      </c>
      <c r="E84" s="75">
        <v>0.03</v>
      </c>
      <c r="F84" s="75">
        <v>0.03</v>
      </c>
      <c r="G84" s="75">
        <v>0.03</v>
      </c>
      <c r="H84" s="75">
        <v>0.03</v>
      </c>
      <c r="I84" s="75">
        <v>0.03</v>
      </c>
      <c r="J84" s="75">
        <v>0.03</v>
      </c>
      <c r="K84" s="32" t="s">
        <v>58</v>
      </c>
      <c r="L84" s="49">
        <v>17</v>
      </c>
      <c r="M84" s="32" t="s">
        <v>117</v>
      </c>
      <c r="O84" s="48" t="s">
        <v>469</v>
      </c>
      <c r="P84" s="48">
        <v>183</v>
      </c>
      <c r="Q84" s="48" t="s">
        <v>473</v>
      </c>
      <c r="S84" s="76" t="s">
        <v>512</v>
      </c>
      <c r="T84" s="76" t="s">
        <v>513</v>
      </c>
      <c r="U84" s="120" t="s">
        <v>514</v>
      </c>
    </row>
    <row r="85" spans="2:21" ht="16.5" x14ac:dyDescent="0.3">
      <c r="B85" s="32" t="s">
        <v>145</v>
      </c>
      <c r="C85" s="75">
        <v>0.06</v>
      </c>
      <c r="D85" s="75">
        <v>0.06</v>
      </c>
      <c r="E85" s="75">
        <v>0.06</v>
      </c>
      <c r="F85" s="75">
        <v>0.06</v>
      </c>
      <c r="G85" s="75">
        <v>0.06</v>
      </c>
      <c r="H85" s="75">
        <v>0.06</v>
      </c>
      <c r="I85" s="75">
        <v>0.06</v>
      </c>
      <c r="J85" s="75">
        <v>0.06</v>
      </c>
      <c r="K85" s="32" t="s">
        <v>58</v>
      </c>
      <c r="L85" s="49">
        <v>18</v>
      </c>
      <c r="M85" s="32" t="s">
        <v>117</v>
      </c>
      <c r="O85" s="48" t="s">
        <v>470</v>
      </c>
      <c r="P85" s="48">
        <v>75</v>
      </c>
      <c r="Q85" s="48" t="s">
        <v>473</v>
      </c>
      <c r="S85" s="76" t="s">
        <v>515</v>
      </c>
      <c r="T85" s="76" t="s">
        <v>516</v>
      </c>
      <c r="U85" s="120" t="s">
        <v>521</v>
      </c>
    </row>
    <row r="86" spans="2:21" ht="16.5" x14ac:dyDescent="0.3">
      <c r="B86" s="32" t="s">
        <v>146</v>
      </c>
      <c r="C86" s="56">
        <f t="shared" ref="C86:J87" si="90">C80-C84*C71</f>
        <v>40.736191216809175</v>
      </c>
      <c r="D86" s="56">
        <f t="shared" si="90"/>
        <v>41.753821708787044</v>
      </c>
      <c r="E86" s="56">
        <f t="shared" ref="E86" si="91">E80-E84*E71</f>
        <v>46.950369221280731</v>
      </c>
      <c r="F86" s="56">
        <f t="shared" si="90"/>
        <v>40.353102239363167</v>
      </c>
      <c r="G86" s="56">
        <f t="shared" ref="G86" si="92">G80-G84*G71</f>
        <v>33.051474049203989</v>
      </c>
      <c r="H86" s="56">
        <f t="shared" si="90"/>
        <v>38.951563515701935</v>
      </c>
      <c r="I86" s="56">
        <f t="shared" si="90"/>
        <v>39.386679280890363</v>
      </c>
      <c r="J86" s="56">
        <f t="shared" si="90"/>
        <v>37.777332274124035</v>
      </c>
      <c r="K86" s="37" t="s">
        <v>59</v>
      </c>
      <c r="L86" s="49"/>
      <c r="M86" s="32" t="s">
        <v>140</v>
      </c>
      <c r="O86" s="48" t="s">
        <v>474</v>
      </c>
      <c r="P86" s="48">
        <v>9</v>
      </c>
      <c r="Q86" s="48" t="s">
        <v>473</v>
      </c>
      <c r="S86" s="76" t="s">
        <v>517</v>
      </c>
      <c r="T86" s="76" t="s">
        <v>522</v>
      </c>
      <c r="U86" s="120" t="s">
        <v>523</v>
      </c>
    </row>
    <row r="87" spans="2:21" ht="16.5" x14ac:dyDescent="0.3">
      <c r="B87" s="32" t="s">
        <v>147</v>
      </c>
      <c r="C87" s="55">
        <f t="shared" si="90"/>
        <v>91.557500000000005</v>
      </c>
      <c r="D87" s="55">
        <f t="shared" si="90"/>
        <v>93.542000000000002</v>
      </c>
      <c r="E87" s="55">
        <f t="shared" ref="E87" si="93">E81-E85*E72</f>
        <v>110.0795</v>
      </c>
      <c r="F87" s="55">
        <f t="shared" si="90"/>
        <v>94.570999999999998</v>
      </c>
      <c r="G87" s="55">
        <f t="shared" ref="G87" si="94">G81-G85*G72</f>
        <v>78.989000000000004</v>
      </c>
      <c r="H87" s="55">
        <f t="shared" si="90"/>
        <v>94.13</v>
      </c>
      <c r="I87" s="55">
        <f t="shared" si="90"/>
        <v>94.791499999999999</v>
      </c>
      <c r="J87" s="55">
        <f t="shared" si="90"/>
        <v>94.718000000000004</v>
      </c>
      <c r="K87" s="37" t="s">
        <v>59</v>
      </c>
      <c r="L87" s="49"/>
      <c r="M87" s="32"/>
      <c r="O87" s="48" t="s">
        <v>475</v>
      </c>
      <c r="P87" s="48">
        <v>6</v>
      </c>
      <c r="Q87" s="48" t="s">
        <v>473</v>
      </c>
      <c r="S87" s="76" t="s">
        <v>518</v>
      </c>
      <c r="T87" s="76" t="s">
        <v>524</v>
      </c>
      <c r="U87" s="120" t="s">
        <v>525</v>
      </c>
    </row>
    <row r="88" spans="2:21" ht="16.5" x14ac:dyDescent="0.3">
      <c r="B88" s="32" t="s">
        <v>148</v>
      </c>
      <c r="C88" s="55">
        <f t="shared" ref="C88:J89" si="95">C84*C71</f>
        <v>66.524059565676964</v>
      </c>
      <c r="D88" s="55">
        <f t="shared" si="95"/>
        <v>65.72066707201023</v>
      </c>
      <c r="E88" s="55">
        <f t="shared" ref="E88" si="96">E84*E71</f>
        <v>61.618129562146784</v>
      </c>
      <c r="F88" s="55">
        <f t="shared" si="95"/>
        <v>66.826498232081704</v>
      </c>
      <c r="G88" s="55">
        <f t="shared" ref="G88" si="97">G84*G71</f>
        <v>72.590941540102108</v>
      </c>
      <c r="H88" s="55">
        <f t="shared" si="95"/>
        <v>67.932976171814261</v>
      </c>
      <c r="I88" s="55">
        <f t="shared" si="95"/>
        <v>67.589463725612873</v>
      </c>
      <c r="J88" s="55">
        <f t="shared" si="95"/>
        <v>68.860000836217864</v>
      </c>
      <c r="K88" s="37" t="s">
        <v>59</v>
      </c>
      <c r="L88" s="49"/>
      <c r="M88" s="32"/>
      <c r="O88" s="48" t="s">
        <v>476</v>
      </c>
      <c r="P88" s="48">
        <v>12</v>
      </c>
      <c r="Q88" s="48" t="s">
        <v>473</v>
      </c>
      <c r="S88" s="76" t="s">
        <v>519</v>
      </c>
      <c r="T88" s="76" t="s">
        <v>526</v>
      </c>
      <c r="U88" s="120" t="s">
        <v>527</v>
      </c>
    </row>
    <row r="89" spans="2:21" ht="16.5" x14ac:dyDescent="0.3">
      <c r="B89" s="32" t="s">
        <v>149</v>
      </c>
      <c r="C89" s="55">
        <f t="shared" si="95"/>
        <v>27.3</v>
      </c>
      <c r="D89" s="55">
        <f t="shared" si="95"/>
        <v>25.68</v>
      </c>
      <c r="E89" s="55">
        <f t="shared" ref="E89" si="98">E85*E72</f>
        <v>12.18</v>
      </c>
      <c r="F89" s="55">
        <f t="shared" si="95"/>
        <v>24.84</v>
      </c>
      <c r="G89" s="55">
        <f t="shared" ref="G89" si="99">G85*G72</f>
        <v>37.559999999999995</v>
      </c>
      <c r="H89" s="55">
        <f t="shared" si="95"/>
        <v>25.2</v>
      </c>
      <c r="I89" s="55">
        <f t="shared" si="95"/>
        <v>24.66</v>
      </c>
      <c r="J89" s="55">
        <f t="shared" si="95"/>
        <v>24.72</v>
      </c>
      <c r="K89" s="37" t="s">
        <v>59</v>
      </c>
      <c r="L89" s="49"/>
      <c r="M89" s="32"/>
      <c r="O89" s="48" t="s">
        <v>477</v>
      </c>
      <c r="P89" s="48">
        <v>78.540000000000006</v>
      </c>
      <c r="Q89" s="48" t="s">
        <v>473</v>
      </c>
      <c r="S89" s="76" t="s">
        <v>520</v>
      </c>
      <c r="T89" s="76" t="s">
        <v>528</v>
      </c>
      <c r="U89" s="120" t="s">
        <v>529</v>
      </c>
    </row>
    <row r="90" spans="2:21" ht="16.5" x14ac:dyDescent="0.3">
      <c r="B90" s="32" t="s">
        <v>60</v>
      </c>
      <c r="C90" s="55">
        <v>60</v>
      </c>
      <c r="D90" s="55">
        <v>60</v>
      </c>
      <c r="E90" s="55">
        <v>60</v>
      </c>
      <c r="F90" s="55">
        <v>60</v>
      </c>
      <c r="G90" s="55">
        <v>60</v>
      </c>
      <c r="H90" s="55">
        <v>60</v>
      </c>
      <c r="I90" s="55">
        <v>60</v>
      </c>
      <c r="J90" s="55">
        <v>60</v>
      </c>
      <c r="K90" s="37" t="s">
        <v>59</v>
      </c>
      <c r="L90" s="49"/>
      <c r="M90" s="32" t="s">
        <v>150</v>
      </c>
    </row>
    <row r="91" spans="2:21" ht="16.5" x14ac:dyDescent="0.3">
      <c r="B91" s="32" t="s">
        <v>61</v>
      </c>
      <c r="C91" s="54">
        <v>8</v>
      </c>
      <c r="D91" s="54">
        <v>8</v>
      </c>
      <c r="E91" s="54">
        <v>8</v>
      </c>
      <c r="F91" s="54">
        <v>8</v>
      </c>
      <c r="G91" s="54">
        <v>8</v>
      </c>
      <c r="H91" s="54">
        <v>8</v>
      </c>
      <c r="I91" s="54">
        <v>8</v>
      </c>
      <c r="J91" s="54">
        <v>8</v>
      </c>
      <c r="K91" s="37" t="s">
        <v>62</v>
      </c>
      <c r="L91" s="49"/>
      <c r="M91" s="32" t="s">
        <v>151</v>
      </c>
    </row>
    <row r="92" spans="2:21" ht="16.5" x14ac:dyDescent="0.3">
      <c r="B92" s="32" t="s">
        <v>63</v>
      </c>
      <c r="C92" s="40">
        <f t="shared" ref="C92:J92" si="100">C90-(C75/1000*860/C91/60)</f>
        <v>55.210875000000001</v>
      </c>
      <c r="D92" s="40">
        <f t="shared" si="100"/>
        <v>55.307625000000002</v>
      </c>
      <c r="E92" s="40">
        <f t="shared" ref="E92" si="101">E90-(E75/1000*860/E91/60)</f>
        <v>55.954416666666667</v>
      </c>
      <c r="F92" s="40">
        <f t="shared" si="100"/>
        <v>55.264625000000002</v>
      </c>
      <c r="G92" s="40">
        <f t="shared" ref="G92" si="102">G90-(G75/1000*860/G91/60)</f>
        <v>54.540791666666664</v>
      </c>
      <c r="H92" s="40">
        <f t="shared" si="100"/>
        <v>55.191166666666668</v>
      </c>
      <c r="I92" s="40">
        <f t="shared" si="100"/>
        <v>55.227000000000004</v>
      </c>
      <c r="J92" s="40">
        <f t="shared" si="100"/>
        <v>55.149958333333331</v>
      </c>
      <c r="K92" s="37" t="s">
        <v>59</v>
      </c>
      <c r="L92" s="49"/>
      <c r="M92" s="32"/>
    </row>
  </sheetData>
  <mergeCells count="27">
    <mergeCell ref="E2:G2"/>
    <mergeCell ref="AE3:AG3"/>
    <mergeCell ref="O16:Q16"/>
    <mergeCell ref="O3:Q3"/>
    <mergeCell ref="W3:Y3"/>
    <mergeCell ref="AA3:AC3"/>
    <mergeCell ref="S10:U10"/>
    <mergeCell ref="AA10:AC10"/>
    <mergeCell ref="S15:U15"/>
    <mergeCell ref="S3:U3"/>
    <mergeCell ref="S50:U50"/>
    <mergeCell ref="AA19:AC19"/>
    <mergeCell ref="S21:U21"/>
    <mergeCell ref="W22:Y22"/>
    <mergeCell ref="O29:Q29"/>
    <mergeCell ref="T32:U32"/>
    <mergeCell ref="AA32:AC32"/>
    <mergeCell ref="AA38:AC38"/>
    <mergeCell ref="O40:Q40"/>
    <mergeCell ref="W41:Y41"/>
    <mergeCell ref="S44:U44"/>
    <mergeCell ref="O49:Q49"/>
    <mergeCell ref="O55:Q55"/>
    <mergeCell ref="O61:Q61"/>
    <mergeCell ref="W61:Y61"/>
    <mergeCell ref="O82:Q82"/>
    <mergeCell ref="S82:U82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39"/>
  <sheetViews>
    <sheetView workbookViewId="0">
      <selection activeCell="G38" sqref="G38"/>
    </sheetView>
  </sheetViews>
  <sheetFormatPr defaultRowHeight="16.5" x14ac:dyDescent="0.15"/>
  <cols>
    <col min="1" max="1" width="8.88671875" style="343"/>
    <col min="2" max="2" width="22" style="343" bestFit="1" customWidth="1"/>
    <col min="3" max="3" width="8.88671875" style="343"/>
    <col min="4" max="4" width="6.33203125" style="343" bestFit="1" customWidth="1"/>
    <col min="5" max="6" width="8.88671875" style="343"/>
    <col min="7" max="7" width="28.88671875" style="343" customWidth="1"/>
    <col min="8" max="8" width="13" style="343" customWidth="1"/>
    <col min="9" max="9" width="16.6640625" style="343" customWidth="1"/>
    <col min="10" max="11" width="8.88671875" style="343"/>
    <col min="12" max="12" width="11.6640625" style="343" customWidth="1"/>
    <col min="13" max="13" width="19.109375" style="343" bestFit="1" customWidth="1"/>
    <col min="14" max="16" width="8.88671875" style="343"/>
    <col min="17" max="17" width="17.77734375" style="343" bestFit="1" customWidth="1"/>
    <col min="18" max="18" width="10.5546875" style="343" bestFit="1" customWidth="1"/>
    <col min="19" max="19" width="10.88671875" style="343" bestFit="1" customWidth="1"/>
    <col min="20" max="16384" width="8.88671875" style="343"/>
  </cols>
  <sheetData>
    <row r="2" spans="2:20" x14ac:dyDescent="0.3">
      <c r="B2" s="340" t="s">
        <v>663</v>
      </c>
      <c r="C2" s="340"/>
      <c r="D2" s="341"/>
      <c r="E2" s="342"/>
      <c r="F2" s="342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</row>
    <row r="3" spans="2:20" x14ac:dyDescent="0.3">
      <c r="B3" s="341"/>
      <c r="C3" s="341"/>
      <c r="D3" s="341"/>
      <c r="E3" s="342"/>
      <c r="F3" s="342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</row>
    <row r="4" spans="2:20" x14ac:dyDescent="0.3">
      <c r="B4" s="344" t="s">
        <v>664</v>
      </c>
      <c r="C4" s="345">
        <v>800</v>
      </c>
      <c r="D4" s="344" t="s">
        <v>665</v>
      </c>
      <c r="E4" s="342"/>
      <c r="F4" s="342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</row>
    <row r="5" spans="2:20" x14ac:dyDescent="0.3">
      <c r="B5" s="346" t="s">
        <v>666</v>
      </c>
      <c r="C5" s="347">
        <v>440</v>
      </c>
      <c r="D5" s="346" t="s">
        <v>667</v>
      </c>
      <c r="E5" s="342"/>
      <c r="F5" s="342"/>
      <c r="G5" s="348" t="s">
        <v>668</v>
      </c>
      <c r="H5" s="349"/>
      <c r="I5" s="350"/>
      <c r="J5" s="341"/>
      <c r="K5" s="341"/>
      <c r="L5" s="341"/>
      <c r="M5" s="341"/>
      <c r="N5" s="341"/>
      <c r="O5" s="341"/>
      <c r="P5" s="341"/>
      <c r="Q5" s="341"/>
      <c r="R5" s="341"/>
      <c r="S5" s="341"/>
    </row>
    <row r="6" spans="2:20" x14ac:dyDescent="0.3">
      <c r="B6" s="346" t="s">
        <v>669</v>
      </c>
      <c r="C6" s="351">
        <v>0.03</v>
      </c>
      <c r="D6" s="346"/>
      <c r="E6" s="342"/>
      <c r="F6" s="342"/>
      <c r="G6" s="344" t="s">
        <v>670</v>
      </c>
      <c r="H6" s="352">
        <v>120</v>
      </c>
      <c r="I6" s="344" t="s">
        <v>671</v>
      </c>
      <c r="J6" s="341"/>
      <c r="K6" s="341"/>
      <c r="L6" s="341"/>
      <c r="M6" s="353" t="s">
        <v>672</v>
      </c>
      <c r="N6" s="354" t="s">
        <v>673</v>
      </c>
      <c r="O6" s="353"/>
      <c r="P6" s="341"/>
      <c r="Q6" s="272" t="s">
        <v>674</v>
      </c>
      <c r="R6" s="272"/>
      <c r="S6" s="272"/>
    </row>
    <row r="7" spans="2:20" x14ac:dyDescent="0.3">
      <c r="B7" s="346" t="s">
        <v>675</v>
      </c>
      <c r="C7" s="355">
        <f>C5*C6</f>
        <v>13.2</v>
      </c>
      <c r="D7" s="346" t="s">
        <v>667</v>
      </c>
      <c r="E7" s="342"/>
      <c r="F7" s="342"/>
      <c r="G7" s="344" t="s">
        <v>676</v>
      </c>
      <c r="H7" s="352">
        <v>115</v>
      </c>
      <c r="I7" s="344" t="s">
        <v>671</v>
      </c>
      <c r="J7" s="341"/>
      <c r="K7" s="341"/>
      <c r="L7" s="341"/>
      <c r="M7" s="353" t="s">
        <v>677</v>
      </c>
      <c r="N7" s="352">
        <v>106.8</v>
      </c>
      <c r="O7" s="353" t="s">
        <v>678</v>
      </c>
      <c r="P7" s="341"/>
      <c r="Q7" s="356" t="s">
        <v>679</v>
      </c>
      <c r="R7" s="357" t="s">
        <v>680</v>
      </c>
      <c r="S7" s="357"/>
    </row>
    <row r="8" spans="2:20" x14ac:dyDescent="0.3">
      <c r="B8" s="346" t="s">
        <v>681</v>
      </c>
      <c r="C8" s="355">
        <f>(0.30137/(PI()/6))*100</f>
        <v>57.557430239525409</v>
      </c>
      <c r="D8" s="346" t="s">
        <v>682</v>
      </c>
      <c r="E8" s="342"/>
      <c r="F8" s="342"/>
      <c r="G8" s="344" t="s">
        <v>683</v>
      </c>
      <c r="H8" s="352">
        <v>200</v>
      </c>
      <c r="I8" s="344" t="s">
        <v>684</v>
      </c>
      <c r="J8" s="341"/>
      <c r="K8" s="341"/>
      <c r="L8" s="341"/>
      <c r="M8" s="353" t="s">
        <v>685</v>
      </c>
      <c r="N8" s="352">
        <v>8</v>
      </c>
      <c r="O8" s="353" t="s">
        <v>686</v>
      </c>
      <c r="P8" s="341"/>
      <c r="Q8" s="358" t="s">
        <v>687</v>
      </c>
      <c r="R8" s="359">
        <v>1.75</v>
      </c>
      <c r="S8" s="358" t="s">
        <v>688</v>
      </c>
    </row>
    <row r="9" spans="2:20" x14ac:dyDescent="0.3">
      <c r="B9" s="346" t="s">
        <v>689</v>
      </c>
      <c r="C9" s="347">
        <v>360</v>
      </c>
      <c r="D9" s="346" t="s">
        <v>690</v>
      </c>
      <c r="E9" s="342"/>
      <c r="F9" s="342"/>
      <c r="G9" s="344" t="s">
        <v>691</v>
      </c>
      <c r="H9" s="352">
        <v>165</v>
      </c>
      <c r="I9" s="344" t="s">
        <v>671</v>
      </c>
      <c r="J9" s="341"/>
      <c r="K9" s="341"/>
      <c r="L9" s="341"/>
      <c r="M9" s="353" t="s">
        <v>692</v>
      </c>
      <c r="N9" s="352">
        <v>4</v>
      </c>
      <c r="O9" s="353" t="s">
        <v>693</v>
      </c>
      <c r="P9" s="341"/>
      <c r="Q9" s="358" t="s">
        <v>694</v>
      </c>
      <c r="R9" s="360">
        <v>3.8999999999999998E-3</v>
      </c>
      <c r="S9" s="358" t="s">
        <v>695</v>
      </c>
    </row>
    <row r="10" spans="2:20" x14ac:dyDescent="0.3">
      <c r="B10" s="346" t="s">
        <v>696</v>
      </c>
      <c r="C10" s="355">
        <f>C8/100*1000/C9</f>
        <v>1.5988175066534835</v>
      </c>
      <c r="D10" s="346" t="s">
        <v>697</v>
      </c>
      <c r="E10" s="342"/>
      <c r="F10" s="342"/>
      <c r="G10" s="344" t="s">
        <v>698</v>
      </c>
      <c r="H10" s="361">
        <f>2*H6+H7</f>
        <v>355</v>
      </c>
      <c r="I10" s="344" t="s">
        <v>671</v>
      </c>
      <c r="J10" s="341"/>
      <c r="K10" s="341"/>
      <c r="L10" s="341"/>
      <c r="M10" s="353" t="s">
        <v>699</v>
      </c>
      <c r="N10" s="362">
        <f>C14/N7</f>
        <v>14.006743269645158</v>
      </c>
      <c r="O10" s="353" t="s">
        <v>700</v>
      </c>
      <c r="P10" s="341"/>
      <c r="Q10" s="358" t="s">
        <v>701</v>
      </c>
      <c r="R10" s="363">
        <v>45</v>
      </c>
      <c r="S10" s="358" t="s">
        <v>48</v>
      </c>
    </row>
    <row r="11" spans="2:20" x14ac:dyDescent="0.3">
      <c r="B11" s="346" t="s">
        <v>702</v>
      </c>
      <c r="C11" s="351">
        <v>90</v>
      </c>
      <c r="D11" s="346" t="s">
        <v>682</v>
      </c>
      <c r="E11" s="342"/>
      <c r="F11" s="342"/>
      <c r="G11" s="344"/>
      <c r="H11" s="364"/>
      <c r="I11" s="344"/>
      <c r="J11" s="341"/>
      <c r="K11" s="341"/>
      <c r="L11" s="341"/>
      <c r="M11" s="341"/>
      <c r="N11" s="341"/>
      <c r="O11" s="341"/>
      <c r="P11" s="341"/>
      <c r="Q11" s="358" t="s">
        <v>703</v>
      </c>
      <c r="R11" s="360">
        <f>R8*(1+R9*(R10-20))</f>
        <v>1.9206249999999998</v>
      </c>
      <c r="S11" s="358" t="s">
        <v>704</v>
      </c>
    </row>
    <row r="12" spans="2:20" x14ac:dyDescent="0.3">
      <c r="B12" s="346" t="s">
        <v>705</v>
      </c>
      <c r="C12" s="355">
        <f>C5*C11/100</f>
        <v>396</v>
      </c>
      <c r="D12" s="346" t="s">
        <v>667</v>
      </c>
      <c r="E12" s="342"/>
      <c r="F12" s="342"/>
      <c r="G12" s="344" t="s">
        <v>706</v>
      </c>
      <c r="H12" s="365">
        <f>H8+E35*C34/2</f>
        <v>222.5</v>
      </c>
      <c r="I12" s="344" t="s">
        <v>671</v>
      </c>
      <c r="J12" s="341"/>
      <c r="K12" s="341"/>
      <c r="L12" s="341"/>
      <c r="M12" s="344" t="s">
        <v>707</v>
      </c>
      <c r="N12" s="344"/>
      <c r="O12" s="344"/>
      <c r="P12" s="341"/>
      <c r="Q12" s="358" t="s">
        <v>708</v>
      </c>
      <c r="R12" s="366">
        <f>1/(R11/100000000)</f>
        <v>52066384.64041654</v>
      </c>
      <c r="S12" s="358" t="s">
        <v>709</v>
      </c>
    </row>
    <row r="13" spans="2:20" x14ac:dyDescent="0.3">
      <c r="B13" s="346" t="s">
        <v>710</v>
      </c>
      <c r="C13" s="355">
        <f>C12*2^0.5*3/PI()</f>
        <v>534.78789179732109</v>
      </c>
      <c r="D13" s="346" t="s">
        <v>667</v>
      </c>
      <c r="E13" s="342"/>
      <c r="F13" s="342"/>
      <c r="G13" s="367" t="s">
        <v>711</v>
      </c>
      <c r="H13" s="344">
        <v>94.5</v>
      </c>
      <c r="I13" s="367" t="s">
        <v>712</v>
      </c>
      <c r="J13" s="341"/>
      <c r="K13" s="341"/>
      <c r="L13" s="341"/>
      <c r="M13" s="344" t="s">
        <v>713</v>
      </c>
      <c r="N13" s="368">
        <f>C7*C10</f>
        <v>21.104391087825981</v>
      </c>
      <c r="O13" s="344" t="s">
        <v>714</v>
      </c>
      <c r="P13" s="341"/>
      <c r="Q13" s="358" t="s">
        <v>715</v>
      </c>
      <c r="R13" s="357">
        <v>1</v>
      </c>
      <c r="S13" s="358" t="s">
        <v>716</v>
      </c>
    </row>
    <row r="14" spans="2:20" x14ac:dyDescent="0.3">
      <c r="B14" s="346" t="s">
        <v>717</v>
      </c>
      <c r="C14" s="355">
        <f>C4/C13*1000</f>
        <v>1495.9201811981029</v>
      </c>
      <c r="D14" s="346" t="s">
        <v>718</v>
      </c>
      <c r="E14" s="342"/>
      <c r="F14" s="342"/>
      <c r="G14" s="344" t="s">
        <v>719</v>
      </c>
      <c r="H14" s="365">
        <f>2*H6+H12</f>
        <v>462.5</v>
      </c>
      <c r="I14" s="344" t="s">
        <v>671</v>
      </c>
      <c r="J14" s="341"/>
      <c r="K14" s="341"/>
      <c r="L14" s="341"/>
      <c r="M14" s="341"/>
      <c r="N14" s="341"/>
      <c r="O14" s="341"/>
      <c r="P14" s="341"/>
      <c r="Q14" s="358" t="s">
        <v>720</v>
      </c>
      <c r="R14" s="369">
        <v>1E-3</v>
      </c>
      <c r="S14" s="358" t="s">
        <v>721</v>
      </c>
      <c r="T14" s="343" t="s">
        <v>722</v>
      </c>
    </row>
    <row r="15" spans="2:20" x14ac:dyDescent="0.3">
      <c r="B15" s="346" t="s">
        <v>723</v>
      </c>
      <c r="C15" s="347">
        <v>3.5</v>
      </c>
      <c r="D15" s="346" t="s">
        <v>682</v>
      </c>
      <c r="E15" s="342"/>
      <c r="F15" s="342"/>
      <c r="G15" s="367" t="s">
        <v>724</v>
      </c>
      <c r="H15" s="352">
        <v>14</v>
      </c>
      <c r="I15" s="367" t="s">
        <v>725</v>
      </c>
      <c r="J15" s="341"/>
      <c r="K15" s="341"/>
      <c r="L15" s="341"/>
      <c r="M15" s="341"/>
      <c r="N15" s="341"/>
      <c r="O15" s="341"/>
      <c r="P15" s="341"/>
      <c r="Q15" s="358" t="s">
        <v>726</v>
      </c>
      <c r="R15" s="370">
        <f>503.3*SQRT((R11/100000000)/(R13*R14))*1000</f>
        <v>2205.7090200347143</v>
      </c>
      <c r="S15" s="358" t="s">
        <v>727</v>
      </c>
    </row>
    <row r="16" spans="2:20" x14ac:dyDescent="0.3">
      <c r="B16" s="346" t="s">
        <v>728</v>
      </c>
      <c r="C16" s="355">
        <f>C14*C15/100</f>
        <v>52.357206341933598</v>
      </c>
      <c r="D16" s="346" t="s">
        <v>729</v>
      </c>
      <c r="E16" s="342"/>
      <c r="F16" s="342"/>
      <c r="G16" s="344" t="s">
        <v>730</v>
      </c>
      <c r="H16" s="365">
        <f>(H6)*H9/100*H13/100</f>
        <v>187.11</v>
      </c>
      <c r="I16" s="344" t="s">
        <v>731</v>
      </c>
      <c r="J16" s="371" t="s">
        <v>732</v>
      </c>
      <c r="K16" s="341"/>
      <c r="L16" s="341"/>
      <c r="M16" s="341"/>
      <c r="N16" s="341"/>
      <c r="O16" s="341"/>
      <c r="P16" s="341"/>
      <c r="Q16" s="358" t="s">
        <v>733</v>
      </c>
      <c r="R16" s="372">
        <v>23000</v>
      </c>
      <c r="S16" s="358" t="s">
        <v>727</v>
      </c>
    </row>
    <row r="17" spans="2:19" x14ac:dyDescent="0.3">
      <c r="B17" s="346" t="s">
        <v>734</v>
      </c>
      <c r="C17" s="355">
        <f>C7*C10/C16</f>
        <v>0.40308474348302248</v>
      </c>
      <c r="D17" s="346" t="s">
        <v>735</v>
      </c>
      <c r="E17" s="342"/>
      <c r="F17" s="342"/>
      <c r="G17" s="344" t="s">
        <v>736</v>
      </c>
      <c r="H17" s="344">
        <f>(H10*H14*H9-H8*H7*H9)/1000*7.83/1000</f>
        <v>182.407190625</v>
      </c>
      <c r="I17" s="344" t="s">
        <v>737</v>
      </c>
      <c r="J17" s="373">
        <f>H17*2200/10000</f>
        <v>40.129581937499999</v>
      </c>
      <c r="K17" s="341" t="s">
        <v>738</v>
      </c>
      <c r="L17" s="341"/>
      <c r="M17" s="341"/>
      <c r="N17" s="341"/>
      <c r="O17" s="341"/>
      <c r="P17" s="341"/>
      <c r="Q17" s="358" t="s">
        <v>739</v>
      </c>
      <c r="R17" s="372">
        <v>2</v>
      </c>
      <c r="S17" s="358" t="s">
        <v>740</v>
      </c>
    </row>
    <row r="18" spans="2:19" x14ac:dyDescent="0.3">
      <c r="B18" s="346" t="s">
        <v>741</v>
      </c>
      <c r="C18" s="347">
        <v>90</v>
      </c>
      <c r="D18" s="346" t="s">
        <v>742</v>
      </c>
      <c r="E18" s="342"/>
      <c r="F18" s="342"/>
      <c r="G18" s="341"/>
      <c r="H18" s="341"/>
      <c r="I18" s="374"/>
      <c r="J18" s="375" t="s">
        <v>743</v>
      </c>
      <c r="K18" s="341"/>
      <c r="L18" s="341"/>
      <c r="M18" s="376" t="s">
        <v>744</v>
      </c>
      <c r="N18" s="341"/>
      <c r="O18" s="341"/>
      <c r="P18" s="341"/>
      <c r="Q18" s="358" t="s">
        <v>745</v>
      </c>
      <c r="R18" s="377">
        <f>MIN(R15,R17)</f>
        <v>2</v>
      </c>
      <c r="S18" s="358" t="s">
        <v>727</v>
      </c>
    </row>
    <row r="19" spans="2:19" x14ac:dyDescent="0.3">
      <c r="B19" s="346" t="s">
        <v>746</v>
      </c>
      <c r="C19" s="355">
        <f>(4*PI()^2*C17/1000*C18^2)^-1*1000000</f>
        <v>7758.1627103428036</v>
      </c>
      <c r="D19" s="346" t="s">
        <v>747</v>
      </c>
      <c r="E19" s="342"/>
      <c r="F19" s="342"/>
      <c r="G19" s="341"/>
      <c r="H19" s="341"/>
      <c r="I19" s="374"/>
      <c r="J19" s="341">
        <f>H17*13.32</f>
        <v>2429.663779125</v>
      </c>
      <c r="K19" s="375" t="s">
        <v>748</v>
      </c>
      <c r="L19" s="341"/>
      <c r="M19" s="344" t="s">
        <v>749</v>
      </c>
      <c r="N19" s="344">
        <v>8400</v>
      </c>
      <c r="O19" s="344" t="s">
        <v>750</v>
      </c>
      <c r="P19" s="341"/>
      <c r="Q19" s="358" t="s">
        <v>751</v>
      </c>
      <c r="R19" s="372">
        <v>19</v>
      </c>
      <c r="S19" s="358" t="s">
        <v>727</v>
      </c>
    </row>
    <row r="20" spans="2:19" x14ac:dyDescent="0.3">
      <c r="B20" s="344" t="s">
        <v>752</v>
      </c>
      <c r="C20" s="344">
        <f>C14*1.33</f>
        <v>1989.573840993477</v>
      </c>
      <c r="D20" s="344" t="s">
        <v>729</v>
      </c>
      <c r="E20" s="342"/>
      <c r="F20" s="342"/>
      <c r="G20" s="341"/>
      <c r="H20" s="341"/>
      <c r="I20" s="374"/>
      <c r="J20" s="341"/>
      <c r="K20" s="341"/>
      <c r="L20" s="341"/>
      <c r="M20" s="344" t="s">
        <v>753</v>
      </c>
      <c r="N20" s="344">
        <v>490</v>
      </c>
      <c r="O20" s="344" t="s">
        <v>754</v>
      </c>
      <c r="P20" s="341"/>
      <c r="Q20" s="358" t="s">
        <v>755</v>
      </c>
      <c r="R20" s="370">
        <f>(PI()*(R19/2)^2)-(PI()*(R19/2-R18)^2)</f>
        <v>106.81415022205294</v>
      </c>
      <c r="S20" s="358" t="s">
        <v>756</v>
      </c>
    </row>
    <row r="21" spans="2:19" x14ac:dyDescent="0.3">
      <c r="B21" s="344"/>
      <c r="C21" s="344"/>
      <c r="D21" s="344"/>
      <c r="E21" s="342"/>
      <c r="F21" s="342"/>
      <c r="G21" s="344" t="s">
        <v>757</v>
      </c>
      <c r="H21" s="344">
        <f>H16*H7*H8/100</f>
        <v>43035.3</v>
      </c>
      <c r="I21" s="344" t="s">
        <v>758</v>
      </c>
      <c r="J21" s="375" t="s">
        <v>759</v>
      </c>
      <c r="K21" s="341"/>
      <c r="L21" s="341"/>
      <c r="M21" s="344" t="s">
        <v>760</v>
      </c>
      <c r="N21" s="344">
        <f>1/(2*3.14*SQRT((N19/1000000)*(N20/1000000)))</f>
        <v>78.487893464780967</v>
      </c>
      <c r="O21" s="344" t="s">
        <v>761</v>
      </c>
      <c r="P21" s="341"/>
      <c r="Q21" s="358" t="s">
        <v>762</v>
      </c>
      <c r="R21" s="372">
        <v>1500</v>
      </c>
      <c r="S21" s="378" t="s">
        <v>763</v>
      </c>
    </row>
    <row r="22" spans="2:19" x14ac:dyDescent="0.3">
      <c r="B22" s="344" t="s">
        <v>764</v>
      </c>
      <c r="C22" s="345">
        <v>1.56</v>
      </c>
      <c r="D22" s="344" t="s">
        <v>765</v>
      </c>
      <c r="E22" s="342"/>
      <c r="F22" s="342"/>
      <c r="G22" s="344" t="s">
        <v>766</v>
      </c>
      <c r="H22" s="344">
        <f>(H9*2+3.14*(H6+H7/2))/10</f>
        <v>88.734999999999999</v>
      </c>
      <c r="I22" s="344" t="s">
        <v>767</v>
      </c>
      <c r="J22" s="379">
        <f>R23</f>
        <v>9305.1663607654991</v>
      </c>
      <c r="K22" s="375" t="s">
        <v>748</v>
      </c>
      <c r="L22" s="341"/>
      <c r="M22" s="376" t="s">
        <v>768</v>
      </c>
      <c r="N22" s="341"/>
      <c r="O22" s="341"/>
      <c r="P22" s="341"/>
      <c r="Q22" s="358" t="s">
        <v>769</v>
      </c>
      <c r="R22" s="380">
        <f>R21/R20</f>
        <v>14.043083213990768</v>
      </c>
      <c r="S22" s="378" t="s">
        <v>770</v>
      </c>
    </row>
    <row r="23" spans="2:19" x14ac:dyDescent="0.3">
      <c r="B23" s="344" t="s">
        <v>771</v>
      </c>
      <c r="C23" s="344">
        <v>50</v>
      </c>
      <c r="D23" s="344" t="s">
        <v>48</v>
      </c>
      <c r="E23" s="342"/>
      <c r="F23" s="342"/>
      <c r="G23" s="344" t="s">
        <v>772</v>
      </c>
      <c r="H23" s="344">
        <f>H16</f>
        <v>187.11</v>
      </c>
      <c r="I23" s="344" t="s">
        <v>773</v>
      </c>
      <c r="J23" s="341"/>
      <c r="K23" s="341"/>
      <c r="L23" s="341"/>
      <c r="M23" s="344" t="s">
        <v>749</v>
      </c>
      <c r="N23" s="344">
        <v>5600</v>
      </c>
      <c r="O23" s="344" t="s">
        <v>750</v>
      </c>
      <c r="P23" s="341"/>
      <c r="Q23" s="358" t="s">
        <v>774</v>
      </c>
      <c r="R23" s="380">
        <f>R11/100000000*(R21^2)/(R20/1000000)*R16/1000</f>
        <v>9305.1663607654991</v>
      </c>
      <c r="S23" s="378" t="s">
        <v>775</v>
      </c>
    </row>
    <row r="24" spans="2:19" x14ac:dyDescent="0.3">
      <c r="B24" s="344" t="s">
        <v>776</v>
      </c>
      <c r="C24" s="355" t="s">
        <v>777</v>
      </c>
      <c r="D24" s="344"/>
      <c r="E24" s="342"/>
      <c r="F24" s="342"/>
      <c r="G24" s="344" t="s">
        <v>778</v>
      </c>
      <c r="H24" s="344">
        <f>H7*H8/100</f>
        <v>230</v>
      </c>
      <c r="I24" s="344" t="s">
        <v>773</v>
      </c>
      <c r="J24" s="375" t="s">
        <v>779</v>
      </c>
      <c r="K24" s="341"/>
      <c r="L24" s="341"/>
      <c r="M24" s="344" t="s">
        <v>753</v>
      </c>
      <c r="N24" s="344">
        <v>490</v>
      </c>
      <c r="O24" s="344" t="s">
        <v>780</v>
      </c>
      <c r="P24" s="341"/>
      <c r="Q24" s="341"/>
      <c r="R24" s="341"/>
      <c r="S24" s="341"/>
    </row>
    <row r="25" spans="2:19" x14ac:dyDescent="0.3">
      <c r="B25" s="344" t="s">
        <v>781</v>
      </c>
      <c r="C25" s="381" t="s">
        <v>782</v>
      </c>
      <c r="D25" s="344"/>
      <c r="E25" s="342"/>
      <c r="F25" s="342"/>
      <c r="G25" s="344" t="s">
        <v>783</v>
      </c>
      <c r="H25" s="344">
        <f>(2*H14*2*H10 + H9*(2*H14+4*H10))/100</f>
        <v>10436.75</v>
      </c>
      <c r="I25" s="344" t="s">
        <v>731</v>
      </c>
      <c r="J25" s="379">
        <f>J19+J22</f>
        <v>11734.830139890499</v>
      </c>
      <c r="K25" s="375" t="s">
        <v>748</v>
      </c>
      <c r="L25" s="341"/>
      <c r="M25" s="344" t="s">
        <v>784</v>
      </c>
      <c r="N25" s="344">
        <f>1/(2*3.14*SQRT((N23/1000000)*(N24/1000000)))</f>
        <v>96.127644987319897</v>
      </c>
      <c r="O25" s="344" t="s">
        <v>761</v>
      </c>
      <c r="P25" s="341"/>
      <c r="Q25" s="341"/>
      <c r="R25" s="341"/>
      <c r="S25" s="341"/>
    </row>
    <row r="26" spans="2:19" x14ac:dyDescent="0.3">
      <c r="B26" s="344" t="s">
        <v>785</v>
      </c>
      <c r="C26" s="344">
        <f>C22*C16/C20</f>
        <v>4.1052631578947361E-2</v>
      </c>
      <c r="D26" s="344" t="s">
        <v>765</v>
      </c>
      <c r="E26" s="342"/>
      <c r="F26" s="342"/>
      <c r="G26" s="344"/>
      <c r="H26" s="344"/>
      <c r="I26" s="344"/>
      <c r="J26" s="341"/>
      <c r="K26" s="341"/>
      <c r="L26" s="341"/>
      <c r="M26" s="376" t="s">
        <v>786</v>
      </c>
      <c r="N26" s="341"/>
      <c r="O26" s="341"/>
      <c r="P26" s="341"/>
      <c r="Q26" s="341"/>
      <c r="R26" s="341"/>
      <c r="S26" s="341"/>
    </row>
    <row r="27" spans="2:19" x14ac:dyDescent="0.3">
      <c r="B27" s="344" t="s">
        <v>787</v>
      </c>
      <c r="C27" s="382" t="s">
        <v>788</v>
      </c>
      <c r="D27" s="344"/>
      <c r="E27" s="383"/>
      <c r="F27" s="342"/>
      <c r="G27" s="344" t="s">
        <v>789</v>
      </c>
      <c r="H27" s="344">
        <f>H8/10</f>
        <v>20</v>
      </c>
      <c r="I27" s="344" t="s">
        <v>767</v>
      </c>
      <c r="J27" s="375" t="s">
        <v>790</v>
      </c>
      <c r="K27" s="341"/>
      <c r="L27" s="341"/>
      <c r="M27" s="344" t="s">
        <v>791</v>
      </c>
      <c r="N27" s="344">
        <v>17848</v>
      </c>
      <c r="O27" s="344" t="s">
        <v>792</v>
      </c>
      <c r="P27" s="341"/>
      <c r="Q27" s="341"/>
      <c r="R27" s="341"/>
      <c r="S27" s="341"/>
    </row>
    <row r="28" spans="2:19" x14ac:dyDescent="0.3">
      <c r="B28" s="344" t="s">
        <v>793</v>
      </c>
      <c r="C28" s="365">
        <f>H16</f>
        <v>187.11</v>
      </c>
      <c r="D28" s="344" t="s">
        <v>731</v>
      </c>
      <c r="E28" s="342"/>
      <c r="F28" s="342"/>
      <c r="G28" s="341"/>
      <c r="H28" s="341"/>
      <c r="I28" s="374"/>
      <c r="J28" s="384">
        <f>J25/(C4*1000)*100</f>
        <v>1.4668537674863122</v>
      </c>
      <c r="K28" s="375" t="s">
        <v>794</v>
      </c>
      <c r="L28" s="341"/>
      <c r="M28" s="344" t="s">
        <v>795</v>
      </c>
      <c r="N28" s="344">
        <v>20942</v>
      </c>
      <c r="O28" s="344" t="s">
        <v>796</v>
      </c>
      <c r="P28" s="341"/>
      <c r="Q28" s="341"/>
      <c r="R28" s="341"/>
      <c r="S28" s="341"/>
    </row>
    <row r="29" spans="2:19" x14ac:dyDescent="0.3">
      <c r="B29" s="344" t="s">
        <v>797</v>
      </c>
      <c r="C29" s="344">
        <v>1</v>
      </c>
      <c r="D29" s="344" t="s">
        <v>798</v>
      </c>
      <c r="E29" s="342"/>
      <c r="F29" s="342"/>
      <c r="G29" s="344" t="s">
        <v>799</v>
      </c>
      <c r="H29" s="344">
        <f>C29</f>
        <v>1</v>
      </c>
      <c r="I29" s="344" t="s">
        <v>800</v>
      </c>
      <c r="J29" s="341"/>
      <c r="K29" s="341"/>
      <c r="L29" s="341"/>
      <c r="M29" s="344" t="s">
        <v>801</v>
      </c>
      <c r="N29" s="344">
        <v>15468</v>
      </c>
      <c r="O29" s="344" t="s">
        <v>796</v>
      </c>
      <c r="P29" s="341"/>
      <c r="Q29" s="341"/>
      <c r="R29" s="341"/>
      <c r="S29" s="341"/>
    </row>
    <row r="30" spans="2:19" x14ac:dyDescent="0.3">
      <c r="B30" s="344" t="s">
        <v>802</v>
      </c>
      <c r="C30" s="344">
        <f>C28*C29</f>
        <v>187.11</v>
      </c>
      <c r="D30" s="344" t="s">
        <v>731</v>
      </c>
      <c r="E30" s="342"/>
      <c r="F30" s="342"/>
      <c r="G30" s="344" t="s">
        <v>803</v>
      </c>
      <c r="H30" s="344">
        <f>H21*H29</f>
        <v>43035.3</v>
      </c>
      <c r="I30" s="344" t="s">
        <v>804</v>
      </c>
      <c r="J30" s="341"/>
      <c r="K30" s="341"/>
      <c r="L30" s="341"/>
      <c r="M30" s="344" t="s">
        <v>805</v>
      </c>
      <c r="N30" s="344">
        <v>18086</v>
      </c>
      <c r="O30" s="344" t="s">
        <v>792</v>
      </c>
      <c r="P30" s="341"/>
      <c r="Q30" s="341"/>
      <c r="R30" s="341"/>
      <c r="S30" s="341"/>
    </row>
    <row r="31" spans="2:19" x14ac:dyDescent="0.3">
      <c r="B31" s="344"/>
      <c r="C31" s="344"/>
      <c r="D31" s="344"/>
      <c r="E31" s="342"/>
      <c r="F31" s="342"/>
      <c r="G31" s="344" t="s">
        <v>806</v>
      </c>
      <c r="H31" s="344">
        <f>H23*H29</f>
        <v>187.11</v>
      </c>
      <c r="I31" s="344" t="s">
        <v>807</v>
      </c>
      <c r="J31" s="341" t="s">
        <v>808</v>
      </c>
      <c r="K31" s="341"/>
      <c r="L31" s="341"/>
      <c r="M31" s="385" t="s">
        <v>809</v>
      </c>
      <c r="N31" s="385">
        <v>12475</v>
      </c>
      <c r="O31" s="385" t="s">
        <v>796</v>
      </c>
      <c r="P31" s="341"/>
      <c r="Q31" s="341"/>
      <c r="R31" s="341"/>
      <c r="S31" s="341"/>
    </row>
    <row r="32" spans="2:19" x14ac:dyDescent="0.3">
      <c r="B32" s="344" t="s">
        <v>810</v>
      </c>
      <c r="C32" s="362">
        <f>ROUNDUP(C7*C10/1000*10000/C26/C30,0)</f>
        <v>28</v>
      </c>
      <c r="D32" s="344" t="s">
        <v>811</v>
      </c>
      <c r="E32" s="342"/>
      <c r="F32" s="342"/>
      <c r="G32" s="344" t="s">
        <v>812</v>
      </c>
      <c r="H32" s="344">
        <f>H22</f>
        <v>88.734999999999999</v>
      </c>
      <c r="I32" s="344" t="s">
        <v>767</v>
      </c>
      <c r="J32" s="341">
        <v>21.3</v>
      </c>
      <c r="K32" s="341" t="s">
        <v>813</v>
      </c>
      <c r="L32" s="341"/>
      <c r="M32" s="386" t="s">
        <v>814</v>
      </c>
      <c r="N32" s="386">
        <v>7900</v>
      </c>
      <c r="O32" s="386" t="s">
        <v>792</v>
      </c>
      <c r="P32" s="341"/>
      <c r="Q32" s="341"/>
      <c r="R32" s="341"/>
      <c r="S32" s="341"/>
    </row>
    <row r="33" spans="2:19" x14ac:dyDescent="0.3">
      <c r="B33" s="344" t="s">
        <v>815</v>
      </c>
      <c r="C33" s="344">
        <f>ROUNDUP(0.4*3.1416*C32*C20/10000/C22,2)</f>
        <v>4.49</v>
      </c>
      <c r="D33" s="344" t="s">
        <v>816</v>
      </c>
      <c r="E33" s="342"/>
      <c r="F33" s="371"/>
      <c r="G33" s="344" t="s">
        <v>817</v>
      </c>
      <c r="H33" s="344">
        <f>H17*H29</f>
        <v>182.407190625</v>
      </c>
      <c r="I33" s="344" t="s">
        <v>818</v>
      </c>
      <c r="J33" s="387">
        <v>12475</v>
      </c>
      <c r="K33" s="388" t="s">
        <v>792</v>
      </c>
      <c r="L33" s="388"/>
      <c r="M33" s="386" t="s">
        <v>819</v>
      </c>
      <c r="N33" s="386">
        <v>10200</v>
      </c>
      <c r="O33" s="344" t="s">
        <v>796</v>
      </c>
      <c r="P33" s="388"/>
      <c r="Q33" s="388"/>
      <c r="R33" s="388"/>
      <c r="S33" s="341"/>
    </row>
    <row r="34" spans="2:19" x14ac:dyDescent="0.3">
      <c r="B34" s="344" t="s">
        <v>820</v>
      </c>
      <c r="C34" s="389">
        <v>6</v>
      </c>
      <c r="D34" s="344"/>
      <c r="E34" s="383" t="s">
        <v>821</v>
      </c>
      <c r="F34" s="371"/>
      <c r="G34" s="341"/>
      <c r="H34" s="341"/>
      <c r="I34" s="342"/>
      <c r="J34" s="387">
        <f>J32*J33/10000</f>
        <v>26.571750000000002</v>
      </c>
      <c r="K34" s="388" t="s">
        <v>738</v>
      </c>
      <c r="L34" s="388"/>
      <c r="M34" s="382" t="s">
        <v>822</v>
      </c>
      <c r="N34" s="386">
        <v>6850</v>
      </c>
      <c r="O34" s="386" t="s">
        <v>792</v>
      </c>
      <c r="P34" s="388"/>
      <c r="Q34" s="388"/>
      <c r="R34" s="388"/>
      <c r="S34" s="388"/>
    </row>
    <row r="35" spans="2:19" x14ac:dyDescent="0.3">
      <c r="B35" s="344" t="s">
        <v>823</v>
      </c>
      <c r="C35" s="361">
        <f>C33/C34</f>
        <v>0.74833333333333341</v>
      </c>
      <c r="D35" s="344" t="s">
        <v>767</v>
      </c>
      <c r="E35" s="390">
        <v>7.5</v>
      </c>
      <c r="F35" s="391" t="s">
        <v>13</v>
      </c>
      <c r="G35" s="341"/>
      <c r="H35" s="341"/>
      <c r="I35" s="341"/>
      <c r="J35" s="387" t="s">
        <v>824</v>
      </c>
      <c r="K35" s="388"/>
      <c r="L35" s="388"/>
      <c r="M35" s="367" t="s">
        <v>825</v>
      </c>
      <c r="N35" s="344">
        <v>5200</v>
      </c>
      <c r="O35" s="344" t="s">
        <v>792</v>
      </c>
      <c r="P35" s="388"/>
      <c r="Q35" s="388"/>
      <c r="R35" s="388"/>
      <c r="S35" s="388"/>
    </row>
    <row r="36" spans="2:19" x14ac:dyDescent="0.3">
      <c r="B36" s="344" t="s">
        <v>826</v>
      </c>
      <c r="C36" s="344">
        <f>C35/H6*10*100</f>
        <v>6.2361111111111116</v>
      </c>
      <c r="D36" s="353" t="s">
        <v>712</v>
      </c>
      <c r="E36" s="342"/>
      <c r="F36" s="342"/>
      <c r="G36" s="341"/>
      <c r="H36" s="341"/>
      <c r="I36" s="341"/>
      <c r="J36" s="387">
        <f>J17+J34</f>
        <v>66.701331937500001</v>
      </c>
      <c r="K36" s="388" t="s">
        <v>738</v>
      </c>
      <c r="L36" s="388"/>
      <c r="M36" s="344" t="s">
        <v>827</v>
      </c>
      <c r="N36" s="344">
        <v>5200</v>
      </c>
      <c r="O36" s="344" t="s">
        <v>792</v>
      </c>
      <c r="P36" s="388"/>
      <c r="Q36" s="388"/>
      <c r="R36" s="388"/>
      <c r="S36" s="388"/>
    </row>
    <row r="37" spans="2:19" x14ac:dyDescent="0.3">
      <c r="B37" s="344" t="s">
        <v>828</v>
      </c>
      <c r="C37" s="361">
        <f>0.000000004*PI()*C32^2*C30/C33*1000000</f>
        <v>410.55995252377545</v>
      </c>
      <c r="D37" s="344" t="s">
        <v>780</v>
      </c>
      <c r="E37" s="342"/>
      <c r="F37" s="342"/>
      <c r="G37" s="341"/>
      <c r="H37" s="341"/>
      <c r="I37" s="341"/>
      <c r="J37" s="392"/>
      <c r="K37" s="388"/>
      <c r="L37" s="388"/>
      <c r="M37" s="382" t="s">
        <v>829</v>
      </c>
      <c r="N37" s="386">
        <v>3780</v>
      </c>
      <c r="O37" s="386" t="s">
        <v>796</v>
      </c>
      <c r="P37" s="388"/>
      <c r="Q37" s="388"/>
      <c r="R37" s="388"/>
      <c r="S37" s="388"/>
    </row>
    <row r="38" spans="2:19" x14ac:dyDescent="0.3">
      <c r="B38" s="344" t="s">
        <v>830</v>
      </c>
      <c r="C38" s="344">
        <f>1+C35/C30^0.5*LN(2*H27/C35)</f>
        <v>1.2176693079872134</v>
      </c>
      <c r="D38" s="344"/>
      <c r="E38" s="342"/>
      <c r="F38" s="342"/>
      <c r="G38" s="341"/>
      <c r="H38" s="341"/>
      <c r="I38" s="341"/>
      <c r="J38" s="392"/>
      <c r="K38" s="388"/>
      <c r="L38" s="388"/>
      <c r="M38" s="388"/>
      <c r="N38" s="388"/>
      <c r="O38" s="388"/>
      <c r="P38" s="388"/>
      <c r="Q38" s="388"/>
      <c r="R38" s="388"/>
      <c r="S38" s="388"/>
    </row>
    <row r="39" spans="2:19" x14ac:dyDescent="0.3">
      <c r="B39" s="344" t="s">
        <v>831</v>
      </c>
      <c r="C39" s="393">
        <f>C17*C38*1000</f>
        <v>490.82392065717539</v>
      </c>
      <c r="D39" s="344" t="s">
        <v>754</v>
      </c>
      <c r="E39" s="342"/>
      <c r="F39" s="342"/>
      <c r="G39" s="341"/>
      <c r="H39" s="341"/>
      <c r="I39" s="341"/>
      <c r="J39" s="392"/>
      <c r="K39" s="388"/>
      <c r="L39" s="388"/>
      <c r="M39" s="388"/>
      <c r="N39" s="388"/>
      <c r="O39" s="388"/>
      <c r="P39" s="388"/>
      <c r="Q39" s="388"/>
      <c r="R39" s="388"/>
      <c r="S39" s="388"/>
    </row>
  </sheetData>
  <mergeCells count="3">
    <mergeCell ref="B2:C2"/>
    <mergeCell ref="G5:I5"/>
    <mergeCell ref="Q6:S6"/>
  </mergeCells>
  <phoneticPr fontId="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StaticMetafile" shapeId="6145" r:id="rId3">
          <objectPr defaultSize="0" autoPict="0" r:id="rId4">
            <anchor moveWithCells="1">
              <from>
                <xdr:col>9</xdr:col>
                <xdr:colOff>19050</xdr:colOff>
                <xdr:row>4</xdr:row>
                <xdr:rowOff>19050</xdr:rowOff>
              </from>
              <to>
                <xdr:col>11</xdr:col>
                <xdr:colOff>771525</xdr:colOff>
                <xdr:row>14</xdr:row>
                <xdr:rowOff>47625</xdr:rowOff>
              </to>
            </anchor>
          </objectPr>
        </oleObject>
      </mc:Choice>
      <mc:Fallback>
        <oleObject progId="StaticMetafile" shapeId="614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tabSelected="1" workbookViewId="0"/>
  </sheetViews>
  <sheetFormatPr defaultRowHeight="13.5" x14ac:dyDescent="0.15"/>
  <cols>
    <col min="2" max="2" width="22.21875" bestFit="1" customWidth="1"/>
    <col min="3" max="3" width="56.5546875" bestFit="1" customWidth="1"/>
    <col min="4" max="4" width="33.44140625" customWidth="1"/>
  </cols>
  <sheetData>
    <row r="2" spans="2:4" ht="14.25" thickBot="1" x14ac:dyDescent="0.2"/>
    <row r="3" spans="2:4" ht="14.25" thickBot="1" x14ac:dyDescent="0.2">
      <c r="B3" s="77" t="s">
        <v>457</v>
      </c>
      <c r="C3" s="78" t="s">
        <v>660</v>
      </c>
      <c r="D3" s="78" t="s">
        <v>456</v>
      </c>
    </row>
    <row r="4" spans="2:4" ht="14.25" thickBot="1" x14ac:dyDescent="0.2">
      <c r="B4" s="79" t="s">
        <v>436</v>
      </c>
      <c r="C4" s="77" t="s">
        <v>628</v>
      </c>
      <c r="D4" s="77"/>
    </row>
    <row r="5" spans="2:4" x14ac:dyDescent="0.15">
      <c r="B5" s="80" t="s">
        <v>437</v>
      </c>
      <c r="C5" s="217" t="s">
        <v>661</v>
      </c>
      <c r="D5" s="217"/>
    </row>
    <row r="6" spans="2:4" x14ac:dyDescent="0.15">
      <c r="B6" s="80" t="s">
        <v>438</v>
      </c>
      <c r="C6" s="217" t="s">
        <v>662</v>
      </c>
      <c r="D6" s="217"/>
    </row>
    <row r="7" spans="2:4" x14ac:dyDescent="0.15">
      <c r="B7" s="80" t="s">
        <v>439</v>
      </c>
      <c r="C7" s="80" t="s">
        <v>832</v>
      </c>
      <c r="D7" s="80"/>
    </row>
    <row r="8" spans="2:4" x14ac:dyDescent="0.15">
      <c r="B8" s="80" t="s">
        <v>440</v>
      </c>
      <c r="C8" s="80" t="s">
        <v>835</v>
      </c>
      <c r="D8" s="81"/>
    </row>
    <row r="9" spans="2:4" x14ac:dyDescent="0.15">
      <c r="B9" s="80" t="s">
        <v>441</v>
      </c>
      <c r="C9" s="80" t="s">
        <v>631</v>
      </c>
      <c r="D9" s="80" t="s">
        <v>530</v>
      </c>
    </row>
    <row r="10" spans="2:4" x14ac:dyDescent="0.15">
      <c r="B10" s="80" t="s">
        <v>442</v>
      </c>
      <c r="C10" s="81" t="s">
        <v>532</v>
      </c>
      <c r="D10" s="81"/>
    </row>
    <row r="11" spans="2:4" x14ac:dyDescent="0.15">
      <c r="B11" s="80" t="s">
        <v>443</v>
      </c>
      <c r="C11" s="81" t="s">
        <v>833</v>
      </c>
      <c r="D11" s="81" t="s">
        <v>834</v>
      </c>
    </row>
    <row r="12" spans="2:4" x14ac:dyDescent="0.15">
      <c r="B12" s="80" t="s">
        <v>444</v>
      </c>
      <c r="C12" s="80" t="s">
        <v>836</v>
      </c>
      <c r="D12" s="80"/>
    </row>
    <row r="13" spans="2:4" x14ac:dyDescent="0.15">
      <c r="B13" s="80" t="s">
        <v>445</v>
      </c>
      <c r="C13" s="80" t="s">
        <v>853</v>
      </c>
      <c r="D13" s="218" t="s">
        <v>629</v>
      </c>
    </row>
    <row r="14" spans="2:4" x14ac:dyDescent="0.15">
      <c r="B14" s="80" t="s">
        <v>448</v>
      </c>
      <c r="C14" s="81" t="s">
        <v>852</v>
      </c>
      <c r="D14" s="219" t="s">
        <v>849</v>
      </c>
    </row>
    <row r="15" spans="2:4" x14ac:dyDescent="0.15">
      <c r="B15" s="80" t="s">
        <v>449</v>
      </c>
      <c r="C15" s="220" t="s">
        <v>863</v>
      </c>
      <c r="D15" s="81"/>
    </row>
    <row r="16" spans="2:4" x14ac:dyDescent="0.15">
      <c r="B16" s="80" t="s">
        <v>579</v>
      </c>
      <c r="C16" s="81" t="s">
        <v>850</v>
      </c>
      <c r="D16" s="81"/>
    </row>
    <row r="17" spans="2:4" ht="27" x14ac:dyDescent="0.15">
      <c r="B17" s="80" t="s">
        <v>652</v>
      </c>
      <c r="C17" s="81" t="s">
        <v>854</v>
      </c>
      <c r="D17" s="81" t="s">
        <v>848</v>
      </c>
    </row>
    <row r="18" spans="2:4" x14ac:dyDescent="0.15">
      <c r="B18" s="82" t="s">
        <v>450</v>
      </c>
      <c r="C18" s="81" t="s">
        <v>531</v>
      </c>
      <c r="D18" s="81"/>
    </row>
    <row r="19" spans="2:4" x14ac:dyDescent="0.15">
      <c r="B19" s="80" t="s">
        <v>451</v>
      </c>
      <c r="C19" s="80" t="s">
        <v>841</v>
      </c>
      <c r="D19" s="80"/>
    </row>
    <row r="20" spans="2:4" x14ac:dyDescent="0.15">
      <c r="B20" s="80" t="s">
        <v>452</v>
      </c>
      <c r="C20" s="80" t="s">
        <v>842</v>
      </c>
      <c r="D20" s="80"/>
    </row>
    <row r="21" spans="2:4" x14ac:dyDescent="0.15">
      <c r="B21" s="80" t="s">
        <v>453</v>
      </c>
      <c r="C21" s="80" t="s">
        <v>843</v>
      </c>
      <c r="D21" s="80"/>
    </row>
    <row r="22" spans="2:4" x14ac:dyDescent="0.15">
      <c r="B22" s="80" t="s">
        <v>454</v>
      </c>
      <c r="C22" s="215" t="s">
        <v>844</v>
      </c>
      <c r="D22" s="80"/>
    </row>
    <row r="23" spans="2:4" x14ac:dyDescent="0.15">
      <c r="B23" s="215" t="s">
        <v>455</v>
      </c>
      <c r="C23" s="215" t="s">
        <v>845</v>
      </c>
      <c r="D23" s="80"/>
    </row>
    <row r="24" spans="2:4" x14ac:dyDescent="0.15">
      <c r="B24" s="215" t="s">
        <v>503</v>
      </c>
      <c r="C24" s="215" t="s">
        <v>846</v>
      </c>
      <c r="D24" s="215"/>
    </row>
    <row r="25" spans="2:4" x14ac:dyDescent="0.15">
      <c r="B25" s="80" t="s">
        <v>446</v>
      </c>
      <c r="C25" s="80" t="s">
        <v>447</v>
      </c>
      <c r="D25" s="80"/>
    </row>
    <row r="26" spans="2:4" x14ac:dyDescent="0.15">
      <c r="B26" s="215" t="s">
        <v>504</v>
      </c>
      <c r="C26" s="215" t="s">
        <v>847</v>
      </c>
      <c r="D26" s="215"/>
    </row>
    <row r="27" spans="2:4" x14ac:dyDescent="0.15">
      <c r="B27" s="215" t="s">
        <v>506</v>
      </c>
      <c r="C27" s="215" t="s">
        <v>458</v>
      </c>
      <c r="D27" s="215"/>
    </row>
    <row r="28" spans="2:4" x14ac:dyDescent="0.15">
      <c r="B28" s="215" t="s">
        <v>507</v>
      </c>
      <c r="C28" s="215" t="s">
        <v>458</v>
      </c>
      <c r="D28" s="215"/>
    </row>
    <row r="29" spans="2:4" ht="14.25" thickBot="1" x14ac:dyDescent="0.2">
      <c r="B29" s="216" t="s">
        <v>505</v>
      </c>
      <c r="C29" s="216" t="s">
        <v>862</v>
      </c>
      <c r="D29" s="216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O24" sqref="O24"/>
    </sheetView>
  </sheetViews>
  <sheetFormatPr defaultColWidth="8.77734375" defaultRowHeight="13.5" x14ac:dyDescent="0.1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 x14ac:dyDescent="0.15">
      <c r="C2" s="293" t="s">
        <v>533</v>
      </c>
      <c r="D2" s="294"/>
      <c r="E2" s="294"/>
      <c r="F2" s="294"/>
      <c r="G2" s="295"/>
    </row>
    <row r="3" spans="3:7" ht="20.25" x14ac:dyDescent="0.15">
      <c r="C3" s="296" t="s">
        <v>534</v>
      </c>
      <c r="D3" s="296"/>
      <c r="E3" s="290" t="s">
        <v>861</v>
      </c>
      <c r="F3" s="291"/>
      <c r="G3" s="292"/>
    </row>
    <row r="4" spans="3:7" ht="20.25" x14ac:dyDescent="0.15">
      <c r="C4" s="123" t="s">
        <v>535</v>
      </c>
      <c r="D4" s="124" t="s">
        <v>858</v>
      </c>
      <c r="E4" s="123" t="s">
        <v>434</v>
      </c>
      <c r="F4" s="297" t="s">
        <v>859</v>
      </c>
      <c r="G4" s="298"/>
    </row>
    <row r="5" spans="3:7" ht="20.25" x14ac:dyDescent="0.15">
      <c r="C5" s="125" t="s">
        <v>536</v>
      </c>
      <c r="D5" s="126"/>
      <c r="E5" s="123" t="s">
        <v>435</v>
      </c>
      <c r="F5" s="290" t="s">
        <v>860</v>
      </c>
      <c r="G5" s="292"/>
    </row>
    <row r="6" spans="3:7" ht="20.25" x14ac:dyDescent="0.15">
      <c r="C6" s="290" t="s">
        <v>537</v>
      </c>
      <c r="D6" s="291"/>
      <c r="E6" s="291"/>
      <c r="F6" s="291"/>
      <c r="G6" s="292"/>
    </row>
    <row r="7" spans="3:7" ht="16.5" hidden="1" x14ac:dyDescent="0.15">
      <c r="C7" s="127">
        <v>1</v>
      </c>
      <c r="D7" s="6" t="s">
        <v>538</v>
      </c>
      <c r="E7" s="128" t="s">
        <v>538</v>
      </c>
      <c r="F7" s="129">
        <v>100</v>
      </c>
      <c r="G7" s="130" t="s">
        <v>539</v>
      </c>
    </row>
    <row r="8" spans="3:7" ht="16.5" hidden="1" customHeight="1" x14ac:dyDescent="0.15">
      <c r="C8" s="131"/>
      <c r="D8" s="131"/>
      <c r="E8" s="128" t="s">
        <v>540</v>
      </c>
      <c r="F8" s="129">
        <v>1</v>
      </c>
      <c r="G8" s="130" t="s">
        <v>541</v>
      </c>
    </row>
    <row r="9" spans="3:7" ht="20.25" hidden="1" customHeight="1" x14ac:dyDescent="0.15">
      <c r="C9" s="131"/>
      <c r="D9" s="131"/>
      <c r="E9" s="128" t="s">
        <v>542</v>
      </c>
      <c r="F9" s="129">
        <f>(10*10^6)/F8</f>
        <v>10000000</v>
      </c>
      <c r="G9" s="132"/>
    </row>
    <row r="10" spans="3:7" ht="16.5" hidden="1" customHeight="1" x14ac:dyDescent="0.15">
      <c r="C10" s="131"/>
      <c r="D10" s="131"/>
      <c r="E10" s="128" t="s">
        <v>543</v>
      </c>
      <c r="F10" s="129">
        <v>100000</v>
      </c>
      <c r="G10" s="132">
        <v>50000</v>
      </c>
    </row>
    <row r="11" spans="3:7" ht="16.5" hidden="1" customHeight="1" x14ac:dyDescent="0.15">
      <c r="C11" s="131"/>
      <c r="D11" s="131"/>
      <c r="E11" s="128" t="s">
        <v>544</v>
      </c>
      <c r="F11" s="129" t="e">
        <f>$E9/(F10/10)</f>
        <v>#VALUE!</v>
      </c>
      <c r="G11" s="132" t="e">
        <f>$E9/(G10/10)</f>
        <v>#VALUE!</v>
      </c>
    </row>
    <row r="12" spans="3:7" ht="16.5" hidden="1" customHeight="1" x14ac:dyDescent="0.15">
      <c r="C12" s="131"/>
      <c r="D12" s="131"/>
      <c r="E12" s="128" t="s">
        <v>545</v>
      </c>
      <c r="F12" s="129" t="e">
        <f>F11/2</f>
        <v>#VALUE!</v>
      </c>
      <c r="G12" s="132" t="e">
        <f>G11/2</f>
        <v>#VALUE!</v>
      </c>
    </row>
    <row r="13" spans="3:7" ht="16.5" customHeight="1" x14ac:dyDescent="0.15">
      <c r="C13" s="277">
        <v>2</v>
      </c>
      <c r="D13" s="280" t="s">
        <v>546</v>
      </c>
      <c r="E13" s="128" t="s">
        <v>547</v>
      </c>
      <c r="F13" s="133">
        <v>700</v>
      </c>
      <c r="G13" s="6" t="s">
        <v>548</v>
      </c>
    </row>
    <row r="14" spans="3:7" ht="16.5" x14ac:dyDescent="0.15">
      <c r="C14" s="279"/>
      <c r="D14" s="288"/>
      <c r="E14" s="128" t="s">
        <v>549</v>
      </c>
      <c r="F14" s="133">
        <v>70</v>
      </c>
      <c r="G14" s="6" t="s">
        <v>550</v>
      </c>
    </row>
    <row r="15" spans="3:7" ht="16.5" x14ac:dyDescent="0.15">
      <c r="C15" s="277">
        <v>3</v>
      </c>
      <c r="D15" s="280" t="s">
        <v>551</v>
      </c>
      <c r="E15" s="128" t="s">
        <v>551</v>
      </c>
      <c r="F15" s="129">
        <v>440</v>
      </c>
      <c r="G15" s="6" t="s">
        <v>552</v>
      </c>
    </row>
    <row r="16" spans="3:7" ht="16.5" x14ac:dyDescent="0.15">
      <c r="C16" s="278"/>
      <c r="D16" s="281"/>
      <c r="E16" s="132" t="s">
        <v>553</v>
      </c>
      <c r="F16" s="129">
        <v>763</v>
      </c>
      <c r="G16" s="6" t="s">
        <v>160</v>
      </c>
    </row>
    <row r="17" spans="3:8" ht="16.5" x14ac:dyDescent="0.15">
      <c r="C17" s="278"/>
      <c r="D17" s="281"/>
      <c r="E17" s="132" t="s">
        <v>554</v>
      </c>
      <c r="F17" s="129">
        <v>500</v>
      </c>
      <c r="G17" s="6" t="s">
        <v>160</v>
      </c>
    </row>
    <row r="18" spans="3:8" ht="16.5" x14ac:dyDescent="0.15">
      <c r="C18" s="279"/>
      <c r="D18" s="288"/>
      <c r="E18" s="132" t="s">
        <v>555</v>
      </c>
      <c r="F18" s="129">
        <v>350</v>
      </c>
      <c r="G18" s="6" t="s">
        <v>160</v>
      </c>
    </row>
    <row r="19" spans="3:8" ht="16.5" x14ac:dyDescent="0.15">
      <c r="C19" s="277">
        <v>4</v>
      </c>
      <c r="D19" s="280" t="s">
        <v>556</v>
      </c>
      <c r="E19" s="128" t="s">
        <v>557</v>
      </c>
      <c r="F19" s="129">
        <v>1500</v>
      </c>
      <c r="G19" s="6" t="s">
        <v>558</v>
      </c>
    </row>
    <row r="20" spans="3:8" ht="16.5" x14ac:dyDescent="0.15">
      <c r="C20" s="279"/>
      <c r="D20" s="288"/>
      <c r="E20" s="132" t="s">
        <v>559</v>
      </c>
      <c r="F20" s="129">
        <v>1500</v>
      </c>
      <c r="G20" s="6" t="s">
        <v>163</v>
      </c>
    </row>
    <row r="21" spans="3:8" ht="16.5" x14ac:dyDescent="0.15">
      <c r="C21" s="277">
        <v>5</v>
      </c>
      <c r="D21" s="280" t="s">
        <v>560</v>
      </c>
      <c r="E21" s="134" t="s">
        <v>561</v>
      </c>
      <c r="F21" s="133">
        <v>6.8</v>
      </c>
      <c r="G21" s="135" t="s">
        <v>562</v>
      </c>
    </row>
    <row r="22" spans="3:8" ht="16.5" x14ac:dyDescent="0.15">
      <c r="C22" s="278"/>
      <c r="D22" s="281"/>
      <c r="E22" s="134" t="s">
        <v>563</v>
      </c>
      <c r="F22" s="129">
        <v>7</v>
      </c>
      <c r="G22" s="135" t="s">
        <v>564</v>
      </c>
    </row>
    <row r="23" spans="3:8" ht="16.5" customHeight="1" x14ac:dyDescent="0.15">
      <c r="C23" s="278"/>
      <c r="D23" s="281"/>
      <c r="E23" s="134" t="s">
        <v>565</v>
      </c>
      <c r="F23" s="129">
        <v>2000</v>
      </c>
      <c r="G23" s="135" t="s">
        <v>566</v>
      </c>
    </row>
    <row r="24" spans="3:8" ht="16.5" x14ac:dyDescent="0.15">
      <c r="C24" s="278"/>
      <c r="D24" s="281"/>
      <c r="E24" s="134" t="s">
        <v>627</v>
      </c>
      <c r="F24" s="129">
        <v>5000</v>
      </c>
      <c r="G24" s="135" t="s">
        <v>163</v>
      </c>
      <c r="H24" s="122" t="s">
        <v>851</v>
      </c>
    </row>
    <row r="25" spans="3:8" ht="16.5" x14ac:dyDescent="0.15">
      <c r="C25" s="278"/>
      <c r="D25" s="281"/>
      <c r="E25" s="6" t="s">
        <v>567</v>
      </c>
      <c r="F25" s="129">
        <f>(3/(F21/F22))*F23</f>
        <v>6176.4705882352946</v>
      </c>
      <c r="G25" s="135" t="s">
        <v>163</v>
      </c>
    </row>
    <row r="26" spans="3:8" ht="16.5" x14ac:dyDescent="0.15">
      <c r="C26" s="278"/>
      <c r="D26" s="281"/>
      <c r="E26" s="6" t="s">
        <v>568</v>
      </c>
      <c r="F26" s="129">
        <f>F25*1.11</f>
        <v>6855.8823529411775</v>
      </c>
      <c r="G26" s="135" t="s">
        <v>569</v>
      </c>
    </row>
    <row r="27" spans="3:8" ht="16.5" x14ac:dyDescent="0.15">
      <c r="C27" s="279"/>
      <c r="D27" s="288"/>
      <c r="E27" s="6" t="s">
        <v>570</v>
      </c>
      <c r="F27" s="129">
        <v>5200</v>
      </c>
      <c r="G27" s="135" t="s">
        <v>569</v>
      </c>
    </row>
    <row r="28" spans="3:8" ht="16.5" customHeight="1" x14ac:dyDescent="0.15">
      <c r="C28" s="277">
        <v>6</v>
      </c>
      <c r="D28" s="289" t="s">
        <v>571</v>
      </c>
      <c r="E28" s="6" t="s">
        <v>547</v>
      </c>
      <c r="F28" s="129">
        <v>700</v>
      </c>
      <c r="G28" s="135" t="s">
        <v>572</v>
      </c>
    </row>
    <row r="29" spans="3:8" ht="16.5" customHeight="1" x14ac:dyDescent="0.15">
      <c r="C29" s="279"/>
      <c r="D29" s="288"/>
      <c r="E29" s="6" t="s">
        <v>549</v>
      </c>
      <c r="F29" s="136">
        <v>70</v>
      </c>
      <c r="G29" s="135" t="s">
        <v>572</v>
      </c>
    </row>
    <row r="30" spans="3:8" ht="16.5" x14ac:dyDescent="0.15">
      <c r="C30" s="277">
        <v>7</v>
      </c>
      <c r="D30" s="280" t="s">
        <v>573</v>
      </c>
      <c r="E30" s="6" t="s">
        <v>547</v>
      </c>
      <c r="F30" s="129"/>
      <c r="G30" s="135" t="s">
        <v>572</v>
      </c>
    </row>
    <row r="31" spans="3:8" ht="16.5" x14ac:dyDescent="0.15">
      <c r="C31" s="279"/>
      <c r="D31" s="288"/>
      <c r="E31" s="6" t="s">
        <v>549</v>
      </c>
      <c r="F31" s="136"/>
      <c r="G31" s="135" t="s">
        <v>572</v>
      </c>
    </row>
    <row r="32" spans="3:8" ht="16.5" x14ac:dyDescent="0.15">
      <c r="C32" s="277">
        <v>8</v>
      </c>
      <c r="D32" s="280" t="s">
        <v>574</v>
      </c>
      <c r="E32" s="6" t="s">
        <v>575</v>
      </c>
      <c r="F32" s="129"/>
      <c r="G32" s="135" t="s">
        <v>576</v>
      </c>
    </row>
    <row r="33" spans="3:7" ht="16.5" x14ac:dyDescent="0.15">
      <c r="C33" s="279"/>
      <c r="D33" s="288"/>
      <c r="E33" s="6" t="s">
        <v>577</v>
      </c>
      <c r="F33" s="137"/>
      <c r="G33" s="135" t="s">
        <v>578</v>
      </c>
    </row>
    <row r="34" spans="3:7" ht="16.5" x14ac:dyDescent="0.15">
      <c r="C34" s="277">
        <v>9</v>
      </c>
      <c r="D34" s="280" t="s">
        <v>579</v>
      </c>
      <c r="E34" s="6" t="s">
        <v>580</v>
      </c>
      <c r="F34" s="137">
        <v>976</v>
      </c>
      <c r="G34" s="135" t="s">
        <v>581</v>
      </c>
    </row>
    <row r="35" spans="3:7" ht="16.5" x14ac:dyDescent="0.15">
      <c r="C35" s="278"/>
      <c r="D35" s="281"/>
      <c r="E35" s="6" t="s">
        <v>582</v>
      </c>
      <c r="F35" s="137">
        <v>1250</v>
      </c>
      <c r="G35" s="135" t="s">
        <v>583</v>
      </c>
    </row>
    <row r="36" spans="3:7" ht="16.5" x14ac:dyDescent="0.15">
      <c r="C36" s="279"/>
      <c r="D36" s="288"/>
      <c r="E36" s="6" t="s">
        <v>584</v>
      </c>
      <c r="F36" s="137">
        <v>1000</v>
      </c>
      <c r="G36" s="135" t="s">
        <v>160</v>
      </c>
    </row>
    <row r="37" spans="3:7" ht="16.5" x14ac:dyDescent="0.15">
      <c r="C37" s="127">
        <v>10</v>
      </c>
      <c r="D37" s="6" t="s">
        <v>585</v>
      </c>
      <c r="E37" s="6" t="s">
        <v>586</v>
      </c>
      <c r="F37" s="138">
        <v>1</v>
      </c>
      <c r="G37" s="135" t="s">
        <v>587</v>
      </c>
    </row>
    <row r="38" spans="3:7" ht="16.5" x14ac:dyDescent="0.15">
      <c r="C38" s="277">
        <v>11</v>
      </c>
      <c r="D38" s="280" t="s">
        <v>588</v>
      </c>
      <c r="E38" s="6" t="s">
        <v>589</v>
      </c>
      <c r="F38" s="137">
        <v>500</v>
      </c>
      <c r="G38" s="135" t="s">
        <v>590</v>
      </c>
    </row>
    <row r="39" spans="3:7" ht="16.5" customHeight="1" x14ac:dyDescent="0.15">
      <c r="C39" s="278"/>
      <c r="D39" s="281"/>
      <c r="E39" s="6" t="s">
        <v>547</v>
      </c>
      <c r="F39" s="137">
        <v>8000</v>
      </c>
      <c r="G39" s="135" t="s">
        <v>578</v>
      </c>
    </row>
    <row r="40" spans="3:7" ht="16.5" x14ac:dyDescent="0.15">
      <c r="C40" s="278"/>
      <c r="D40" s="281"/>
      <c r="E40" s="6" t="s">
        <v>591</v>
      </c>
      <c r="F40" s="137">
        <v>5000</v>
      </c>
      <c r="G40" s="135" t="s">
        <v>576</v>
      </c>
    </row>
    <row r="41" spans="3:7" ht="16.5" x14ac:dyDescent="0.15">
      <c r="C41" s="279"/>
      <c r="D41" s="288"/>
      <c r="E41" s="6" t="s">
        <v>592</v>
      </c>
      <c r="F41" s="139">
        <v>400</v>
      </c>
      <c r="G41" s="135" t="s">
        <v>578</v>
      </c>
    </row>
    <row r="42" spans="3:7" ht="16.5" x14ac:dyDescent="0.15">
      <c r="C42" s="140">
        <v>12</v>
      </c>
      <c r="D42" s="141" t="s">
        <v>593</v>
      </c>
      <c r="E42" s="6" t="s">
        <v>593</v>
      </c>
      <c r="F42" s="133">
        <v>10</v>
      </c>
      <c r="G42" s="135" t="s">
        <v>594</v>
      </c>
    </row>
    <row r="43" spans="3:7" ht="16.5" hidden="1" customHeight="1" x14ac:dyDescent="0.15">
      <c r="C43" s="277">
        <v>13</v>
      </c>
      <c r="D43" s="280" t="s">
        <v>595</v>
      </c>
      <c r="E43" s="6" t="s">
        <v>596</v>
      </c>
      <c r="F43" s="6" t="s">
        <v>597</v>
      </c>
      <c r="G43" s="142" t="s">
        <v>599</v>
      </c>
    </row>
    <row r="44" spans="3:7" ht="16.5" x14ac:dyDescent="0.15">
      <c r="C44" s="278"/>
      <c r="D44" s="281"/>
      <c r="E44" s="6" t="s">
        <v>600</v>
      </c>
      <c r="F44" s="6" t="s">
        <v>601</v>
      </c>
      <c r="G44" s="142" t="s">
        <v>602</v>
      </c>
    </row>
    <row r="45" spans="3:7" ht="16.5" x14ac:dyDescent="0.15">
      <c r="C45" s="278"/>
      <c r="D45" s="281"/>
      <c r="E45" s="6" t="s">
        <v>603</v>
      </c>
      <c r="F45" s="6" t="s">
        <v>604</v>
      </c>
      <c r="G45" s="142" t="s">
        <v>598</v>
      </c>
    </row>
    <row r="46" spans="3:7" ht="16.5" x14ac:dyDescent="0.15">
      <c r="C46" s="278"/>
      <c r="D46" s="281"/>
      <c r="E46" s="6" t="s">
        <v>605</v>
      </c>
      <c r="F46" s="6" t="s">
        <v>606</v>
      </c>
      <c r="G46" s="142" t="s">
        <v>598</v>
      </c>
    </row>
    <row r="47" spans="3:7" ht="16.5" x14ac:dyDescent="0.15">
      <c r="C47" s="278"/>
      <c r="D47" s="281"/>
      <c r="E47" s="6" t="s">
        <v>607</v>
      </c>
      <c r="F47" s="6" t="s">
        <v>608</v>
      </c>
      <c r="G47" s="142" t="s">
        <v>602</v>
      </c>
    </row>
    <row r="48" spans="3:7" ht="16.5" x14ac:dyDescent="0.15">
      <c r="C48" s="278"/>
      <c r="D48" s="281"/>
      <c r="E48" s="6" t="s">
        <v>609</v>
      </c>
      <c r="F48" s="6" t="s">
        <v>610</v>
      </c>
      <c r="G48" s="142" t="s">
        <v>855</v>
      </c>
    </row>
    <row r="49" spans="3:7" ht="16.5" x14ac:dyDescent="0.15">
      <c r="C49" s="278"/>
      <c r="D49" s="281"/>
      <c r="E49" s="6" t="s">
        <v>611</v>
      </c>
      <c r="F49" s="6" t="s">
        <v>612</v>
      </c>
      <c r="G49" s="142" t="s">
        <v>857</v>
      </c>
    </row>
    <row r="50" spans="3:7" ht="66" x14ac:dyDescent="0.15">
      <c r="C50" s="278"/>
      <c r="D50" s="281"/>
      <c r="E50" s="6" t="s">
        <v>613</v>
      </c>
      <c r="F50" s="143" t="s">
        <v>614</v>
      </c>
      <c r="G50" s="142" t="s">
        <v>615</v>
      </c>
    </row>
    <row r="51" spans="3:7" ht="16.5" x14ac:dyDescent="0.15">
      <c r="C51" s="278"/>
      <c r="D51" s="281"/>
      <c r="E51" s="6" t="s">
        <v>616</v>
      </c>
      <c r="F51" s="6" t="s">
        <v>617</v>
      </c>
      <c r="G51" s="142" t="s">
        <v>856</v>
      </c>
    </row>
    <row r="52" spans="3:7" ht="37.5" customHeight="1" x14ac:dyDescent="0.15">
      <c r="C52" s="278"/>
      <c r="D52" s="281"/>
      <c r="E52" s="6" t="s">
        <v>618</v>
      </c>
      <c r="F52" s="144" t="s">
        <v>619</v>
      </c>
      <c r="G52" s="142" t="s">
        <v>855</v>
      </c>
    </row>
    <row r="53" spans="3:7" ht="16.5" x14ac:dyDescent="0.15">
      <c r="C53" s="278"/>
      <c r="D53" s="281"/>
      <c r="E53" s="6"/>
      <c r="F53" s="144" t="s">
        <v>570</v>
      </c>
      <c r="G53" s="142" t="s">
        <v>598</v>
      </c>
    </row>
    <row r="54" spans="3:7" ht="16.5" x14ac:dyDescent="0.15">
      <c r="C54" s="278"/>
      <c r="D54" s="281"/>
      <c r="E54" s="6"/>
      <c r="F54" s="144" t="s">
        <v>620</v>
      </c>
      <c r="G54" s="142" t="s">
        <v>598</v>
      </c>
    </row>
    <row r="55" spans="3:7" ht="16.5" x14ac:dyDescent="0.15">
      <c r="C55" s="279"/>
      <c r="D55" s="281"/>
      <c r="E55" s="6"/>
      <c r="F55" s="144" t="s">
        <v>621</v>
      </c>
      <c r="G55" s="142" t="s">
        <v>598</v>
      </c>
    </row>
    <row r="56" spans="3:7" ht="16.5" x14ac:dyDescent="0.15">
      <c r="C56" s="127">
        <v>14</v>
      </c>
      <c r="D56" s="145" t="s">
        <v>622</v>
      </c>
      <c r="E56" s="282" t="s">
        <v>623</v>
      </c>
      <c r="F56" s="283"/>
      <c r="G56" s="284"/>
    </row>
    <row r="57" spans="3:7" ht="16.5" x14ac:dyDescent="0.15">
      <c r="C57" s="127">
        <v>15</v>
      </c>
      <c r="D57" s="145" t="s">
        <v>624</v>
      </c>
      <c r="E57" s="282" t="s">
        <v>625</v>
      </c>
      <c r="F57" s="283"/>
      <c r="G57" s="284"/>
    </row>
    <row r="58" spans="3:7" x14ac:dyDescent="0.15">
      <c r="C58" s="146"/>
      <c r="D58" s="147"/>
      <c r="E58" s="147"/>
      <c r="F58" s="148"/>
      <c r="G58" s="149"/>
    </row>
    <row r="59" spans="3:7" ht="99.75" customHeight="1" x14ac:dyDescent="0.15">
      <c r="C59" s="150" t="s">
        <v>626</v>
      </c>
      <c r="D59" s="285"/>
      <c r="E59" s="286"/>
      <c r="F59" s="286"/>
      <c r="G59" s="287"/>
    </row>
    <row r="61" spans="3:7" ht="100.5" customHeight="1" x14ac:dyDescent="0.1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B1" workbookViewId="0">
      <selection activeCell="A30" sqref="A30:XFD30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301" t="s">
        <v>307</v>
      </c>
      <c r="B2" s="303" t="s">
        <v>308</v>
      </c>
      <c r="C2" s="303" t="s">
        <v>309</v>
      </c>
      <c r="D2" s="303" t="s">
        <v>310</v>
      </c>
      <c r="E2" s="303" t="s">
        <v>311</v>
      </c>
      <c r="F2" s="299" t="s">
        <v>312</v>
      </c>
      <c r="G2" s="305" t="s">
        <v>313</v>
      </c>
      <c r="H2" s="303" t="s">
        <v>314</v>
      </c>
      <c r="I2" s="305" t="s">
        <v>315</v>
      </c>
      <c r="J2" s="307" t="s">
        <v>316</v>
      </c>
      <c r="K2" s="303" t="s">
        <v>317</v>
      </c>
      <c r="L2" s="299" t="s">
        <v>318</v>
      </c>
      <c r="M2" s="303" t="s">
        <v>319</v>
      </c>
      <c r="N2" s="303" t="s">
        <v>320</v>
      </c>
      <c r="O2" s="299" t="s">
        <v>321</v>
      </c>
      <c r="P2" s="303" t="s">
        <v>322</v>
      </c>
      <c r="Q2" s="303" t="s">
        <v>323</v>
      </c>
      <c r="R2" s="303"/>
      <c r="S2" s="305" t="s">
        <v>324</v>
      </c>
      <c r="T2" s="311" t="s">
        <v>325</v>
      </c>
      <c r="U2" s="313" t="s">
        <v>326</v>
      </c>
      <c r="V2" s="313" t="s">
        <v>327</v>
      </c>
    </row>
    <row r="3" spans="1:22" ht="17.25" thickBot="1" x14ac:dyDescent="0.2">
      <c r="A3" s="302"/>
      <c r="B3" s="304"/>
      <c r="C3" s="304"/>
      <c r="D3" s="304"/>
      <c r="E3" s="304"/>
      <c r="F3" s="300"/>
      <c r="G3" s="306"/>
      <c r="H3" s="304"/>
      <c r="I3" s="306"/>
      <c r="J3" s="308"/>
      <c r="K3" s="304"/>
      <c r="L3" s="300"/>
      <c r="M3" s="304"/>
      <c r="N3" s="304"/>
      <c r="O3" s="300"/>
      <c r="P3" s="304"/>
      <c r="Q3" s="90" t="s">
        <v>328</v>
      </c>
      <c r="R3" s="90" t="s">
        <v>329</v>
      </c>
      <c r="S3" s="306"/>
      <c r="T3" s="312"/>
      <c r="U3" s="314"/>
      <c r="V3" s="314"/>
    </row>
    <row r="4" spans="1:22" ht="17.25" thickTop="1" x14ac:dyDescent="0.3">
      <c r="A4" s="91">
        <v>20</v>
      </c>
      <c r="B4" s="92">
        <v>220</v>
      </c>
      <c r="C4" s="93">
        <f t="shared" ref="C4:C47" si="0">ROUNDUP(A4/(B4*0.9)/3^0.5*1000/0.9,0)</f>
        <v>65</v>
      </c>
      <c r="D4" s="93">
        <f t="shared" ref="D4:D47" si="1">ROUNDUP(B4*2^0.5*0.93,0)</f>
        <v>290</v>
      </c>
      <c r="E4" s="93">
        <f t="shared" ref="E4:E47" si="2">ROUNDUP(A4*1000/D4,0)</f>
        <v>69</v>
      </c>
      <c r="F4" s="94">
        <f t="shared" ref="F4:F47" si="3">30.8*100*C4/(1000*10)</f>
        <v>20.02</v>
      </c>
      <c r="G4" s="95">
        <f t="shared" ref="G4:G47" si="4">C4/(H4*I4)</f>
        <v>1.8571428571428572</v>
      </c>
      <c r="H4" s="92">
        <v>35</v>
      </c>
      <c r="I4" s="92">
        <v>1</v>
      </c>
      <c r="J4" s="92">
        <f t="shared" ref="J4:J47" si="5">L4*0.052</f>
        <v>3.9</v>
      </c>
      <c r="K4" s="92">
        <v>16</v>
      </c>
      <c r="L4" s="92">
        <v>75</v>
      </c>
      <c r="M4" s="92" t="s">
        <v>330</v>
      </c>
      <c r="N4" s="92" t="s">
        <v>331</v>
      </c>
      <c r="O4" s="96">
        <f t="shared" ref="O4:O47" si="6">SUM(C4*1.25)</f>
        <v>81.25</v>
      </c>
      <c r="P4" s="92" t="s">
        <v>332</v>
      </c>
      <c r="Q4" s="92" t="s">
        <v>333</v>
      </c>
      <c r="R4" s="92"/>
      <c r="S4" s="97" t="s">
        <v>334</v>
      </c>
      <c r="T4" s="97" t="s">
        <v>335</v>
      </c>
      <c r="U4" s="92" t="s">
        <v>336</v>
      </c>
      <c r="V4" s="98" t="s">
        <v>337</v>
      </c>
    </row>
    <row r="5" spans="1:22" ht="16.5" x14ac:dyDescent="0.3">
      <c r="A5" s="91">
        <v>20</v>
      </c>
      <c r="B5" s="92">
        <v>380</v>
      </c>
      <c r="C5" s="93">
        <f t="shared" si="0"/>
        <v>38</v>
      </c>
      <c r="D5" s="93">
        <f t="shared" si="1"/>
        <v>500</v>
      </c>
      <c r="E5" s="93">
        <f t="shared" si="2"/>
        <v>40</v>
      </c>
      <c r="F5" s="94">
        <f t="shared" si="3"/>
        <v>11.704000000000001</v>
      </c>
      <c r="G5" s="95">
        <f t="shared" si="4"/>
        <v>1.52</v>
      </c>
      <c r="H5" s="92">
        <v>25</v>
      </c>
      <c r="I5" s="92">
        <v>1</v>
      </c>
      <c r="J5" s="92">
        <f t="shared" si="5"/>
        <v>2.6</v>
      </c>
      <c r="K5" s="92">
        <v>16</v>
      </c>
      <c r="L5" s="92">
        <v>50</v>
      </c>
      <c r="M5" s="92" t="s">
        <v>338</v>
      </c>
      <c r="N5" s="92" t="s">
        <v>339</v>
      </c>
      <c r="O5" s="96">
        <f t="shared" si="6"/>
        <v>47.5</v>
      </c>
      <c r="P5" s="92" t="s">
        <v>340</v>
      </c>
      <c r="Q5" s="92" t="s">
        <v>333</v>
      </c>
      <c r="R5" s="92"/>
      <c r="S5" s="97" t="s">
        <v>334</v>
      </c>
      <c r="T5" s="97" t="s">
        <v>332</v>
      </c>
      <c r="U5" s="92" t="s">
        <v>341</v>
      </c>
      <c r="V5" s="98" t="s">
        <v>337</v>
      </c>
    </row>
    <row r="6" spans="1:22" ht="16.5" x14ac:dyDescent="0.3">
      <c r="A6" s="91">
        <v>20</v>
      </c>
      <c r="B6" s="92">
        <v>440</v>
      </c>
      <c r="C6" s="93">
        <f t="shared" si="0"/>
        <v>33</v>
      </c>
      <c r="D6" s="93">
        <f t="shared" si="1"/>
        <v>579</v>
      </c>
      <c r="E6" s="93">
        <f t="shared" si="2"/>
        <v>35</v>
      </c>
      <c r="F6" s="94">
        <f t="shared" si="3"/>
        <v>10.164</v>
      </c>
      <c r="G6" s="95">
        <f t="shared" si="4"/>
        <v>1.32</v>
      </c>
      <c r="H6" s="92">
        <v>25</v>
      </c>
      <c r="I6" s="92">
        <v>1</v>
      </c>
      <c r="J6" s="92">
        <f t="shared" si="5"/>
        <v>2.6</v>
      </c>
      <c r="K6" s="92">
        <v>16</v>
      </c>
      <c r="L6" s="92">
        <v>50</v>
      </c>
      <c r="M6" s="92" t="s">
        <v>338</v>
      </c>
      <c r="N6" s="92" t="s">
        <v>339</v>
      </c>
      <c r="O6" s="96">
        <f t="shared" si="6"/>
        <v>41.25</v>
      </c>
      <c r="P6" s="92" t="s">
        <v>340</v>
      </c>
      <c r="Q6" s="92" t="s">
        <v>333</v>
      </c>
      <c r="R6" s="92"/>
      <c r="S6" s="97" t="s">
        <v>334</v>
      </c>
      <c r="T6" s="97" t="s">
        <v>332</v>
      </c>
      <c r="U6" s="92" t="s">
        <v>341</v>
      </c>
      <c r="V6" s="98" t="s">
        <v>337</v>
      </c>
    </row>
    <row r="7" spans="1:22" ht="16.5" x14ac:dyDescent="0.3">
      <c r="A7" s="91">
        <v>30</v>
      </c>
      <c r="B7" s="92">
        <v>220</v>
      </c>
      <c r="C7" s="93">
        <f t="shared" si="0"/>
        <v>98</v>
      </c>
      <c r="D7" s="93">
        <f t="shared" si="1"/>
        <v>290</v>
      </c>
      <c r="E7" s="93">
        <f t="shared" si="2"/>
        <v>104</v>
      </c>
      <c r="F7" s="94">
        <f t="shared" si="3"/>
        <v>30.184000000000001</v>
      </c>
      <c r="G7" s="95">
        <f t="shared" si="4"/>
        <v>1.96</v>
      </c>
      <c r="H7" s="92">
        <v>50</v>
      </c>
      <c r="I7" s="92">
        <v>1</v>
      </c>
      <c r="J7" s="92">
        <f t="shared" si="5"/>
        <v>6.5</v>
      </c>
      <c r="K7" s="92">
        <v>16</v>
      </c>
      <c r="L7" s="92">
        <v>125</v>
      </c>
      <c r="M7" s="92" t="s">
        <v>342</v>
      </c>
      <c r="N7" s="92" t="s">
        <v>343</v>
      </c>
      <c r="O7" s="96">
        <f t="shared" si="6"/>
        <v>122.5</v>
      </c>
      <c r="P7" s="92" t="s">
        <v>344</v>
      </c>
      <c r="Q7" s="92" t="s">
        <v>333</v>
      </c>
      <c r="R7" s="99" t="s">
        <v>337</v>
      </c>
      <c r="S7" s="97" t="s">
        <v>334</v>
      </c>
      <c r="T7" s="97" t="s">
        <v>345</v>
      </c>
      <c r="U7" s="92" t="s">
        <v>341</v>
      </c>
      <c r="V7" s="98" t="s">
        <v>337</v>
      </c>
    </row>
    <row r="8" spans="1:22" ht="16.5" x14ac:dyDescent="0.3">
      <c r="A8" s="91">
        <v>30</v>
      </c>
      <c r="B8" s="92">
        <v>380</v>
      </c>
      <c r="C8" s="93">
        <f t="shared" si="0"/>
        <v>57</v>
      </c>
      <c r="D8" s="93">
        <f t="shared" si="1"/>
        <v>500</v>
      </c>
      <c r="E8" s="93">
        <f t="shared" si="2"/>
        <v>60</v>
      </c>
      <c r="F8" s="94">
        <f t="shared" si="3"/>
        <v>17.556000000000001</v>
      </c>
      <c r="G8" s="95">
        <f t="shared" si="4"/>
        <v>1.6285714285714286</v>
      </c>
      <c r="H8" s="92">
        <v>35</v>
      </c>
      <c r="I8" s="92">
        <v>1</v>
      </c>
      <c r="J8" s="92">
        <f t="shared" si="5"/>
        <v>3.9</v>
      </c>
      <c r="K8" s="92">
        <v>16</v>
      </c>
      <c r="L8" s="92">
        <v>75</v>
      </c>
      <c r="M8" s="92" t="s">
        <v>330</v>
      </c>
      <c r="N8" s="92" t="s">
        <v>331</v>
      </c>
      <c r="O8" s="96">
        <f t="shared" si="6"/>
        <v>71.25</v>
      </c>
      <c r="P8" s="92" t="s">
        <v>332</v>
      </c>
      <c r="Q8" s="92" t="s">
        <v>333</v>
      </c>
      <c r="R8" s="99" t="s">
        <v>337</v>
      </c>
      <c r="S8" s="97" t="s">
        <v>334</v>
      </c>
      <c r="T8" s="97" t="s">
        <v>332</v>
      </c>
      <c r="U8" s="92" t="s">
        <v>341</v>
      </c>
      <c r="V8" s="98" t="s">
        <v>337</v>
      </c>
    </row>
    <row r="9" spans="1:22" ht="16.5" x14ac:dyDescent="0.3">
      <c r="A9" s="91">
        <v>30</v>
      </c>
      <c r="B9" s="92">
        <v>440</v>
      </c>
      <c r="C9" s="93">
        <f t="shared" si="0"/>
        <v>49</v>
      </c>
      <c r="D9" s="93">
        <f t="shared" si="1"/>
        <v>579</v>
      </c>
      <c r="E9" s="93">
        <f t="shared" si="2"/>
        <v>52</v>
      </c>
      <c r="F9" s="94">
        <f t="shared" si="3"/>
        <v>15.092000000000001</v>
      </c>
      <c r="G9" s="95">
        <f t="shared" si="4"/>
        <v>1.4</v>
      </c>
      <c r="H9" s="92">
        <v>35</v>
      </c>
      <c r="I9" s="92">
        <v>1</v>
      </c>
      <c r="J9" s="92">
        <f t="shared" si="5"/>
        <v>3.9</v>
      </c>
      <c r="K9" s="92">
        <v>16</v>
      </c>
      <c r="L9" s="92">
        <v>75</v>
      </c>
      <c r="M9" s="92" t="s">
        <v>330</v>
      </c>
      <c r="N9" s="92" t="s">
        <v>331</v>
      </c>
      <c r="O9" s="96">
        <f t="shared" si="6"/>
        <v>61.25</v>
      </c>
      <c r="P9" s="92" t="s">
        <v>332</v>
      </c>
      <c r="Q9" s="92" t="s">
        <v>333</v>
      </c>
      <c r="R9" s="99" t="s">
        <v>337</v>
      </c>
      <c r="S9" s="97" t="s">
        <v>334</v>
      </c>
      <c r="T9" s="97" t="s">
        <v>332</v>
      </c>
      <c r="U9" s="92" t="s">
        <v>341</v>
      </c>
      <c r="V9" s="98" t="s">
        <v>337</v>
      </c>
    </row>
    <row r="10" spans="1:22" ht="16.5" x14ac:dyDescent="0.3">
      <c r="A10" s="91">
        <v>50</v>
      </c>
      <c r="B10" s="92">
        <v>220</v>
      </c>
      <c r="C10" s="93">
        <f t="shared" si="0"/>
        <v>162</v>
      </c>
      <c r="D10" s="93">
        <f t="shared" si="1"/>
        <v>290</v>
      </c>
      <c r="E10" s="93">
        <f t="shared" si="2"/>
        <v>173</v>
      </c>
      <c r="F10" s="94">
        <f t="shared" si="3"/>
        <v>49.896000000000001</v>
      </c>
      <c r="G10" s="95">
        <f t="shared" si="4"/>
        <v>2.3142857142857145</v>
      </c>
      <c r="H10" s="92">
        <v>70</v>
      </c>
      <c r="I10" s="92">
        <v>1</v>
      </c>
      <c r="J10" s="92">
        <f t="shared" si="5"/>
        <v>10.4</v>
      </c>
      <c r="K10" s="92">
        <v>16</v>
      </c>
      <c r="L10" s="92">
        <v>200</v>
      </c>
      <c r="M10" s="92" t="s">
        <v>346</v>
      </c>
      <c r="N10" s="92" t="s">
        <v>347</v>
      </c>
      <c r="O10" s="96">
        <f t="shared" si="6"/>
        <v>202.5</v>
      </c>
      <c r="P10" s="92" t="s">
        <v>348</v>
      </c>
      <c r="Q10" s="92" t="s">
        <v>349</v>
      </c>
      <c r="R10" s="99" t="s">
        <v>337</v>
      </c>
      <c r="S10" s="97" t="s">
        <v>350</v>
      </c>
      <c r="T10" s="97" t="s">
        <v>351</v>
      </c>
      <c r="U10" s="309" t="s">
        <v>352</v>
      </c>
      <c r="V10" s="310"/>
    </row>
    <row r="11" spans="1:22" ht="16.5" x14ac:dyDescent="0.3">
      <c r="A11" s="91">
        <v>50</v>
      </c>
      <c r="B11" s="92">
        <v>380</v>
      </c>
      <c r="C11" s="93">
        <f t="shared" si="0"/>
        <v>94</v>
      </c>
      <c r="D11" s="93">
        <f t="shared" si="1"/>
        <v>500</v>
      </c>
      <c r="E11" s="93">
        <f t="shared" si="2"/>
        <v>100</v>
      </c>
      <c r="F11" s="94">
        <f t="shared" si="3"/>
        <v>28.952000000000002</v>
      </c>
      <c r="G11" s="95">
        <f t="shared" si="4"/>
        <v>1.3428571428571427</v>
      </c>
      <c r="H11" s="92">
        <v>70</v>
      </c>
      <c r="I11" s="92">
        <v>1</v>
      </c>
      <c r="J11" s="92">
        <f t="shared" si="5"/>
        <v>6.5</v>
      </c>
      <c r="K11" s="92">
        <v>16</v>
      </c>
      <c r="L11" s="92">
        <v>125</v>
      </c>
      <c r="M11" s="92" t="s">
        <v>353</v>
      </c>
      <c r="N11" s="92" t="s">
        <v>343</v>
      </c>
      <c r="O11" s="96">
        <f t="shared" si="6"/>
        <v>117.5</v>
      </c>
      <c r="P11" s="92" t="s">
        <v>344</v>
      </c>
      <c r="Q11" s="92" t="s">
        <v>333</v>
      </c>
      <c r="R11" s="99" t="s">
        <v>337</v>
      </c>
      <c r="S11" s="97" t="s">
        <v>334</v>
      </c>
      <c r="T11" s="97" t="s">
        <v>345</v>
      </c>
      <c r="U11" s="92" t="s">
        <v>341</v>
      </c>
      <c r="V11" s="98" t="s">
        <v>337</v>
      </c>
    </row>
    <row r="12" spans="1:22" ht="16.5" x14ac:dyDescent="0.3">
      <c r="A12" s="91">
        <v>50</v>
      </c>
      <c r="B12" s="92">
        <v>440</v>
      </c>
      <c r="C12" s="93">
        <f t="shared" si="0"/>
        <v>81</v>
      </c>
      <c r="D12" s="93">
        <f t="shared" si="1"/>
        <v>579</v>
      </c>
      <c r="E12" s="93">
        <f t="shared" si="2"/>
        <v>87</v>
      </c>
      <c r="F12" s="94">
        <f t="shared" si="3"/>
        <v>24.948</v>
      </c>
      <c r="G12" s="95">
        <f t="shared" si="4"/>
        <v>1.1571428571428573</v>
      </c>
      <c r="H12" s="92">
        <v>70</v>
      </c>
      <c r="I12" s="92">
        <v>1</v>
      </c>
      <c r="J12" s="92">
        <f t="shared" si="5"/>
        <v>5.2</v>
      </c>
      <c r="K12" s="92">
        <v>16</v>
      </c>
      <c r="L12" s="92">
        <v>100</v>
      </c>
      <c r="M12" s="92" t="s">
        <v>353</v>
      </c>
      <c r="N12" s="92" t="s">
        <v>343</v>
      </c>
      <c r="O12" s="96">
        <f t="shared" si="6"/>
        <v>101.25</v>
      </c>
      <c r="P12" s="92" t="s">
        <v>344</v>
      </c>
      <c r="Q12" s="92" t="s">
        <v>333</v>
      </c>
      <c r="R12" s="99" t="s">
        <v>337</v>
      </c>
      <c r="S12" s="97" t="s">
        <v>334</v>
      </c>
      <c r="T12" s="97" t="s">
        <v>345</v>
      </c>
      <c r="U12" s="92" t="s">
        <v>341</v>
      </c>
      <c r="V12" s="98" t="s">
        <v>337</v>
      </c>
    </row>
    <row r="13" spans="1:22" ht="16.5" x14ac:dyDescent="0.3">
      <c r="A13" s="91">
        <v>75</v>
      </c>
      <c r="B13" s="92">
        <v>220</v>
      </c>
      <c r="C13" s="93">
        <f t="shared" si="0"/>
        <v>243</v>
      </c>
      <c r="D13" s="93">
        <f t="shared" si="1"/>
        <v>290</v>
      </c>
      <c r="E13" s="93">
        <f t="shared" si="2"/>
        <v>259</v>
      </c>
      <c r="F13" s="94">
        <f t="shared" si="3"/>
        <v>74.843999999999994</v>
      </c>
      <c r="G13" s="95">
        <f t="shared" si="4"/>
        <v>1.7357142857142858</v>
      </c>
      <c r="H13" s="92">
        <v>70</v>
      </c>
      <c r="I13" s="92">
        <v>2</v>
      </c>
      <c r="J13" s="92">
        <f t="shared" si="5"/>
        <v>15.6</v>
      </c>
      <c r="K13" s="92">
        <v>16</v>
      </c>
      <c r="L13" s="92">
        <v>300</v>
      </c>
      <c r="M13" s="92" t="s">
        <v>354</v>
      </c>
      <c r="N13" s="92" t="s">
        <v>355</v>
      </c>
      <c r="O13" s="96">
        <f t="shared" si="6"/>
        <v>303.75</v>
      </c>
      <c r="P13" s="92" t="s">
        <v>356</v>
      </c>
      <c r="Q13" s="92" t="s">
        <v>349</v>
      </c>
      <c r="R13" s="99" t="s">
        <v>337</v>
      </c>
      <c r="S13" s="97" t="s">
        <v>357</v>
      </c>
      <c r="T13" s="97" t="s">
        <v>356</v>
      </c>
      <c r="U13" s="309" t="s">
        <v>352</v>
      </c>
      <c r="V13" s="310"/>
    </row>
    <row r="14" spans="1:22" ht="16.5" x14ac:dyDescent="0.3">
      <c r="A14" s="91">
        <v>75</v>
      </c>
      <c r="B14" s="92">
        <v>380</v>
      </c>
      <c r="C14" s="93">
        <f t="shared" si="0"/>
        <v>141</v>
      </c>
      <c r="D14" s="93">
        <f t="shared" si="1"/>
        <v>500</v>
      </c>
      <c r="E14" s="93">
        <f t="shared" si="2"/>
        <v>150</v>
      </c>
      <c r="F14" s="94">
        <f t="shared" si="3"/>
        <v>43.427999999999997</v>
      </c>
      <c r="G14" s="95">
        <f t="shared" si="4"/>
        <v>2.0142857142857142</v>
      </c>
      <c r="H14" s="92">
        <v>70</v>
      </c>
      <c r="I14" s="92">
        <v>1</v>
      </c>
      <c r="J14" s="92">
        <f t="shared" si="5"/>
        <v>9.1</v>
      </c>
      <c r="K14" s="92">
        <v>16</v>
      </c>
      <c r="L14" s="92">
        <v>175</v>
      </c>
      <c r="M14" s="92" t="s">
        <v>346</v>
      </c>
      <c r="N14" s="92" t="s">
        <v>347</v>
      </c>
      <c r="O14" s="96">
        <f t="shared" si="6"/>
        <v>176.25</v>
      </c>
      <c r="P14" s="92" t="s">
        <v>348</v>
      </c>
      <c r="Q14" s="92" t="s">
        <v>349</v>
      </c>
      <c r="R14" s="99" t="s">
        <v>337</v>
      </c>
      <c r="S14" s="97" t="s">
        <v>357</v>
      </c>
      <c r="T14" s="97" t="s">
        <v>348</v>
      </c>
      <c r="U14" s="309" t="s">
        <v>352</v>
      </c>
      <c r="V14" s="310"/>
    </row>
    <row r="15" spans="1:22" ht="16.5" x14ac:dyDescent="0.3">
      <c r="A15" s="91">
        <v>75</v>
      </c>
      <c r="B15" s="92">
        <v>440</v>
      </c>
      <c r="C15" s="93">
        <f t="shared" si="0"/>
        <v>122</v>
      </c>
      <c r="D15" s="93">
        <f t="shared" si="1"/>
        <v>579</v>
      </c>
      <c r="E15" s="93">
        <f t="shared" si="2"/>
        <v>130</v>
      </c>
      <c r="F15" s="94">
        <f t="shared" si="3"/>
        <v>37.576000000000001</v>
      </c>
      <c r="G15" s="95">
        <f t="shared" si="4"/>
        <v>1.7428571428571429</v>
      </c>
      <c r="H15" s="92">
        <v>70</v>
      </c>
      <c r="I15" s="92">
        <v>1</v>
      </c>
      <c r="J15" s="92">
        <f t="shared" si="5"/>
        <v>7.8</v>
      </c>
      <c r="K15" s="92">
        <v>16</v>
      </c>
      <c r="L15" s="92">
        <v>150</v>
      </c>
      <c r="M15" s="92" t="s">
        <v>346</v>
      </c>
      <c r="N15" s="92" t="s">
        <v>347</v>
      </c>
      <c r="O15" s="96">
        <f t="shared" si="6"/>
        <v>152.5</v>
      </c>
      <c r="P15" s="92" t="s">
        <v>348</v>
      </c>
      <c r="Q15" s="92" t="s">
        <v>349</v>
      </c>
      <c r="R15" s="99" t="s">
        <v>337</v>
      </c>
      <c r="S15" s="97" t="s">
        <v>357</v>
      </c>
      <c r="T15" s="97" t="s">
        <v>348</v>
      </c>
      <c r="U15" s="309" t="s">
        <v>352</v>
      </c>
      <c r="V15" s="310"/>
    </row>
    <row r="16" spans="1:22" ht="16.5" x14ac:dyDescent="0.3">
      <c r="A16" s="91">
        <v>100</v>
      </c>
      <c r="B16" s="92">
        <v>380</v>
      </c>
      <c r="C16" s="93">
        <f t="shared" si="0"/>
        <v>188</v>
      </c>
      <c r="D16" s="93">
        <f t="shared" si="1"/>
        <v>500</v>
      </c>
      <c r="E16" s="93">
        <f t="shared" si="2"/>
        <v>200</v>
      </c>
      <c r="F16" s="94">
        <f t="shared" si="3"/>
        <v>57.904000000000003</v>
      </c>
      <c r="G16" s="95">
        <f t="shared" si="4"/>
        <v>1.9789473684210526</v>
      </c>
      <c r="H16" s="92">
        <v>95</v>
      </c>
      <c r="I16" s="92">
        <v>1</v>
      </c>
      <c r="J16" s="92">
        <f t="shared" si="5"/>
        <v>10.4</v>
      </c>
      <c r="K16" s="92">
        <v>16</v>
      </c>
      <c r="L16" s="92">
        <v>200</v>
      </c>
      <c r="M16" s="92" t="s">
        <v>346</v>
      </c>
      <c r="N16" s="92" t="s">
        <v>358</v>
      </c>
      <c r="O16" s="96">
        <f t="shared" si="6"/>
        <v>235</v>
      </c>
      <c r="P16" s="92" t="s">
        <v>359</v>
      </c>
      <c r="Q16" s="92" t="s">
        <v>349</v>
      </c>
      <c r="R16" s="99" t="s">
        <v>337</v>
      </c>
      <c r="S16" s="97" t="s">
        <v>357</v>
      </c>
      <c r="T16" s="97" t="s">
        <v>356</v>
      </c>
      <c r="U16" s="309" t="s">
        <v>352</v>
      </c>
      <c r="V16" s="310"/>
    </row>
    <row r="17" spans="1:22" ht="16.5" x14ac:dyDescent="0.3">
      <c r="A17" s="91">
        <v>100</v>
      </c>
      <c r="B17" s="92">
        <v>440</v>
      </c>
      <c r="C17" s="93">
        <f t="shared" si="0"/>
        <v>162</v>
      </c>
      <c r="D17" s="93">
        <f t="shared" si="1"/>
        <v>579</v>
      </c>
      <c r="E17" s="93">
        <f t="shared" si="2"/>
        <v>173</v>
      </c>
      <c r="F17" s="94">
        <f t="shared" si="3"/>
        <v>49.896000000000001</v>
      </c>
      <c r="G17" s="95">
        <f t="shared" si="4"/>
        <v>1.7052631578947368</v>
      </c>
      <c r="H17" s="92">
        <v>95</v>
      </c>
      <c r="I17" s="92">
        <v>1</v>
      </c>
      <c r="J17" s="92">
        <f t="shared" si="5"/>
        <v>10.4</v>
      </c>
      <c r="K17" s="92">
        <v>16</v>
      </c>
      <c r="L17" s="92">
        <v>200</v>
      </c>
      <c r="M17" s="92" t="s">
        <v>346</v>
      </c>
      <c r="N17" s="92" t="s">
        <v>358</v>
      </c>
      <c r="O17" s="96">
        <f t="shared" si="6"/>
        <v>202.5</v>
      </c>
      <c r="P17" s="92" t="s">
        <v>359</v>
      </c>
      <c r="Q17" s="92" t="s">
        <v>349</v>
      </c>
      <c r="R17" s="99" t="s">
        <v>337</v>
      </c>
      <c r="S17" s="97" t="s">
        <v>357</v>
      </c>
      <c r="T17" s="97" t="s">
        <v>356</v>
      </c>
      <c r="U17" s="309" t="s">
        <v>352</v>
      </c>
      <c r="V17" s="310"/>
    </row>
    <row r="18" spans="1:22" ht="16.5" x14ac:dyDescent="0.3">
      <c r="A18" s="91">
        <v>125</v>
      </c>
      <c r="B18" s="92">
        <v>380</v>
      </c>
      <c r="C18" s="93">
        <f t="shared" si="0"/>
        <v>235</v>
      </c>
      <c r="D18" s="93">
        <f t="shared" si="1"/>
        <v>500</v>
      </c>
      <c r="E18" s="93">
        <f t="shared" si="2"/>
        <v>250</v>
      </c>
      <c r="F18" s="94">
        <f t="shared" si="3"/>
        <v>72.38</v>
      </c>
      <c r="G18" s="95">
        <f t="shared" si="4"/>
        <v>1.6785714285714286</v>
      </c>
      <c r="H18" s="92">
        <v>70</v>
      </c>
      <c r="I18" s="92">
        <v>2</v>
      </c>
      <c r="J18" s="92">
        <f t="shared" si="5"/>
        <v>13</v>
      </c>
      <c r="K18" s="92">
        <v>16</v>
      </c>
      <c r="L18" s="92">
        <v>250</v>
      </c>
      <c r="M18" s="92" t="s">
        <v>354</v>
      </c>
      <c r="N18" s="92" t="s">
        <v>355</v>
      </c>
      <c r="O18" s="96">
        <f t="shared" si="6"/>
        <v>293.75</v>
      </c>
      <c r="P18" s="92" t="s">
        <v>356</v>
      </c>
      <c r="Q18" s="92" t="s">
        <v>349</v>
      </c>
      <c r="R18" s="99" t="s">
        <v>337</v>
      </c>
      <c r="S18" s="97" t="s">
        <v>360</v>
      </c>
      <c r="T18" s="97" t="s">
        <v>356</v>
      </c>
      <c r="U18" s="309" t="s">
        <v>352</v>
      </c>
      <c r="V18" s="310"/>
    </row>
    <row r="19" spans="1:22" ht="16.5" x14ac:dyDescent="0.3">
      <c r="A19" s="91">
        <v>125</v>
      </c>
      <c r="B19" s="92">
        <v>440</v>
      </c>
      <c r="C19" s="93">
        <f t="shared" si="0"/>
        <v>203</v>
      </c>
      <c r="D19" s="93">
        <f t="shared" si="1"/>
        <v>579</v>
      </c>
      <c r="E19" s="93">
        <f t="shared" si="2"/>
        <v>216</v>
      </c>
      <c r="F19" s="94">
        <f t="shared" si="3"/>
        <v>62.524000000000001</v>
      </c>
      <c r="G19" s="95">
        <f t="shared" si="4"/>
        <v>1.45</v>
      </c>
      <c r="H19" s="92">
        <v>70</v>
      </c>
      <c r="I19" s="92">
        <v>2</v>
      </c>
      <c r="J19" s="92">
        <f t="shared" si="5"/>
        <v>13</v>
      </c>
      <c r="K19" s="92">
        <v>16</v>
      </c>
      <c r="L19" s="92">
        <v>250</v>
      </c>
      <c r="M19" s="92" t="s">
        <v>361</v>
      </c>
      <c r="N19" s="92" t="s">
        <v>358</v>
      </c>
      <c r="O19" s="96">
        <f t="shared" si="6"/>
        <v>253.75</v>
      </c>
      <c r="P19" s="92" t="s">
        <v>356</v>
      </c>
      <c r="Q19" s="92" t="s">
        <v>349</v>
      </c>
      <c r="R19" s="99" t="s">
        <v>337</v>
      </c>
      <c r="S19" s="97" t="s">
        <v>360</v>
      </c>
      <c r="T19" s="97" t="s">
        <v>356</v>
      </c>
      <c r="U19" s="309" t="s">
        <v>352</v>
      </c>
      <c r="V19" s="310"/>
    </row>
    <row r="20" spans="1:22" ht="16.5" x14ac:dyDescent="0.3">
      <c r="A20" s="91">
        <v>150</v>
      </c>
      <c r="B20" s="92">
        <v>380</v>
      </c>
      <c r="C20" s="93">
        <f t="shared" si="0"/>
        <v>282</v>
      </c>
      <c r="D20" s="93">
        <f t="shared" si="1"/>
        <v>500</v>
      </c>
      <c r="E20" s="93">
        <f t="shared" si="2"/>
        <v>300</v>
      </c>
      <c r="F20" s="94">
        <f t="shared" si="3"/>
        <v>86.855999999999995</v>
      </c>
      <c r="G20" s="95">
        <f t="shared" si="4"/>
        <v>2.0142857142857142</v>
      </c>
      <c r="H20" s="92">
        <v>70</v>
      </c>
      <c r="I20" s="92">
        <v>2</v>
      </c>
      <c r="J20" s="92">
        <f t="shared" si="5"/>
        <v>15.6</v>
      </c>
      <c r="K20" s="92">
        <v>25</v>
      </c>
      <c r="L20" s="92">
        <v>300</v>
      </c>
      <c r="M20" s="92" t="s">
        <v>354</v>
      </c>
      <c r="N20" s="92" t="s">
        <v>355</v>
      </c>
      <c r="O20" s="96">
        <f t="shared" si="6"/>
        <v>352.5</v>
      </c>
      <c r="P20" s="92" t="s">
        <v>362</v>
      </c>
      <c r="Q20" s="92" t="s">
        <v>349</v>
      </c>
      <c r="R20" s="99" t="s">
        <v>337</v>
      </c>
      <c r="S20" s="97" t="s">
        <v>360</v>
      </c>
      <c r="T20" s="97" t="s">
        <v>362</v>
      </c>
      <c r="U20" s="309" t="s">
        <v>352</v>
      </c>
      <c r="V20" s="310"/>
    </row>
    <row r="21" spans="1:22" ht="16.5" x14ac:dyDescent="0.3">
      <c r="A21" s="91">
        <v>150</v>
      </c>
      <c r="B21" s="92">
        <v>440</v>
      </c>
      <c r="C21" s="93">
        <f t="shared" si="0"/>
        <v>243</v>
      </c>
      <c r="D21" s="93">
        <f t="shared" si="1"/>
        <v>579</v>
      </c>
      <c r="E21" s="93">
        <f t="shared" si="2"/>
        <v>260</v>
      </c>
      <c r="F21" s="94">
        <f t="shared" si="3"/>
        <v>74.843999999999994</v>
      </c>
      <c r="G21" s="95">
        <f t="shared" si="4"/>
        <v>1.7357142857142858</v>
      </c>
      <c r="H21" s="92">
        <v>70</v>
      </c>
      <c r="I21" s="92">
        <v>2</v>
      </c>
      <c r="J21" s="92">
        <f t="shared" si="5"/>
        <v>15.6</v>
      </c>
      <c r="K21" s="92">
        <v>25</v>
      </c>
      <c r="L21" s="92">
        <v>300</v>
      </c>
      <c r="M21" s="92" t="s">
        <v>354</v>
      </c>
      <c r="N21" s="92" t="s">
        <v>355</v>
      </c>
      <c r="O21" s="96">
        <f t="shared" si="6"/>
        <v>303.75</v>
      </c>
      <c r="P21" s="92" t="s">
        <v>356</v>
      </c>
      <c r="Q21" s="92" t="s">
        <v>349</v>
      </c>
      <c r="R21" s="99" t="s">
        <v>337</v>
      </c>
      <c r="S21" s="97" t="s">
        <v>360</v>
      </c>
      <c r="T21" s="97" t="s">
        <v>362</v>
      </c>
      <c r="U21" s="309" t="s">
        <v>352</v>
      </c>
      <c r="V21" s="310"/>
    </row>
    <row r="22" spans="1:22" ht="16.5" x14ac:dyDescent="0.3">
      <c r="A22" s="91">
        <v>200</v>
      </c>
      <c r="B22" s="92">
        <v>380</v>
      </c>
      <c r="C22" s="93">
        <f t="shared" si="0"/>
        <v>376</v>
      </c>
      <c r="D22" s="93">
        <f t="shared" si="1"/>
        <v>500</v>
      </c>
      <c r="E22" s="93">
        <f t="shared" si="2"/>
        <v>400</v>
      </c>
      <c r="F22" s="94">
        <f t="shared" si="3"/>
        <v>115.80800000000001</v>
      </c>
      <c r="G22" s="95">
        <f t="shared" si="4"/>
        <v>1.9789473684210526</v>
      </c>
      <c r="H22" s="92">
        <v>95</v>
      </c>
      <c r="I22" s="92">
        <v>2</v>
      </c>
      <c r="J22" s="92">
        <f t="shared" si="5"/>
        <v>20.8</v>
      </c>
      <c r="K22" s="92">
        <v>25</v>
      </c>
      <c r="L22" s="92">
        <v>400</v>
      </c>
      <c r="M22" s="92" t="s">
        <v>363</v>
      </c>
      <c r="N22" s="92" t="s">
        <v>355</v>
      </c>
      <c r="O22" s="96">
        <f t="shared" si="6"/>
        <v>470</v>
      </c>
      <c r="P22" s="92" t="s">
        <v>364</v>
      </c>
      <c r="Q22" s="92" t="s">
        <v>365</v>
      </c>
      <c r="R22" s="99" t="s">
        <v>337</v>
      </c>
      <c r="S22" s="97" t="s">
        <v>360</v>
      </c>
      <c r="T22" s="97" t="s">
        <v>364</v>
      </c>
      <c r="U22" s="309" t="s">
        <v>352</v>
      </c>
      <c r="V22" s="310"/>
    </row>
    <row r="23" spans="1:22" ht="16.5" x14ac:dyDescent="0.3">
      <c r="A23" s="91">
        <v>200</v>
      </c>
      <c r="B23" s="92">
        <v>440</v>
      </c>
      <c r="C23" s="93">
        <f t="shared" si="0"/>
        <v>324</v>
      </c>
      <c r="D23" s="93">
        <f t="shared" si="1"/>
        <v>579</v>
      </c>
      <c r="E23" s="93">
        <f t="shared" si="2"/>
        <v>346</v>
      </c>
      <c r="F23" s="94">
        <f t="shared" si="3"/>
        <v>99.792000000000002</v>
      </c>
      <c r="G23" s="95">
        <f t="shared" si="4"/>
        <v>1.7052631578947368</v>
      </c>
      <c r="H23" s="92">
        <v>95</v>
      </c>
      <c r="I23" s="92">
        <v>2</v>
      </c>
      <c r="J23" s="92">
        <f t="shared" si="5"/>
        <v>20.8</v>
      </c>
      <c r="K23" s="92">
        <v>25</v>
      </c>
      <c r="L23" s="92">
        <v>400</v>
      </c>
      <c r="M23" s="92" t="s">
        <v>363</v>
      </c>
      <c r="N23" s="92" t="s">
        <v>355</v>
      </c>
      <c r="O23" s="96">
        <f t="shared" si="6"/>
        <v>405</v>
      </c>
      <c r="P23" s="92" t="s">
        <v>362</v>
      </c>
      <c r="Q23" s="92" t="s">
        <v>365</v>
      </c>
      <c r="R23" s="99" t="s">
        <v>337</v>
      </c>
      <c r="S23" s="97" t="s">
        <v>360</v>
      </c>
      <c r="T23" s="97" t="s">
        <v>364</v>
      </c>
      <c r="U23" s="309" t="s">
        <v>352</v>
      </c>
      <c r="V23" s="310"/>
    </row>
    <row r="24" spans="1:22" ht="16.5" x14ac:dyDescent="0.3">
      <c r="A24" s="91">
        <v>250</v>
      </c>
      <c r="B24" s="92">
        <v>380</v>
      </c>
      <c r="C24" s="93">
        <f t="shared" si="0"/>
        <v>469</v>
      </c>
      <c r="D24" s="93">
        <f t="shared" si="1"/>
        <v>500</v>
      </c>
      <c r="E24" s="93">
        <f t="shared" si="2"/>
        <v>500</v>
      </c>
      <c r="F24" s="94">
        <f t="shared" si="3"/>
        <v>144.452</v>
      </c>
      <c r="G24" s="95">
        <f t="shared" si="4"/>
        <v>1.9541666666666666</v>
      </c>
      <c r="H24" s="92">
        <v>120</v>
      </c>
      <c r="I24" s="92">
        <v>2</v>
      </c>
      <c r="J24" s="92">
        <f t="shared" si="5"/>
        <v>26</v>
      </c>
      <c r="K24" s="92">
        <v>35</v>
      </c>
      <c r="L24" s="92">
        <v>500</v>
      </c>
      <c r="M24" s="92" t="s">
        <v>366</v>
      </c>
      <c r="N24" s="92" t="s">
        <v>367</v>
      </c>
      <c r="O24" s="96">
        <f t="shared" si="6"/>
        <v>586.25</v>
      </c>
      <c r="P24" s="92" t="s">
        <v>368</v>
      </c>
      <c r="Q24" s="92" t="s">
        <v>365</v>
      </c>
      <c r="R24" s="99" t="s">
        <v>337</v>
      </c>
      <c r="S24" s="97" t="s">
        <v>369</v>
      </c>
      <c r="T24" s="97" t="s">
        <v>368</v>
      </c>
      <c r="U24" s="309" t="s">
        <v>352</v>
      </c>
      <c r="V24" s="310"/>
    </row>
    <row r="25" spans="1:22" ht="16.5" x14ac:dyDescent="0.3">
      <c r="A25" s="91">
        <v>250</v>
      </c>
      <c r="B25" s="92">
        <v>440</v>
      </c>
      <c r="C25" s="93">
        <f t="shared" si="0"/>
        <v>405</v>
      </c>
      <c r="D25" s="93">
        <f t="shared" si="1"/>
        <v>579</v>
      </c>
      <c r="E25" s="93">
        <f t="shared" si="2"/>
        <v>432</v>
      </c>
      <c r="F25" s="94">
        <f t="shared" si="3"/>
        <v>124.74</v>
      </c>
      <c r="G25" s="95">
        <f t="shared" si="4"/>
        <v>1.6875</v>
      </c>
      <c r="H25" s="92">
        <v>120</v>
      </c>
      <c r="I25" s="92">
        <v>2</v>
      </c>
      <c r="J25" s="92">
        <f t="shared" si="5"/>
        <v>26</v>
      </c>
      <c r="K25" s="92">
        <v>35</v>
      </c>
      <c r="L25" s="92">
        <v>500</v>
      </c>
      <c r="M25" s="92" t="s">
        <v>363</v>
      </c>
      <c r="N25" s="92" t="s">
        <v>370</v>
      </c>
      <c r="O25" s="96">
        <f t="shared" si="6"/>
        <v>506.25</v>
      </c>
      <c r="P25" s="92" t="s">
        <v>364</v>
      </c>
      <c r="Q25" s="92" t="s">
        <v>365</v>
      </c>
      <c r="R25" s="99" t="s">
        <v>337</v>
      </c>
      <c r="S25" s="97" t="s">
        <v>369</v>
      </c>
      <c r="T25" s="97" t="s">
        <v>368</v>
      </c>
      <c r="U25" s="309" t="s">
        <v>352</v>
      </c>
      <c r="V25" s="310"/>
    </row>
    <row r="26" spans="1:22" ht="16.5" x14ac:dyDescent="0.3">
      <c r="A26" s="91">
        <v>300</v>
      </c>
      <c r="B26" s="92">
        <v>380</v>
      </c>
      <c r="C26" s="93">
        <f t="shared" si="0"/>
        <v>563</v>
      </c>
      <c r="D26" s="93">
        <f t="shared" si="1"/>
        <v>500</v>
      </c>
      <c r="E26" s="93">
        <f t="shared" si="2"/>
        <v>600</v>
      </c>
      <c r="F26" s="94">
        <f t="shared" si="3"/>
        <v>173.404</v>
      </c>
      <c r="G26" s="95">
        <f t="shared" si="4"/>
        <v>1.8766666666666667</v>
      </c>
      <c r="H26" s="92">
        <v>150</v>
      </c>
      <c r="I26" s="92">
        <v>2</v>
      </c>
      <c r="J26" s="92">
        <f t="shared" si="5"/>
        <v>32.76</v>
      </c>
      <c r="K26" s="92">
        <v>35</v>
      </c>
      <c r="L26" s="92">
        <v>630</v>
      </c>
      <c r="M26" s="92" t="s">
        <v>371</v>
      </c>
      <c r="N26" s="92" t="s">
        <v>367</v>
      </c>
      <c r="O26" s="96">
        <f t="shared" si="6"/>
        <v>703.75</v>
      </c>
      <c r="P26" s="92" t="s">
        <v>372</v>
      </c>
      <c r="Q26" s="92" t="s">
        <v>365</v>
      </c>
      <c r="R26" s="99" t="s">
        <v>337</v>
      </c>
      <c r="S26" s="97" t="s">
        <v>369</v>
      </c>
      <c r="T26" s="97" t="s">
        <v>372</v>
      </c>
      <c r="U26" s="309" t="s">
        <v>352</v>
      </c>
      <c r="V26" s="310"/>
    </row>
    <row r="27" spans="1:22" ht="16.5" x14ac:dyDescent="0.3">
      <c r="A27" s="91">
        <v>300</v>
      </c>
      <c r="B27" s="92">
        <v>440</v>
      </c>
      <c r="C27" s="93">
        <f t="shared" si="0"/>
        <v>486</v>
      </c>
      <c r="D27" s="93">
        <f t="shared" si="1"/>
        <v>579</v>
      </c>
      <c r="E27" s="93">
        <f t="shared" si="2"/>
        <v>519</v>
      </c>
      <c r="F27" s="94">
        <f t="shared" si="3"/>
        <v>149.68799999999999</v>
      </c>
      <c r="G27" s="95">
        <f t="shared" si="4"/>
        <v>1.62</v>
      </c>
      <c r="H27" s="92">
        <v>150</v>
      </c>
      <c r="I27" s="92">
        <v>2</v>
      </c>
      <c r="J27" s="92">
        <f t="shared" si="5"/>
        <v>32.76</v>
      </c>
      <c r="K27" s="92">
        <v>35</v>
      </c>
      <c r="L27" s="92">
        <v>630</v>
      </c>
      <c r="M27" s="92" t="s">
        <v>371</v>
      </c>
      <c r="N27" s="92" t="s">
        <v>367</v>
      </c>
      <c r="O27" s="96">
        <f t="shared" si="6"/>
        <v>607.5</v>
      </c>
      <c r="P27" s="92" t="s">
        <v>368</v>
      </c>
      <c r="Q27" s="92" t="s">
        <v>365</v>
      </c>
      <c r="R27" s="99" t="s">
        <v>337</v>
      </c>
      <c r="S27" s="97" t="s">
        <v>369</v>
      </c>
      <c r="T27" s="97" t="s">
        <v>372</v>
      </c>
      <c r="U27" s="309" t="s">
        <v>352</v>
      </c>
      <c r="V27" s="310"/>
    </row>
    <row r="28" spans="1:22" ht="16.5" x14ac:dyDescent="0.3">
      <c r="A28" s="91">
        <v>350</v>
      </c>
      <c r="B28" s="92">
        <v>440</v>
      </c>
      <c r="C28" s="93">
        <f t="shared" si="0"/>
        <v>567</v>
      </c>
      <c r="D28" s="93">
        <f t="shared" si="1"/>
        <v>579</v>
      </c>
      <c r="E28" s="93">
        <f t="shared" si="2"/>
        <v>605</v>
      </c>
      <c r="F28" s="94">
        <f t="shared" si="3"/>
        <v>174.636</v>
      </c>
      <c r="G28" s="95">
        <f t="shared" si="4"/>
        <v>1.89</v>
      </c>
      <c r="H28" s="92">
        <v>150</v>
      </c>
      <c r="I28" s="92">
        <v>2</v>
      </c>
      <c r="J28" s="92">
        <f t="shared" si="5"/>
        <v>36.4</v>
      </c>
      <c r="K28" s="92">
        <v>50</v>
      </c>
      <c r="L28" s="92">
        <v>700</v>
      </c>
      <c r="M28" s="92" t="s">
        <v>373</v>
      </c>
      <c r="N28" s="92" t="s">
        <v>374</v>
      </c>
      <c r="O28" s="96">
        <f t="shared" si="6"/>
        <v>708.75</v>
      </c>
      <c r="P28" s="92" t="s">
        <v>372</v>
      </c>
      <c r="Q28" s="92" t="s">
        <v>365</v>
      </c>
      <c r="R28" s="99" t="s">
        <v>337</v>
      </c>
      <c r="S28" s="97" t="s">
        <v>369</v>
      </c>
      <c r="T28" s="97" t="s">
        <v>372</v>
      </c>
      <c r="U28" s="309" t="s">
        <v>352</v>
      </c>
      <c r="V28" s="310"/>
    </row>
    <row r="29" spans="1:22" ht="16.5" x14ac:dyDescent="0.3">
      <c r="A29" s="91">
        <v>400</v>
      </c>
      <c r="B29" s="92">
        <v>440</v>
      </c>
      <c r="C29" s="93">
        <f t="shared" si="0"/>
        <v>648</v>
      </c>
      <c r="D29" s="93">
        <f t="shared" si="1"/>
        <v>579</v>
      </c>
      <c r="E29" s="93">
        <f t="shared" si="2"/>
        <v>691</v>
      </c>
      <c r="F29" s="94">
        <f t="shared" si="3"/>
        <v>199.584</v>
      </c>
      <c r="G29" s="95">
        <f t="shared" si="4"/>
        <v>2.16</v>
      </c>
      <c r="H29" s="92">
        <v>150</v>
      </c>
      <c r="I29" s="92">
        <v>2</v>
      </c>
      <c r="J29" s="92">
        <f t="shared" si="5"/>
        <v>41.6</v>
      </c>
      <c r="K29" s="92">
        <v>50</v>
      </c>
      <c r="L29" s="92">
        <v>800</v>
      </c>
      <c r="M29" s="92" t="s">
        <v>373</v>
      </c>
      <c r="N29" s="92" t="s">
        <v>374</v>
      </c>
      <c r="O29" s="96">
        <f t="shared" si="6"/>
        <v>810</v>
      </c>
      <c r="P29" s="92" t="s">
        <v>372</v>
      </c>
      <c r="Q29" s="92" t="s">
        <v>375</v>
      </c>
      <c r="R29" s="99" t="s">
        <v>337</v>
      </c>
      <c r="S29" s="97" t="s">
        <v>369</v>
      </c>
      <c r="T29" s="97" t="s">
        <v>376</v>
      </c>
      <c r="U29" s="309" t="s">
        <v>352</v>
      </c>
      <c r="V29" s="310"/>
    </row>
    <row r="30" spans="1:22" ht="16.5" x14ac:dyDescent="0.3">
      <c r="A30" s="91">
        <v>450</v>
      </c>
      <c r="B30" s="92">
        <v>440</v>
      </c>
      <c r="C30" s="93">
        <f t="shared" si="0"/>
        <v>729</v>
      </c>
      <c r="D30" s="93">
        <f t="shared" si="1"/>
        <v>579</v>
      </c>
      <c r="E30" s="93">
        <f t="shared" si="2"/>
        <v>778</v>
      </c>
      <c r="F30" s="94"/>
      <c r="G30" s="95">
        <f t="shared" si="4"/>
        <v>1.9702702702702704</v>
      </c>
      <c r="H30" s="92">
        <v>185</v>
      </c>
      <c r="I30" s="92">
        <v>2</v>
      </c>
      <c r="J30" s="92">
        <f t="shared" si="5"/>
        <v>41.6</v>
      </c>
      <c r="K30" s="92">
        <v>50</v>
      </c>
      <c r="L30" s="92">
        <v>800</v>
      </c>
      <c r="M30" s="92" t="s">
        <v>373</v>
      </c>
      <c r="N30" s="92" t="s">
        <v>377</v>
      </c>
      <c r="O30" s="96">
        <f t="shared" si="6"/>
        <v>911.25</v>
      </c>
      <c r="P30" s="92" t="s">
        <v>378</v>
      </c>
      <c r="Q30" s="92" t="s">
        <v>375</v>
      </c>
      <c r="R30" s="99" t="s">
        <v>337</v>
      </c>
      <c r="S30" s="97" t="s">
        <v>369</v>
      </c>
      <c r="T30" s="97" t="s">
        <v>376</v>
      </c>
      <c r="U30" s="309" t="s">
        <v>352</v>
      </c>
      <c r="V30" s="310"/>
    </row>
    <row r="31" spans="1:22" ht="16.5" x14ac:dyDescent="0.3">
      <c r="A31" s="91">
        <v>500</v>
      </c>
      <c r="B31" s="92">
        <v>440</v>
      </c>
      <c r="C31" s="93">
        <f t="shared" si="0"/>
        <v>810</v>
      </c>
      <c r="D31" s="93">
        <f t="shared" si="1"/>
        <v>579</v>
      </c>
      <c r="E31" s="93">
        <f t="shared" si="2"/>
        <v>864</v>
      </c>
      <c r="F31" s="94">
        <f t="shared" si="3"/>
        <v>249.48</v>
      </c>
      <c r="G31" s="95">
        <f t="shared" si="4"/>
        <v>2.189189189189189</v>
      </c>
      <c r="H31" s="92">
        <v>185</v>
      </c>
      <c r="I31" s="92">
        <v>2</v>
      </c>
      <c r="J31" s="92">
        <f t="shared" si="5"/>
        <v>52</v>
      </c>
      <c r="K31" s="92">
        <v>70</v>
      </c>
      <c r="L31" s="92">
        <v>1000</v>
      </c>
      <c r="M31" s="92" t="s">
        <v>379</v>
      </c>
      <c r="N31" s="92" t="s">
        <v>380</v>
      </c>
      <c r="O31" s="96">
        <f t="shared" si="6"/>
        <v>1012.5</v>
      </c>
      <c r="P31" s="92" t="s">
        <v>376</v>
      </c>
      <c r="Q31" s="92" t="s">
        <v>375</v>
      </c>
      <c r="R31" s="99" t="s">
        <v>337</v>
      </c>
      <c r="S31" s="97" t="s">
        <v>381</v>
      </c>
      <c r="T31" s="97" t="s">
        <v>382</v>
      </c>
      <c r="U31" s="309" t="s">
        <v>352</v>
      </c>
      <c r="V31" s="310"/>
    </row>
    <row r="32" spans="1:22" ht="16.5" x14ac:dyDescent="0.3">
      <c r="A32" s="91">
        <v>600</v>
      </c>
      <c r="B32" s="92">
        <v>460</v>
      </c>
      <c r="C32" s="93">
        <f t="shared" si="0"/>
        <v>930</v>
      </c>
      <c r="D32" s="93">
        <f t="shared" si="1"/>
        <v>606</v>
      </c>
      <c r="E32" s="93">
        <f t="shared" si="2"/>
        <v>991</v>
      </c>
      <c r="F32" s="94">
        <f t="shared" si="3"/>
        <v>286.44</v>
      </c>
      <c r="G32" s="95">
        <f t="shared" si="4"/>
        <v>1.6756756756756757</v>
      </c>
      <c r="H32" s="92">
        <v>185</v>
      </c>
      <c r="I32" s="92">
        <v>3</v>
      </c>
      <c r="J32" s="92">
        <f t="shared" si="5"/>
        <v>62.4</v>
      </c>
      <c r="K32" s="92">
        <v>70</v>
      </c>
      <c r="L32" s="92">
        <v>1200</v>
      </c>
      <c r="M32" s="92" t="s">
        <v>383</v>
      </c>
      <c r="N32" s="92" t="s">
        <v>380</v>
      </c>
      <c r="O32" s="96">
        <f t="shared" si="6"/>
        <v>1162.5</v>
      </c>
      <c r="P32" s="92" t="s">
        <v>384</v>
      </c>
      <c r="Q32" s="92" t="s">
        <v>375</v>
      </c>
      <c r="R32" s="99" t="s">
        <v>337</v>
      </c>
      <c r="S32" s="97" t="s">
        <v>385</v>
      </c>
      <c r="T32" s="97" t="s">
        <v>382</v>
      </c>
      <c r="U32" s="92" t="s">
        <v>386</v>
      </c>
      <c r="V32" s="100" t="s">
        <v>387</v>
      </c>
    </row>
    <row r="33" spans="1:22" ht="16.5" x14ac:dyDescent="0.3">
      <c r="A33" s="91">
        <v>700</v>
      </c>
      <c r="B33" s="92">
        <v>460</v>
      </c>
      <c r="C33" s="93">
        <f t="shared" si="0"/>
        <v>1085</v>
      </c>
      <c r="D33" s="93">
        <f t="shared" si="1"/>
        <v>606</v>
      </c>
      <c r="E33" s="93">
        <f t="shared" si="2"/>
        <v>1156</v>
      </c>
      <c r="F33" s="94">
        <f t="shared" si="3"/>
        <v>334.18</v>
      </c>
      <c r="G33" s="95">
        <f t="shared" si="4"/>
        <v>1.4662162162162162</v>
      </c>
      <c r="H33" s="92">
        <v>185</v>
      </c>
      <c r="I33" s="92">
        <v>4</v>
      </c>
      <c r="J33" s="92">
        <f t="shared" si="5"/>
        <v>65</v>
      </c>
      <c r="K33" s="92">
        <v>70</v>
      </c>
      <c r="L33" s="92">
        <v>1250</v>
      </c>
      <c r="M33" s="92" t="s">
        <v>388</v>
      </c>
      <c r="N33" s="92" t="s">
        <v>389</v>
      </c>
      <c r="O33" s="96">
        <f t="shared" si="6"/>
        <v>1356.25</v>
      </c>
      <c r="P33" s="99" t="s">
        <v>390</v>
      </c>
      <c r="Q33" s="92" t="s">
        <v>391</v>
      </c>
      <c r="R33" s="99" t="s">
        <v>390</v>
      </c>
      <c r="S33" s="97" t="s">
        <v>392</v>
      </c>
      <c r="T33" s="97" t="s">
        <v>393</v>
      </c>
      <c r="U33" s="92" t="s">
        <v>394</v>
      </c>
      <c r="V33" s="100" t="s">
        <v>395</v>
      </c>
    </row>
    <row r="34" spans="1:22" ht="16.5" x14ac:dyDescent="0.3">
      <c r="A34" s="91">
        <v>750</v>
      </c>
      <c r="B34" s="92">
        <v>460</v>
      </c>
      <c r="C34" s="93">
        <f t="shared" si="0"/>
        <v>1163</v>
      </c>
      <c r="D34" s="93">
        <f t="shared" si="1"/>
        <v>606</v>
      </c>
      <c r="E34" s="93">
        <f t="shared" si="2"/>
        <v>1238</v>
      </c>
      <c r="F34" s="94">
        <f t="shared" si="3"/>
        <v>358.20400000000001</v>
      </c>
      <c r="G34" s="95">
        <f t="shared" si="4"/>
        <v>1.5716216216216217</v>
      </c>
      <c r="H34" s="92">
        <v>185</v>
      </c>
      <c r="I34" s="92">
        <v>4</v>
      </c>
      <c r="J34" s="92">
        <f t="shared" si="5"/>
        <v>65</v>
      </c>
      <c r="K34" s="92">
        <v>70</v>
      </c>
      <c r="L34" s="92">
        <v>1250</v>
      </c>
      <c r="M34" s="92" t="s">
        <v>388</v>
      </c>
      <c r="N34" s="92" t="s">
        <v>389</v>
      </c>
      <c r="O34" s="96">
        <f t="shared" si="6"/>
        <v>1453.75</v>
      </c>
      <c r="P34" s="99" t="s">
        <v>390</v>
      </c>
      <c r="Q34" s="92" t="s">
        <v>391</v>
      </c>
      <c r="R34" s="99" t="s">
        <v>390</v>
      </c>
      <c r="S34" s="97" t="s">
        <v>392</v>
      </c>
      <c r="T34" s="97" t="s">
        <v>396</v>
      </c>
      <c r="U34" s="92" t="s">
        <v>394</v>
      </c>
      <c r="V34" s="100" t="s">
        <v>395</v>
      </c>
    </row>
    <row r="35" spans="1:22" ht="16.5" x14ac:dyDescent="0.3">
      <c r="A35" s="91">
        <v>800</v>
      </c>
      <c r="B35" s="92">
        <v>460</v>
      </c>
      <c r="C35" s="93">
        <f t="shared" si="0"/>
        <v>1240</v>
      </c>
      <c r="D35" s="93">
        <f t="shared" si="1"/>
        <v>606</v>
      </c>
      <c r="E35" s="93">
        <f t="shared" si="2"/>
        <v>1321</v>
      </c>
      <c r="F35" s="94">
        <f t="shared" si="3"/>
        <v>381.92</v>
      </c>
      <c r="G35" s="95">
        <f t="shared" si="4"/>
        <v>1.6756756756756757</v>
      </c>
      <c r="H35" s="92">
        <v>185</v>
      </c>
      <c r="I35" s="92">
        <v>4</v>
      </c>
      <c r="J35" s="92">
        <f t="shared" si="5"/>
        <v>83.2</v>
      </c>
      <c r="K35" s="92">
        <v>95</v>
      </c>
      <c r="L35" s="92">
        <v>1600</v>
      </c>
      <c r="M35" s="92" t="s">
        <v>397</v>
      </c>
      <c r="N35" s="92" t="s">
        <v>398</v>
      </c>
      <c r="O35" s="96">
        <f t="shared" si="6"/>
        <v>1550</v>
      </c>
      <c r="P35" s="99" t="s">
        <v>390</v>
      </c>
      <c r="Q35" s="92" t="s">
        <v>391</v>
      </c>
      <c r="R35" s="99" t="s">
        <v>390</v>
      </c>
      <c r="S35" s="97" t="s">
        <v>392</v>
      </c>
      <c r="T35" s="97" t="s">
        <v>396</v>
      </c>
      <c r="U35" s="92" t="s">
        <v>394</v>
      </c>
      <c r="V35" s="100" t="s">
        <v>395</v>
      </c>
    </row>
    <row r="36" spans="1:22" ht="16.5" x14ac:dyDescent="0.3">
      <c r="A36" s="91">
        <v>1000</v>
      </c>
      <c r="B36" s="92">
        <v>460</v>
      </c>
      <c r="C36" s="93">
        <f t="shared" si="0"/>
        <v>1550</v>
      </c>
      <c r="D36" s="93">
        <f t="shared" si="1"/>
        <v>606</v>
      </c>
      <c r="E36" s="93">
        <f t="shared" si="2"/>
        <v>1651</v>
      </c>
      <c r="F36" s="94">
        <f t="shared" si="3"/>
        <v>477.4</v>
      </c>
      <c r="G36" s="95">
        <f t="shared" si="4"/>
        <v>1.6145833333333333</v>
      </c>
      <c r="H36" s="92">
        <v>240</v>
      </c>
      <c r="I36" s="92">
        <v>4</v>
      </c>
      <c r="J36" s="92">
        <f t="shared" si="5"/>
        <v>104</v>
      </c>
      <c r="K36" s="92">
        <v>120</v>
      </c>
      <c r="L36" s="92">
        <v>2000</v>
      </c>
      <c r="M36" s="92" t="s">
        <v>399</v>
      </c>
      <c r="N36" s="92" t="s">
        <v>400</v>
      </c>
      <c r="O36" s="96">
        <f t="shared" si="6"/>
        <v>1937.5</v>
      </c>
      <c r="P36" s="99" t="s">
        <v>390</v>
      </c>
      <c r="Q36" s="92" t="s">
        <v>401</v>
      </c>
      <c r="R36" s="92" t="s">
        <v>402</v>
      </c>
      <c r="S36" s="97" t="s">
        <v>392</v>
      </c>
      <c r="T36" s="97" t="s">
        <v>403</v>
      </c>
      <c r="U36" s="92" t="s">
        <v>394</v>
      </c>
      <c r="V36" s="100" t="s">
        <v>395</v>
      </c>
    </row>
    <row r="37" spans="1:22" ht="16.5" x14ac:dyDescent="0.3">
      <c r="A37" s="91">
        <v>1200</v>
      </c>
      <c r="B37" s="92">
        <v>460</v>
      </c>
      <c r="C37" s="93">
        <f t="shared" si="0"/>
        <v>1860</v>
      </c>
      <c r="D37" s="93">
        <f t="shared" si="1"/>
        <v>606</v>
      </c>
      <c r="E37" s="93">
        <f t="shared" si="2"/>
        <v>1981</v>
      </c>
      <c r="F37" s="94">
        <f t="shared" si="3"/>
        <v>572.88</v>
      </c>
      <c r="G37" s="95">
        <f t="shared" si="4"/>
        <v>1.55</v>
      </c>
      <c r="H37" s="92">
        <v>300</v>
      </c>
      <c r="I37" s="92">
        <v>4</v>
      </c>
      <c r="J37" s="92">
        <f t="shared" si="5"/>
        <v>130</v>
      </c>
      <c r="K37" s="92">
        <v>150</v>
      </c>
      <c r="L37" s="92">
        <v>2500</v>
      </c>
      <c r="M37" s="92" t="s">
        <v>404</v>
      </c>
      <c r="N37" s="92" t="s">
        <v>405</v>
      </c>
      <c r="O37" s="96">
        <f t="shared" si="6"/>
        <v>2325</v>
      </c>
      <c r="P37" s="99" t="s">
        <v>390</v>
      </c>
      <c r="Q37" s="92"/>
      <c r="R37" s="92" t="s">
        <v>402</v>
      </c>
      <c r="S37" s="97" t="s">
        <v>392</v>
      </c>
      <c r="T37" s="97" t="s">
        <v>403</v>
      </c>
      <c r="U37" s="92" t="s">
        <v>394</v>
      </c>
      <c r="V37" s="100" t="s">
        <v>406</v>
      </c>
    </row>
    <row r="38" spans="1:22" ht="16.5" x14ac:dyDescent="0.3">
      <c r="A38" s="91">
        <v>1250</v>
      </c>
      <c r="B38" s="92">
        <v>460</v>
      </c>
      <c r="C38" s="93">
        <f t="shared" si="0"/>
        <v>1937</v>
      </c>
      <c r="D38" s="93">
        <f t="shared" si="1"/>
        <v>606</v>
      </c>
      <c r="E38" s="93">
        <f t="shared" si="2"/>
        <v>2063</v>
      </c>
      <c r="F38" s="94">
        <f t="shared" si="3"/>
        <v>596.596</v>
      </c>
      <c r="G38" s="95">
        <f t="shared" si="4"/>
        <v>1.6141666666666667</v>
      </c>
      <c r="H38" s="92">
        <v>300</v>
      </c>
      <c r="I38" s="92">
        <v>4</v>
      </c>
      <c r="J38" s="92">
        <f t="shared" si="5"/>
        <v>130</v>
      </c>
      <c r="K38" s="92">
        <v>150</v>
      </c>
      <c r="L38" s="92">
        <v>2500</v>
      </c>
      <c r="M38" s="92" t="s">
        <v>407</v>
      </c>
      <c r="N38" s="92" t="s">
        <v>408</v>
      </c>
      <c r="O38" s="96">
        <f t="shared" si="6"/>
        <v>2421.25</v>
      </c>
      <c r="P38" s="99" t="s">
        <v>409</v>
      </c>
      <c r="Q38" s="92"/>
      <c r="R38" s="92" t="s">
        <v>410</v>
      </c>
      <c r="S38" s="97" t="s">
        <v>411</v>
      </c>
      <c r="T38" s="97" t="s">
        <v>412</v>
      </c>
      <c r="U38" s="92" t="s">
        <v>413</v>
      </c>
      <c r="V38" s="100" t="s">
        <v>406</v>
      </c>
    </row>
    <row r="39" spans="1:22" ht="16.5" x14ac:dyDescent="0.3">
      <c r="A39" s="91">
        <v>1500</v>
      </c>
      <c r="B39" s="92">
        <v>460</v>
      </c>
      <c r="C39" s="93">
        <f t="shared" si="0"/>
        <v>2325</v>
      </c>
      <c r="D39" s="93">
        <f t="shared" si="1"/>
        <v>606</v>
      </c>
      <c r="E39" s="93">
        <f t="shared" si="2"/>
        <v>2476</v>
      </c>
      <c r="F39" s="94">
        <f t="shared" si="3"/>
        <v>716.1</v>
      </c>
      <c r="G39" s="95">
        <f t="shared" si="4"/>
        <v>1.55</v>
      </c>
      <c r="H39" s="92">
        <v>300</v>
      </c>
      <c r="I39" s="92">
        <v>5</v>
      </c>
      <c r="J39" s="92">
        <f t="shared" si="5"/>
        <v>130</v>
      </c>
      <c r="K39" s="92">
        <v>150</v>
      </c>
      <c r="L39" s="92">
        <v>2500</v>
      </c>
      <c r="M39" s="92" t="s">
        <v>407</v>
      </c>
      <c r="N39" s="92" t="s">
        <v>408</v>
      </c>
      <c r="O39" s="96">
        <f t="shared" si="6"/>
        <v>2906.25</v>
      </c>
      <c r="P39" s="99" t="s">
        <v>409</v>
      </c>
      <c r="Q39" s="92" t="s">
        <v>414</v>
      </c>
      <c r="R39" s="92" t="s">
        <v>410</v>
      </c>
      <c r="S39" s="97" t="s">
        <v>411</v>
      </c>
      <c r="T39" s="97" t="s">
        <v>415</v>
      </c>
      <c r="U39" s="92" t="s">
        <v>394</v>
      </c>
      <c r="V39" s="100" t="s">
        <v>416</v>
      </c>
    </row>
    <row r="40" spans="1:22" ht="16.5" x14ac:dyDescent="0.3">
      <c r="A40" s="91">
        <v>1500</v>
      </c>
      <c r="B40" s="92">
        <v>650</v>
      </c>
      <c r="C40" s="93">
        <f t="shared" si="0"/>
        <v>1645</v>
      </c>
      <c r="D40" s="93">
        <f t="shared" si="1"/>
        <v>855</v>
      </c>
      <c r="E40" s="93">
        <f t="shared" si="2"/>
        <v>1755</v>
      </c>
      <c r="F40" s="94">
        <f t="shared" si="3"/>
        <v>506.66</v>
      </c>
      <c r="G40" s="95">
        <f t="shared" si="4"/>
        <v>1.7135416666666667</v>
      </c>
      <c r="H40" s="92">
        <v>240</v>
      </c>
      <c r="I40" s="92">
        <v>4</v>
      </c>
      <c r="J40" s="92">
        <f t="shared" si="5"/>
        <v>104</v>
      </c>
      <c r="K40" s="92">
        <v>120</v>
      </c>
      <c r="L40" s="92">
        <v>2000</v>
      </c>
      <c r="M40" s="92" t="s">
        <v>399</v>
      </c>
      <c r="N40" s="92" t="s">
        <v>400</v>
      </c>
      <c r="O40" s="96">
        <f t="shared" si="6"/>
        <v>2056.25</v>
      </c>
      <c r="P40" s="99" t="s">
        <v>390</v>
      </c>
      <c r="Q40" s="92"/>
      <c r="R40" s="92" t="s">
        <v>402</v>
      </c>
      <c r="S40" s="97" t="s">
        <v>392</v>
      </c>
      <c r="T40" s="97" t="s">
        <v>403</v>
      </c>
      <c r="U40" s="92" t="s">
        <v>394</v>
      </c>
      <c r="V40" s="100" t="s">
        <v>416</v>
      </c>
    </row>
    <row r="41" spans="1:22" ht="16.5" x14ac:dyDescent="0.3">
      <c r="A41" s="91">
        <v>1600</v>
      </c>
      <c r="B41" s="92">
        <v>690</v>
      </c>
      <c r="C41" s="93">
        <f>ROUNDUP(A41/(B41*0.9)/3^0.5*1000/0.9,0)</f>
        <v>1653</v>
      </c>
      <c r="D41" s="93">
        <f>ROUNDUP(B41*2^0.5*0.93,0)</f>
        <v>908</v>
      </c>
      <c r="E41" s="93">
        <f>ROUNDUP(A41*1000/D41,0)</f>
        <v>1763</v>
      </c>
      <c r="F41" s="94">
        <f>30.8*100*C41/(1000*10)</f>
        <v>509.12400000000002</v>
      </c>
      <c r="G41" s="95">
        <f>C41/(H41*I41)</f>
        <v>1.721875</v>
      </c>
      <c r="H41" s="92">
        <v>240</v>
      </c>
      <c r="I41" s="92">
        <v>4</v>
      </c>
      <c r="J41" s="92">
        <f>L41*0.052</f>
        <v>104</v>
      </c>
      <c r="K41" s="92">
        <v>120</v>
      </c>
      <c r="L41" s="92">
        <v>2000</v>
      </c>
      <c r="M41" s="92" t="s">
        <v>399</v>
      </c>
      <c r="N41" s="92" t="s">
        <v>400</v>
      </c>
      <c r="O41" s="96">
        <f>SUM(C41*1.25)</f>
        <v>2066.25</v>
      </c>
      <c r="P41" s="99" t="s">
        <v>337</v>
      </c>
      <c r="Q41" s="92"/>
      <c r="R41" s="92" t="s">
        <v>402</v>
      </c>
      <c r="S41" s="97" t="s">
        <v>392</v>
      </c>
      <c r="T41" s="97" t="s">
        <v>403</v>
      </c>
      <c r="U41" s="92" t="s">
        <v>386</v>
      </c>
      <c r="V41" s="100" t="s">
        <v>493</v>
      </c>
    </row>
    <row r="42" spans="1:22" ht="16.5" x14ac:dyDescent="0.3">
      <c r="A42" s="91">
        <v>2000</v>
      </c>
      <c r="B42" s="92">
        <v>460</v>
      </c>
      <c r="C42" s="93">
        <f t="shared" si="0"/>
        <v>3100</v>
      </c>
      <c r="D42" s="93">
        <f t="shared" si="1"/>
        <v>606</v>
      </c>
      <c r="E42" s="93">
        <f t="shared" si="2"/>
        <v>3301</v>
      </c>
      <c r="F42" s="94">
        <f t="shared" si="3"/>
        <v>954.8</v>
      </c>
      <c r="G42" s="95">
        <f t="shared" si="4"/>
        <v>1.2916666666666667</v>
      </c>
      <c r="H42" s="92">
        <v>400</v>
      </c>
      <c r="I42" s="92">
        <v>6</v>
      </c>
      <c r="J42" s="92">
        <f t="shared" si="5"/>
        <v>166.4</v>
      </c>
      <c r="K42" s="92">
        <v>185</v>
      </c>
      <c r="L42" s="92">
        <v>3200</v>
      </c>
      <c r="M42" s="92" t="s">
        <v>417</v>
      </c>
      <c r="N42" s="92" t="s">
        <v>418</v>
      </c>
      <c r="O42" s="96">
        <f t="shared" si="6"/>
        <v>3875</v>
      </c>
      <c r="P42" s="99" t="s">
        <v>390</v>
      </c>
      <c r="Q42" s="92" t="s">
        <v>419</v>
      </c>
      <c r="R42" s="92" t="s">
        <v>420</v>
      </c>
      <c r="S42" s="97" t="s">
        <v>392</v>
      </c>
      <c r="T42" s="97" t="s">
        <v>421</v>
      </c>
      <c r="U42" s="92" t="s">
        <v>394</v>
      </c>
      <c r="V42" s="100" t="s">
        <v>422</v>
      </c>
    </row>
    <row r="43" spans="1:22" ht="16.5" x14ac:dyDescent="0.3">
      <c r="A43" s="91">
        <v>2000</v>
      </c>
      <c r="B43" s="92">
        <v>650</v>
      </c>
      <c r="C43" s="93">
        <f t="shared" si="0"/>
        <v>2194</v>
      </c>
      <c r="D43" s="93">
        <f t="shared" si="1"/>
        <v>855</v>
      </c>
      <c r="E43" s="93">
        <f t="shared" si="2"/>
        <v>2340</v>
      </c>
      <c r="F43" s="94">
        <f t="shared" si="3"/>
        <v>675.75199999999995</v>
      </c>
      <c r="G43" s="95">
        <f t="shared" si="4"/>
        <v>1.4626666666666666</v>
      </c>
      <c r="H43" s="92">
        <v>300</v>
      </c>
      <c r="I43" s="92">
        <v>5</v>
      </c>
      <c r="J43" s="92">
        <f t="shared" si="5"/>
        <v>130</v>
      </c>
      <c r="K43" s="92">
        <v>150</v>
      </c>
      <c r="L43" s="92">
        <v>2500</v>
      </c>
      <c r="M43" s="92" t="s">
        <v>404</v>
      </c>
      <c r="N43" s="92" t="s">
        <v>405</v>
      </c>
      <c r="O43" s="96">
        <f t="shared" si="6"/>
        <v>2742.5</v>
      </c>
      <c r="P43" s="99" t="s">
        <v>390</v>
      </c>
      <c r="Q43" s="92" t="s">
        <v>423</v>
      </c>
      <c r="R43" s="92" t="s">
        <v>402</v>
      </c>
      <c r="S43" s="97" t="s">
        <v>392</v>
      </c>
      <c r="T43" s="97" t="s">
        <v>415</v>
      </c>
      <c r="U43" s="92" t="s">
        <v>394</v>
      </c>
      <c r="V43" s="100" t="s">
        <v>416</v>
      </c>
    </row>
    <row r="44" spans="1:22" ht="16.5" x14ac:dyDescent="0.3">
      <c r="A44" s="91">
        <v>2500</v>
      </c>
      <c r="B44" s="92">
        <v>460</v>
      </c>
      <c r="C44" s="93">
        <f t="shared" si="0"/>
        <v>3874</v>
      </c>
      <c r="D44" s="93">
        <f t="shared" si="1"/>
        <v>606</v>
      </c>
      <c r="E44" s="93">
        <f t="shared" si="2"/>
        <v>4126</v>
      </c>
      <c r="F44" s="94">
        <f t="shared" si="3"/>
        <v>1193.192</v>
      </c>
      <c r="G44" s="95">
        <f t="shared" si="4"/>
        <v>1.6141666666666667</v>
      </c>
      <c r="H44" s="92">
        <v>400</v>
      </c>
      <c r="I44" s="92">
        <v>6</v>
      </c>
      <c r="J44" s="92">
        <f t="shared" si="5"/>
        <v>208</v>
      </c>
      <c r="K44" s="92">
        <v>240</v>
      </c>
      <c r="L44" s="92">
        <v>4000</v>
      </c>
      <c r="M44" s="92" t="s">
        <v>424</v>
      </c>
      <c r="N44" s="92" t="s">
        <v>418</v>
      </c>
      <c r="O44" s="96">
        <f t="shared" si="6"/>
        <v>4842.5</v>
      </c>
      <c r="P44" s="99" t="s">
        <v>390</v>
      </c>
      <c r="Q44" s="92" t="s">
        <v>419</v>
      </c>
      <c r="R44" s="92" t="s">
        <v>420</v>
      </c>
      <c r="S44" s="97" t="s">
        <v>392</v>
      </c>
      <c r="T44" s="97" t="s">
        <v>425</v>
      </c>
      <c r="U44" s="92" t="s">
        <v>394</v>
      </c>
      <c r="V44" s="100" t="s">
        <v>422</v>
      </c>
    </row>
    <row r="45" spans="1:22" ht="16.5" x14ac:dyDescent="0.3">
      <c r="A45" s="101">
        <v>2500</v>
      </c>
      <c r="B45" s="92">
        <v>650</v>
      </c>
      <c r="C45" s="93">
        <f t="shared" si="0"/>
        <v>2742</v>
      </c>
      <c r="D45" s="93">
        <f t="shared" si="1"/>
        <v>855</v>
      </c>
      <c r="E45" s="93">
        <f t="shared" si="2"/>
        <v>2924</v>
      </c>
      <c r="F45" s="102"/>
      <c r="G45" s="95">
        <f t="shared" si="4"/>
        <v>1.1425000000000001</v>
      </c>
      <c r="H45" s="92">
        <v>400</v>
      </c>
      <c r="I45" s="92">
        <v>6</v>
      </c>
      <c r="J45" s="92">
        <f t="shared" si="5"/>
        <v>166.4</v>
      </c>
      <c r="K45" s="92">
        <v>185</v>
      </c>
      <c r="L45" s="92">
        <v>3200</v>
      </c>
      <c r="M45" s="92" t="s">
        <v>417</v>
      </c>
      <c r="N45" s="92" t="s">
        <v>418</v>
      </c>
      <c r="O45" s="96">
        <f t="shared" si="6"/>
        <v>3427.5</v>
      </c>
      <c r="P45" s="99" t="s">
        <v>390</v>
      </c>
      <c r="Q45" s="92" t="s">
        <v>419</v>
      </c>
      <c r="R45" s="92" t="s">
        <v>420</v>
      </c>
      <c r="S45" s="97" t="s">
        <v>392</v>
      </c>
      <c r="T45" s="97" t="s">
        <v>421</v>
      </c>
      <c r="U45" s="92" t="s">
        <v>394</v>
      </c>
      <c r="V45" s="100" t="s">
        <v>422</v>
      </c>
    </row>
    <row r="46" spans="1:22" ht="16.5" x14ac:dyDescent="0.3">
      <c r="A46" s="101">
        <v>3000</v>
      </c>
      <c r="B46" s="103">
        <v>460</v>
      </c>
      <c r="C46" s="104">
        <f>ROUNDUP(A46/(B46*0.9)/3^0.5*1000/0.9,0)</f>
        <v>4649</v>
      </c>
      <c r="D46" s="104">
        <f t="shared" si="1"/>
        <v>606</v>
      </c>
      <c r="E46" s="104">
        <f t="shared" si="2"/>
        <v>4951</v>
      </c>
      <c r="F46" s="102">
        <f>30.8*100*C46/(1000*10)</f>
        <v>1431.8920000000001</v>
      </c>
      <c r="G46" s="105">
        <f t="shared" si="4"/>
        <v>1.5496666666666667</v>
      </c>
      <c r="H46" s="103">
        <v>500</v>
      </c>
      <c r="I46" s="103">
        <v>6</v>
      </c>
      <c r="J46" s="103">
        <f t="shared" si="5"/>
        <v>208</v>
      </c>
      <c r="K46" s="103">
        <v>240</v>
      </c>
      <c r="L46" s="103">
        <v>4000</v>
      </c>
      <c r="M46" s="103" t="s">
        <v>424</v>
      </c>
      <c r="N46" s="103" t="s">
        <v>418</v>
      </c>
      <c r="O46" s="106">
        <f t="shared" si="6"/>
        <v>5811.25</v>
      </c>
      <c r="P46" s="107" t="s">
        <v>390</v>
      </c>
      <c r="Q46" s="103" t="s">
        <v>419</v>
      </c>
      <c r="R46" s="103" t="s">
        <v>420</v>
      </c>
      <c r="S46" s="97" t="s">
        <v>392</v>
      </c>
      <c r="T46" s="108" t="s">
        <v>426</v>
      </c>
      <c r="U46" s="103" t="s">
        <v>413</v>
      </c>
      <c r="V46" s="109" t="s">
        <v>427</v>
      </c>
    </row>
    <row r="47" spans="1:22" ht="17.25" thickBot="1" x14ac:dyDescent="0.35">
      <c r="A47" s="110">
        <v>3000</v>
      </c>
      <c r="B47" s="111">
        <v>650</v>
      </c>
      <c r="C47" s="112">
        <f t="shared" si="0"/>
        <v>3290</v>
      </c>
      <c r="D47" s="112">
        <f t="shared" si="1"/>
        <v>855</v>
      </c>
      <c r="E47" s="112">
        <f t="shared" si="2"/>
        <v>3509</v>
      </c>
      <c r="F47" s="113">
        <f t="shared" si="3"/>
        <v>1013.32</v>
      </c>
      <c r="G47" s="114">
        <f t="shared" si="4"/>
        <v>1.3708333333333333</v>
      </c>
      <c r="H47" s="111">
        <v>400</v>
      </c>
      <c r="I47" s="111">
        <v>6</v>
      </c>
      <c r="J47" s="111">
        <f t="shared" si="5"/>
        <v>166.4</v>
      </c>
      <c r="K47" s="111">
        <v>185</v>
      </c>
      <c r="L47" s="111">
        <v>3200</v>
      </c>
      <c r="M47" s="111" t="s">
        <v>428</v>
      </c>
      <c r="N47" s="111" t="s">
        <v>429</v>
      </c>
      <c r="O47" s="115">
        <f t="shared" si="6"/>
        <v>4112.5</v>
      </c>
      <c r="P47" s="116" t="s">
        <v>430</v>
      </c>
      <c r="Q47" s="111" t="s">
        <v>419</v>
      </c>
      <c r="R47" s="111" t="s">
        <v>431</v>
      </c>
      <c r="S47" s="117" t="s">
        <v>432</v>
      </c>
      <c r="T47" s="111" t="s">
        <v>433</v>
      </c>
      <c r="U47" s="111" t="s">
        <v>386</v>
      </c>
      <c r="V47" s="118" t="s">
        <v>427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workbookViewId="0">
      <selection activeCell="K4" sqref="K4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315" t="s">
        <v>632</v>
      </c>
      <c r="C2" s="317" t="s">
        <v>633</v>
      </c>
      <c r="D2" s="317"/>
      <c r="E2" s="317"/>
      <c r="F2" s="317"/>
      <c r="G2" s="317"/>
      <c r="H2" s="317"/>
      <c r="I2" s="317"/>
      <c r="J2" s="317"/>
      <c r="K2" s="317"/>
      <c r="L2" s="318" t="s">
        <v>634</v>
      </c>
      <c r="M2" s="318"/>
      <c r="N2" s="318"/>
      <c r="O2" s="319" t="s">
        <v>635</v>
      </c>
      <c r="P2" s="319"/>
      <c r="Q2" s="319"/>
      <c r="R2" s="320" t="s">
        <v>636</v>
      </c>
      <c r="S2" s="320"/>
      <c r="T2" s="321"/>
    </row>
    <row r="3" spans="2:20" ht="16.5" x14ac:dyDescent="0.15">
      <c r="B3" s="316"/>
      <c r="C3" s="151" t="s">
        <v>637</v>
      </c>
      <c r="D3" s="152" t="s">
        <v>638</v>
      </c>
      <c r="E3" s="152" t="s">
        <v>639</v>
      </c>
      <c r="F3" s="152" t="s">
        <v>640</v>
      </c>
      <c r="G3" s="152" t="s">
        <v>641</v>
      </c>
      <c r="H3" s="152" t="s">
        <v>642</v>
      </c>
      <c r="I3" s="153" t="s">
        <v>643</v>
      </c>
      <c r="J3" s="153" t="s">
        <v>644</v>
      </c>
      <c r="K3" s="153" t="s">
        <v>645</v>
      </c>
      <c r="L3" s="154" t="s">
        <v>646</v>
      </c>
      <c r="M3" s="155" t="s">
        <v>647</v>
      </c>
      <c r="N3" s="156" t="s">
        <v>648</v>
      </c>
      <c r="O3" s="157" t="s">
        <v>649</v>
      </c>
      <c r="P3" s="158" t="s">
        <v>650</v>
      </c>
      <c r="Q3" s="159" t="s">
        <v>651</v>
      </c>
      <c r="R3" s="160" t="s">
        <v>646</v>
      </c>
      <c r="S3" s="161" t="s">
        <v>647</v>
      </c>
      <c r="T3" s="162" t="s">
        <v>648</v>
      </c>
    </row>
    <row r="4" spans="2:20" x14ac:dyDescent="0.15">
      <c r="B4" s="163">
        <v>43593</v>
      </c>
      <c r="C4" s="164">
        <v>339</v>
      </c>
      <c r="D4" s="165">
        <v>566</v>
      </c>
      <c r="E4" s="166">
        <v>598</v>
      </c>
      <c r="F4" s="166">
        <v>2.13</v>
      </c>
      <c r="G4" s="167">
        <v>1</v>
      </c>
      <c r="H4" s="165">
        <v>1592</v>
      </c>
      <c r="I4" s="168">
        <v>30.2</v>
      </c>
      <c r="J4" s="169">
        <f>COS(PI()*I4/180)</f>
        <v>0.86427480195370476</v>
      </c>
      <c r="K4" s="170">
        <f>(C4*1000)/(H4*J4*D4*0.9)*100</f>
        <v>48.366631606162493</v>
      </c>
      <c r="L4" s="171">
        <v>200</v>
      </c>
      <c r="M4" s="172">
        <f t="shared" ref="M4:M18" si="0">(L4/C4)^0.5*H4</f>
        <v>1222.807833246969</v>
      </c>
      <c r="N4" s="173">
        <f>(L4*1000)/(M4*J4*D4*0.9)*100</f>
        <v>37.150185927001218</v>
      </c>
      <c r="O4" s="174">
        <v>11</v>
      </c>
      <c r="P4" s="175">
        <f t="shared" ref="P4:P18" si="1">G4/O4*H4</f>
        <v>144.72727272727272</v>
      </c>
      <c r="Q4" s="176">
        <f>(C4*1000)/(P4*J4*D4*0.9)*100</f>
        <v>532.03294766778731</v>
      </c>
      <c r="R4" s="177">
        <v>100</v>
      </c>
      <c r="S4" s="178">
        <f t="shared" ref="S4:S18" si="2">(R4/C4)^0.5*P4</f>
        <v>78.605064634269169</v>
      </c>
      <c r="T4" s="179">
        <f>(R4*1000)/(S4*J4*D4*0.9)*100</f>
        <v>288.96063230455962</v>
      </c>
    </row>
    <row r="5" spans="2:20" x14ac:dyDescent="0.15">
      <c r="B5" s="163"/>
      <c r="C5" s="180">
        <v>40</v>
      </c>
      <c r="D5" s="181">
        <v>566</v>
      </c>
      <c r="E5" s="182">
        <v>70.599999999999994</v>
      </c>
      <c r="F5" s="182">
        <v>17.34</v>
      </c>
      <c r="G5" s="183">
        <v>12</v>
      </c>
      <c r="H5" s="181">
        <v>127</v>
      </c>
      <c r="I5" s="184">
        <v>30</v>
      </c>
      <c r="J5" s="185">
        <f t="shared" ref="J5:J18" si="3">COS(PI()*I5/180)</f>
        <v>0.86602540378443871</v>
      </c>
      <c r="K5" s="186">
        <f t="shared" ref="K5:K18" si="4">(C5*1000)/(H5*J5*D5*0.9)*100</f>
        <v>71.394819186954635</v>
      </c>
      <c r="L5" s="187">
        <v>78</v>
      </c>
      <c r="M5" s="188">
        <f t="shared" si="0"/>
        <v>177.34584855586556</v>
      </c>
      <c r="N5" s="189">
        <f t="shared" ref="N5:N18" si="5">(L5*1000)/(M5*J5*D5*0.9)*100</f>
        <v>99.697439300811496</v>
      </c>
      <c r="O5" s="190">
        <v>10</v>
      </c>
      <c r="P5" s="191">
        <f t="shared" si="1"/>
        <v>152.4</v>
      </c>
      <c r="Q5" s="192">
        <f t="shared" ref="Q5:Q18" si="6">(C5*1000)/(P5*J5*D5*0.9)*100</f>
        <v>59.49568265579552</v>
      </c>
      <c r="R5" s="193">
        <v>100</v>
      </c>
      <c r="S5" s="194">
        <f t="shared" si="2"/>
        <v>240.96555770483053</v>
      </c>
      <c r="T5" s="195">
        <f t="shared" ref="T5:T18" si="7">(R5*1000)/(S5*J5*D5*0.9)*100</f>
        <v>94.07093406944476</v>
      </c>
    </row>
    <row r="6" spans="2:20" x14ac:dyDescent="0.15">
      <c r="B6" s="163"/>
      <c r="C6" s="180">
        <v>20</v>
      </c>
      <c r="D6" s="181">
        <v>565.1</v>
      </c>
      <c r="E6" s="182">
        <v>35.5</v>
      </c>
      <c r="F6" s="182">
        <v>17.55</v>
      </c>
      <c r="G6" s="183">
        <v>12</v>
      </c>
      <c r="H6" s="181">
        <v>91</v>
      </c>
      <c r="I6" s="184">
        <v>30</v>
      </c>
      <c r="J6" s="185">
        <f t="shared" si="3"/>
        <v>0.86602540378443871</v>
      </c>
      <c r="K6" s="186">
        <f t="shared" si="4"/>
        <v>49.898806131722992</v>
      </c>
      <c r="L6" s="187">
        <v>100</v>
      </c>
      <c r="M6" s="188">
        <f t="shared" si="0"/>
        <v>203.48218595248088</v>
      </c>
      <c r="N6" s="189">
        <f t="shared" si="5"/>
        <v>111.57712250661591</v>
      </c>
      <c r="O6" s="190">
        <v>11</v>
      </c>
      <c r="P6" s="191">
        <f t="shared" si="1"/>
        <v>99.272727272727266</v>
      </c>
      <c r="Q6" s="192">
        <f t="shared" si="6"/>
        <v>45.740572287412753</v>
      </c>
      <c r="R6" s="193">
        <v>100</v>
      </c>
      <c r="S6" s="194">
        <f t="shared" si="2"/>
        <v>221.98056649361547</v>
      </c>
      <c r="T6" s="195">
        <f t="shared" si="7"/>
        <v>102.27902896439795</v>
      </c>
    </row>
    <row r="7" spans="2:20" x14ac:dyDescent="0.15">
      <c r="B7" s="163"/>
      <c r="C7" s="180">
        <v>20</v>
      </c>
      <c r="D7" s="181">
        <v>565.1</v>
      </c>
      <c r="E7" s="182">
        <v>35.5</v>
      </c>
      <c r="F7" s="182">
        <v>17.55</v>
      </c>
      <c r="G7" s="183">
        <v>12</v>
      </c>
      <c r="H7" s="181">
        <v>91</v>
      </c>
      <c r="I7" s="184">
        <v>30</v>
      </c>
      <c r="J7" s="185">
        <f t="shared" si="3"/>
        <v>0.86602540378443871</v>
      </c>
      <c r="K7" s="186">
        <f t="shared" si="4"/>
        <v>49.898806131722992</v>
      </c>
      <c r="L7" s="187">
        <v>80</v>
      </c>
      <c r="M7" s="188">
        <f t="shared" si="0"/>
        <v>182</v>
      </c>
      <c r="N7" s="189">
        <f t="shared" si="5"/>
        <v>99.797612263445984</v>
      </c>
      <c r="O7" s="190">
        <v>10</v>
      </c>
      <c r="P7" s="191">
        <f t="shared" si="1"/>
        <v>109.2</v>
      </c>
      <c r="Q7" s="192">
        <f t="shared" si="6"/>
        <v>41.582338443102493</v>
      </c>
      <c r="R7" s="193">
        <v>100</v>
      </c>
      <c r="S7" s="194">
        <f t="shared" si="2"/>
        <v>244.17862314297705</v>
      </c>
      <c r="T7" s="195">
        <f t="shared" si="7"/>
        <v>92.980935422179954</v>
      </c>
    </row>
    <row r="8" spans="2:20" x14ac:dyDescent="0.15">
      <c r="B8" s="196"/>
      <c r="C8" s="180"/>
      <c r="D8" s="181"/>
      <c r="E8" s="182"/>
      <c r="F8" s="182"/>
      <c r="G8" s="183"/>
      <c r="H8" s="181"/>
      <c r="I8" s="184">
        <v>30</v>
      </c>
      <c r="J8" s="185">
        <f t="shared" si="3"/>
        <v>0.86602540378443871</v>
      </c>
      <c r="K8" s="186" t="e">
        <f t="shared" si="4"/>
        <v>#DIV/0!</v>
      </c>
      <c r="L8" s="187"/>
      <c r="M8" s="188" t="e">
        <f t="shared" si="0"/>
        <v>#DIV/0!</v>
      </c>
      <c r="N8" s="189" t="e">
        <f t="shared" si="5"/>
        <v>#DIV/0!</v>
      </c>
      <c r="O8" s="190"/>
      <c r="P8" s="191" t="e">
        <f t="shared" si="1"/>
        <v>#DIV/0!</v>
      </c>
      <c r="Q8" s="192" t="e">
        <f t="shared" si="6"/>
        <v>#DIV/0!</v>
      </c>
      <c r="R8" s="193"/>
      <c r="S8" s="194" t="e">
        <f t="shared" si="2"/>
        <v>#DIV/0!</v>
      </c>
      <c r="T8" s="195" t="e">
        <f t="shared" si="7"/>
        <v>#DIV/0!</v>
      </c>
    </row>
    <row r="9" spans="2:20" x14ac:dyDescent="0.15">
      <c r="B9" s="196"/>
      <c r="C9" s="180">
        <v>1147</v>
      </c>
      <c r="D9" s="181">
        <v>831</v>
      </c>
      <c r="E9" s="182"/>
      <c r="F9" s="182"/>
      <c r="G9" s="183">
        <v>2</v>
      </c>
      <c r="H9" s="181">
        <v>1733</v>
      </c>
      <c r="I9" s="184">
        <v>23.1</v>
      </c>
      <c r="J9" s="185">
        <f t="shared" si="3"/>
        <v>0.91982149732173768</v>
      </c>
      <c r="K9" s="186">
        <f t="shared" si="4"/>
        <v>96.209457687670437</v>
      </c>
      <c r="L9" s="187"/>
      <c r="M9" s="188">
        <f t="shared" si="0"/>
        <v>0</v>
      </c>
      <c r="N9" s="189" t="e">
        <f t="shared" si="5"/>
        <v>#DIV/0!</v>
      </c>
      <c r="O9" s="190"/>
      <c r="P9" s="191" t="e">
        <f t="shared" si="1"/>
        <v>#DIV/0!</v>
      </c>
      <c r="Q9" s="192" t="e">
        <f t="shared" si="6"/>
        <v>#DIV/0!</v>
      </c>
      <c r="R9" s="193"/>
      <c r="S9" s="194" t="e">
        <f t="shared" si="2"/>
        <v>#DIV/0!</v>
      </c>
      <c r="T9" s="195" t="e">
        <f t="shared" si="7"/>
        <v>#DIV/0!</v>
      </c>
    </row>
    <row r="10" spans="2:20" x14ac:dyDescent="0.15">
      <c r="B10" s="196"/>
      <c r="C10" s="180"/>
      <c r="D10" s="181"/>
      <c r="E10" s="182"/>
      <c r="F10" s="182"/>
      <c r="G10" s="183"/>
      <c r="H10" s="181"/>
      <c r="I10" s="184">
        <v>30</v>
      </c>
      <c r="J10" s="185">
        <f t="shared" si="3"/>
        <v>0.86602540378443871</v>
      </c>
      <c r="K10" s="186" t="e">
        <f t="shared" si="4"/>
        <v>#DIV/0!</v>
      </c>
      <c r="L10" s="187"/>
      <c r="M10" s="188" t="e">
        <f t="shared" si="0"/>
        <v>#DIV/0!</v>
      </c>
      <c r="N10" s="189" t="e">
        <f t="shared" si="5"/>
        <v>#DIV/0!</v>
      </c>
      <c r="O10" s="190"/>
      <c r="P10" s="191" t="e">
        <f t="shared" si="1"/>
        <v>#DIV/0!</v>
      </c>
      <c r="Q10" s="192" t="e">
        <f t="shared" si="6"/>
        <v>#DIV/0!</v>
      </c>
      <c r="R10" s="193"/>
      <c r="S10" s="194" t="e">
        <f t="shared" si="2"/>
        <v>#DIV/0!</v>
      </c>
      <c r="T10" s="195" t="e">
        <f t="shared" si="7"/>
        <v>#DIV/0!</v>
      </c>
    </row>
    <row r="11" spans="2:20" x14ac:dyDescent="0.15">
      <c r="B11" s="196"/>
      <c r="C11" s="180">
        <v>460</v>
      </c>
      <c r="D11" s="181">
        <v>886</v>
      </c>
      <c r="E11" s="182"/>
      <c r="F11" s="182">
        <v>0.79</v>
      </c>
      <c r="G11" s="183">
        <v>2</v>
      </c>
      <c r="H11" s="181">
        <v>850</v>
      </c>
      <c r="I11" s="184">
        <v>41.4</v>
      </c>
      <c r="J11" s="185">
        <f t="shared" si="3"/>
        <v>0.75011106963045959</v>
      </c>
      <c r="K11" s="186">
        <f t="shared" si="4"/>
        <v>90.476772526457921</v>
      </c>
      <c r="L11" s="187"/>
      <c r="M11" s="188">
        <f t="shared" si="0"/>
        <v>0</v>
      </c>
      <c r="N11" s="189" t="e">
        <f t="shared" si="5"/>
        <v>#DIV/0!</v>
      </c>
      <c r="O11" s="190"/>
      <c r="P11" s="191" t="e">
        <f t="shared" si="1"/>
        <v>#DIV/0!</v>
      </c>
      <c r="Q11" s="192" t="e">
        <f t="shared" si="6"/>
        <v>#DIV/0!</v>
      </c>
      <c r="R11" s="193"/>
      <c r="S11" s="194" t="e">
        <f t="shared" si="2"/>
        <v>#DIV/0!</v>
      </c>
      <c r="T11" s="195" t="e">
        <f t="shared" si="7"/>
        <v>#DIV/0!</v>
      </c>
    </row>
    <row r="12" spans="2:20" x14ac:dyDescent="0.15">
      <c r="B12" s="196"/>
      <c r="C12" s="180">
        <v>304</v>
      </c>
      <c r="D12" s="181">
        <v>875</v>
      </c>
      <c r="E12" s="182"/>
      <c r="F12" s="182"/>
      <c r="G12" s="183">
        <v>2</v>
      </c>
      <c r="H12" s="181">
        <v>950</v>
      </c>
      <c r="I12" s="184">
        <v>63.2</v>
      </c>
      <c r="J12" s="185">
        <f t="shared" si="3"/>
        <v>0.45087754068943081</v>
      </c>
      <c r="K12" s="186">
        <f t="shared" si="4"/>
        <v>90.124073540647714</v>
      </c>
      <c r="L12" s="187"/>
      <c r="M12" s="188">
        <f t="shared" si="0"/>
        <v>0</v>
      </c>
      <c r="N12" s="189" t="e">
        <f t="shared" si="5"/>
        <v>#DIV/0!</v>
      </c>
      <c r="O12" s="190"/>
      <c r="P12" s="191" t="e">
        <f t="shared" si="1"/>
        <v>#DIV/0!</v>
      </c>
      <c r="Q12" s="192" t="e">
        <f t="shared" si="6"/>
        <v>#DIV/0!</v>
      </c>
      <c r="R12" s="193"/>
      <c r="S12" s="194" t="e">
        <f t="shared" si="2"/>
        <v>#DIV/0!</v>
      </c>
      <c r="T12" s="195" t="e">
        <f t="shared" si="7"/>
        <v>#DIV/0!</v>
      </c>
    </row>
    <row r="13" spans="2:20" x14ac:dyDescent="0.15">
      <c r="B13" s="196"/>
      <c r="C13" s="180"/>
      <c r="D13" s="181"/>
      <c r="E13" s="182"/>
      <c r="F13" s="182"/>
      <c r="G13" s="183"/>
      <c r="H13" s="181"/>
      <c r="I13" s="184">
        <v>30</v>
      </c>
      <c r="J13" s="185">
        <f t="shared" si="3"/>
        <v>0.86602540378443871</v>
      </c>
      <c r="K13" s="186" t="e">
        <f t="shared" si="4"/>
        <v>#DIV/0!</v>
      </c>
      <c r="L13" s="187"/>
      <c r="M13" s="188" t="e">
        <f t="shared" si="0"/>
        <v>#DIV/0!</v>
      </c>
      <c r="N13" s="189" t="e">
        <f t="shared" si="5"/>
        <v>#DIV/0!</v>
      </c>
      <c r="O13" s="190"/>
      <c r="P13" s="191" t="e">
        <f t="shared" si="1"/>
        <v>#DIV/0!</v>
      </c>
      <c r="Q13" s="192" t="e">
        <f t="shared" si="6"/>
        <v>#DIV/0!</v>
      </c>
      <c r="R13" s="193"/>
      <c r="S13" s="194" t="e">
        <f t="shared" si="2"/>
        <v>#DIV/0!</v>
      </c>
      <c r="T13" s="195" t="e">
        <f t="shared" si="7"/>
        <v>#DIV/0!</v>
      </c>
    </row>
    <row r="14" spans="2:20" x14ac:dyDescent="0.15">
      <c r="B14" s="196"/>
      <c r="C14" s="180"/>
      <c r="D14" s="181"/>
      <c r="E14" s="182"/>
      <c r="F14" s="182"/>
      <c r="G14" s="183"/>
      <c r="H14" s="181"/>
      <c r="I14" s="184">
        <v>30</v>
      </c>
      <c r="J14" s="185">
        <f t="shared" si="3"/>
        <v>0.86602540378443871</v>
      </c>
      <c r="K14" s="186" t="e">
        <f t="shared" si="4"/>
        <v>#DIV/0!</v>
      </c>
      <c r="L14" s="187"/>
      <c r="M14" s="188" t="e">
        <f t="shared" si="0"/>
        <v>#DIV/0!</v>
      </c>
      <c r="N14" s="189" t="e">
        <f t="shared" si="5"/>
        <v>#DIV/0!</v>
      </c>
      <c r="O14" s="190"/>
      <c r="P14" s="191" t="e">
        <f t="shared" si="1"/>
        <v>#DIV/0!</v>
      </c>
      <c r="Q14" s="192" t="e">
        <f t="shared" si="6"/>
        <v>#DIV/0!</v>
      </c>
      <c r="R14" s="193"/>
      <c r="S14" s="194" t="e">
        <f t="shared" si="2"/>
        <v>#DIV/0!</v>
      </c>
      <c r="T14" s="195" t="e">
        <f t="shared" si="7"/>
        <v>#DIV/0!</v>
      </c>
    </row>
    <row r="15" spans="2:20" x14ac:dyDescent="0.15">
      <c r="B15" s="196"/>
      <c r="C15" s="180"/>
      <c r="D15" s="181"/>
      <c r="E15" s="182"/>
      <c r="F15" s="182"/>
      <c r="G15" s="183"/>
      <c r="H15" s="181"/>
      <c r="I15" s="184">
        <v>30</v>
      </c>
      <c r="J15" s="185">
        <f t="shared" si="3"/>
        <v>0.86602540378443871</v>
      </c>
      <c r="K15" s="186" t="e">
        <f t="shared" si="4"/>
        <v>#DIV/0!</v>
      </c>
      <c r="L15" s="187"/>
      <c r="M15" s="188" t="e">
        <f t="shared" si="0"/>
        <v>#DIV/0!</v>
      </c>
      <c r="N15" s="189" t="e">
        <f t="shared" si="5"/>
        <v>#DIV/0!</v>
      </c>
      <c r="O15" s="190"/>
      <c r="P15" s="191" t="e">
        <f t="shared" si="1"/>
        <v>#DIV/0!</v>
      </c>
      <c r="Q15" s="192" t="e">
        <f t="shared" si="6"/>
        <v>#DIV/0!</v>
      </c>
      <c r="R15" s="193"/>
      <c r="S15" s="194" t="e">
        <f t="shared" si="2"/>
        <v>#DIV/0!</v>
      </c>
      <c r="T15" s="195" t="e">
        <f t="shared" si="7"/>
        <v>#DIV/0!</v>
      </c>
    </row>
    <row r="16" spans="2:20" x14ac:dyDescent="0.15">
      <c r="B16" s="196"/>
      <c r="C16" s="180"/>
      <c r="D16" s="181"/>
      <c r="E16" s="182"/>
      <c r="F16" s="182"/>
      <c r="G16" s="183"/>
      <c r="H16" s="181"/>
      <c r="I16" s="184">
        <v>30</v>
      </c>
      <c r="J16" s="185">
        <f t="shared" si="3"/>
        <v>0.86602540378443871</v>
      </c>
      <c r="K16" s="186" t="e">
        <f t="shared" si="4"/>
        <v>#DIV/0!</v>
      </c>
      <c r="L16" s="187"/>
      <c r="M16" s="188" t="e">
        <f t="shared" si="0"/>
        <v>#DIV/0!</v>
      </c>
      <c r="N16" s="189" t="e">
        <f t="shared" si="5"/>
        <v>#DIV/0!</v>
      </c>
      <c r="O16" s="190"/>
      <c r="P16" s="191" t="e">
        <f t="shared" si="1"/>
        <v>#DIV/0!</v>
      </c>
      <c r="Q16" s="192" t="e">
        <f t="shared" si="6"/>
        <v>#DIV/0!</v>
      </c>
      <c r="R16" s="193"/>
      <c r="S16" s="194" t="e">
        <f t="shared" si="2"/>
        <v>#DIV/0!</v>
      </c>
      <c r="T16" s="195" t="e">
        <f t="shared" si="7"/>
        <v>#DIV/0!</v>
      </c>
    </row>
    <row r="17" spans="2:20" x14ac:dyDescent="0.15">
      <c r="B17" s="196"/>
      <c r="C17" s="180"/>
      <c r="D17" s="181"/>
      <c r="E17" s="182"/>
      <c r="F17" s="182"/>
      <c r="G17" s="183"/>
      <c r="H17" s="181"/>
      <c r="I17" s="184">
        <v>30</v>
      </c>
      <c r="J17" s="185">
        <f t="shared" si="3"/>
        <v>0.86602540378443871</v>
      </c>
      <c r="K17" s="186" t="e">
        <f t="shared" si="4"/>
        <v>#DIV/0!</v>
      </c>
      <c r="L17" s="187"/>
      <c r="M17" s="188" t="e">
        <f t="shared" si="0"/>
        <v>#DIV/0!</v>
      </c>
      <c r="N17" s="189" t="e">
        <f t="shared" si="5"/>
        <v>#DIV/0!</v>
      </c>
      <c r="O17" s="190"/>
      <c r="P17" s="191" t="e">
        <f t="shared" si="1"/>
        <v>#DIV/0!</v>
      </c>
      <c r="Q17" s="192" t="e">
        <f t="shared" si="6"/>
        <v>#DIV/0!</v>
      </c>
      <c r="R17" s="193"/>
      <c r="S17" s="194" t="e">
        <f t="shared" si="2"/>
        <v>#DIV/0!</v>
      </c>
      <c r="T17" s="195" t="e">
        <f t="shared" si="7"/>
        <v>#DIV/0!</v>
      </c>
    </row>
    <row r="18" spans="2:20" ht="14.25" thickBot="1" x14ac:dyDescent="0.2">
      <c r="B18" s="197"/>
      <c r="C18" s="198"/>
      <c r="D18" s="199"/>
      <c r="E18" s="200"/>
      <c r="F18" s="200"/>
      <c r="G18" s="201"/>
      <c r="H18" s="199"/>
      <c r="I18" s="202">
        <v>30</v>
      </c>
      <c r="J18" s="203">
        <f t="shared" si="3"/>
        <v>0.86602540378443871</v>
      </c>
      <c r="K18" s="204" t="e">
        <f t="shared" si="4"/>
        <v>#DIV/0!</v>
      </c>
      <c r="L18" s="205"/>
      <c r="M18" s="206" t="e">
        <f t="shared" si="0"/>
        <v>#DIV/0!</v>
      </c>
      <c r="N18" s="207" t="e">
        <f t="shared" si="5"/>
        <v>#DIV/0!</v>
      </c>
      <c r="O18" s="208"/>
      <c r="P18" s="209" t="e">
        <f t="shared" si="1"/>
        <v>#DIV/0!</v>
      </c>
      <c r="Q18" s="210" t="e">
        <f t="shared" si="6"/>
        <v>#DIV/0!</v>
      </c>
      <c r="R18" s="211"/>
      <c r="S18" s="212" t="e">
        <f t="shared" si="2"/>
        <v>#DIV/0!</v>
      </c>
      <c r="T18" s="213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직렬공진_FM_1kHz CAP적용</vt:lpstr>
      <vt:lpstr>DC인덕터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2021-07-13T08:34:12Z</dcterms:modified>
</cp:coreProperties>
</file>