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0052" windowHeight="10800" tabRatio="82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45621"/>
</workbook>
</file>

<file path=xl/calcChain.xml><?xml version="1.0" encoding="utf-8"?>
<calcChain xmlns="http://schemas.openxmlformats.org/spreadsheetml/2006/main">
  <c r="G71" i="37" l="1"/>
  <c r="D71" i="37"/>
  <c r="C71" i="37"/>
  <c r="M39" i="37" l="1"/>
  <c r="Y39" i="37"/>
  <c r="E15" i="37"/>
  <c r="C15" i="37"/>
  <c r="D15" i="37"/>
  <c r="F15" i="37"/>
  <c r="G15" i="37"/>
  <c r="E18" i="37" l="1"/>
  <c r="G34" i="37" l="1"/>
  <c r="G20" i="37"/>
  <c r="G18" i="37"/>
  <c r="G24" i="37" s="1"/>
  <c r="G27" i="37" s="1"/>
  <c r="G10" i="37"/>
  <c r="G41" i="37" s="1"/>
  <c r="G43" i="37" s="1"/>
  <c r="G6" i="37"/>
  <c r="G8" i="37" s="1"/>
  <c r="C34" i="37"/>
  <c r="C20" i="37"/>
  <c r="C18" i="37"/>
  <c r="C10" i="37"/>
  <c r="C41" i="37" s="1"/>
  <c r="C43" i="37" s="1"/>
  <c r="C6" i="37"/>
  <c r="C8" i="37" s="1"/>
  <c r="F71" i="37"/>
  <c r="E71" i="37"/>
  <c r="F34" i="37"/>
  <c r="E34" i="37"/>
  <c r="D34" i="37"/>
  <c r="F20" i="37"/>
  <c r="E20" i="37"/>
  <c r="D20" i="37"/>
  <c r="F18" i="37"/>
  <c r="D18" i="37"/>
  <c r="F10" i="37"/>
  <c r="F41" i="37" s="1"/>
  <c r="F43" i="37" s="1"/>
  <c r="E10" i="37"/>
  <c r="E41" i="37" s="1"/>
  <c r="E43" i="37" s="1"/>
  <c r="D10" i="37"/>
  <c r="D41" i="37" s="1"/>
  <c r="D43" i="37" s="1"/>
  <c r="F6" i="37"/>
  <c r="F8" i="37" s="1"/>
  <c r="E6" i="37"/>
  <c r="E8" i="37" s="1"/>
  <c r="D6" i="37"/>
  <c r="D8" i="37" s="1"/>
  <c r="E11" i="37" l="1"/>
  <c r="F24" i="37"/>
  <c r="F27" i="37" s="1"/>
  <c r="F30" i="37" s="1"/>
  <c r="D23" i="37"/>
  <c r="C24" i="37"/>
  <c r="C27" i="37" s="1"/>
  <c r="C30" i="37" s="1"/>
  <c r="G30" i="37"/>
  <c r="G11" i="37"/>
  <c r="G23" i="37"/>
  <c r="G58" i="37" s="1"/>
  <c r="C11" i="37"/>
  <c r="C23" i="37"/>
  <c r="C58" i="37" s="1"/>
  <c r="F23" i="37"/>
  <c r="D11" i="37"/>
  <c r="D24" i="37"/>
  <c r="D27" i="37" s="1"/>
  <c r="F11" i="37"/>
  <c r="G63" i="37" l="1"/>
  <c r="G66" i="37" s="1"/>
  <c r="G64" i="37"/>
  <c r="G57" i="37"/>
  <c r="D25" i="37"/>
  <c r="D58" i="37"/>
  <c r="C64" i="37"/>
  <c r="C57" i="37"/>
  <c r="C63" i="37"/>
  <c r="C66" i="37" s="1"/>
  <c r="D26" i="37"/>
  <c r="D28" i="37" s="1"/>
  <c r="G26" i="37"/>
  <c r="G25" i="37"/>
  <c r="G31" i="37"/>
  <c r="G47" i="37"/>
  <c r="G32" i="37"/>
  <c r="C26" i="37"/>
  <c r="C25" i="37"/>
  <c r="C31" i="37"/>
  <c r="C47" i="37"/>
  <c r="C32" i="37"/>
  <c r="F58" i="37"/>
  <c r="F25" i="37"/>
  <c r="F26" i="37"/>
  <c r="F31" i="37"/>
  <c r="F47" i="37"/>
  <c r="F32" i="37"/>
  <c r="D30" i="37"/>
  <c r="C48" i="37" l="1"/>
  <c r="C49" i="37" s="1"/>
  <c r="C50" i="37" s="1"/>
  <c r="C54" i="37"/>
  <c r="G48" i="37"/>
  <c r="G49" i="37" s="1"/>
  <c r="G50" i="37" s="1"/>
  <c r="G54" i="37"/>
  <c r="D63" i="37"/>
  <c r="D66" i="37" s="1"/>
  <c r="D64" i="37"/>
  <c r="D57" i="37"/>
  <c r="G28" i="37"/>
  <c r="G33" i="37" s="1"/>
  <c r="G45" i="37" s="1"/>
  <c r="G70" i="37" s="1"/>
  <c r="G35" i="37"/>
  <c r="G36" i="37"/>
  <c r="C35" i="37"/>
  <c r="C36" i="37"/>
  <c r="C28" i="37"/>
  <c r="C33" i="37" s="1"/>
  <c r="C45" i="37" s="1"/>
  <c r="C70" i="37" s="1"/>
  <c r="F28" i="37"/>
  <c r="F33" i="37" s="1"/>
  <c r="F45" i="37" s="1"/>
  <c r="F70" i="37" s="1"/>
  <c r="F54" i="37"/>
  <c r="F48" i="37"/>
  <c r="F49" i="37" s="1"/>
  <c r="F50" i="37" s="1"/>
  <c r="F35" i="37"/>
  <c r="F36" i="37"/>
  <c r="D31" i="37"/>
  <c r="D47" i="37"/>
  <c r="D32" i="37"/>
  <c r="D33" i="37"/>
  <c r="D45" i="37" s="1"/>
  <c r="D70" i="37" s="1"/>
  <c r="F63" i="37"/>
  <c r="F66" i="37" s="1"/>
  <c r="F64" i="37"/>
  <c r="F57" i="37"/>
  <c r="C67" i="37" l="1"/>
  <c r="C59" i="37"/>
  <c r="D48" i="37"/>
  <c r="D49" i="37" s="1"/>
  <c r="D50" i="37" s="1"/>
  <c r="D54" i="37"/>
  <c r="G59" i="37"/>
  <c r="G67" i="37"/>
  <c r="G37" i="37"/>
  <c r="G38" i="37"/>
  <c r="F37" i="37"/>
  <c r="F38" i="37"/>
  <c r="C38" i="37"/>
  <c r="C37" i="37"/>
  <c r="F67" i="37"/>
  <c r="F59" i="37"/>
  <c r="D35" i="37"/>
  <c r="D36" i="37"/>
  <c r="D67" i="37" l="1"/>
  <c r="D59" i="37"/>
  <c r="G72" i="37"/>
  <c r="G75" i="37" s="1"/>
  <c r="G73" i="37"/>
  <c r="G76" i="37" s="1"/>
  <c r="G74" i="37"/>
  <c r="G77" i="37" s="1"/>
  <c r="G79" i="37" s="1"/>
  <c r="C74" i="37"/>
  <c r="C77" i="37" s="1"/>
  <c r="C79" i="37" s="1"/>
  <c r="C73" i="37"/>
  <c r="C76" i="37" s="1"/>
  <c r="C72" i="37"/>
  <c r="C75" i="37" s="1"/>
  <c r="D37" i="37"/>
  <c r="D38" i="37"/>
  <c r="F74" i="37"/>
  <c r="F77" i="37" s="1"/>
  <c r="F79" i="37" s="1"/>
  <c r="F72" i="37"/>
  <c r="F75" i="37" s="1"/>
  <c r="F73" i="37"/>
  <c r="F76" i="37" s="1"/>
  <c r="F25" i="46"/>
  <c r="F26" i="46" s="1"/>
  <c r="G11" i="46"/>
  <c r="G12" i="46"/>
  <c r="F11" i="46"/>
  <c r="F12" i="46"/>
  <c r="F9" i="46"/>
  <c r="Y45" i="37"/>
  <c r="Y40" i="37"/>
  <c r="J41" i="45"/>
  <c r="D41" i="45"/>
  <c r="E41" i="45"/>
  <c r="C41" i="45"/>
  <c r="F41" i="45"/>
  <c r="Y32" i="37"/>
  <c r="Y28" i="37"/>
  <c r="Y24" i="37"/>
  <c r="U76" i="37"/>
  <c r="U78" i="37" s="1"/>
  <c r="U70" i="37"/>
  <c r="U71" i="37" s="1"/>
  <c r="U50" i="37"/>
  <c r="U54" i="37" s="1"/>
  <c r="U57" i="37" s="1"/>
  <c r="U60" i="37" s="1"/>
  <c r="U29" i="37"/>
  <c r="U30" i="37" s="1"/>
  <c r="U8" i="37"/>
  <c r="U12" i="37" s="1"/>
  <c r="U17" i="37" s="1"/>
  <c r="U19" i="37" s="1"/>
  <c r="G41" i="45"/>
  <c r="O41" i="45"/>
  <c r="Y17" i="37"/>
  <c r="Y18" i="37" s="1"/>
  <c r="Y19" i="37" s="1"/>
  <c r="Y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Q57" i="37"/>
  <c r="Q60" i="37" s="1"/>
  <c r="Q62" i="37" s="1"/>
  <c r="M63" i="37"/>
  <c r="M57" i="37"/>
  <c r="Q52" i="37"/>
  <c r="M50" i="37"/>
  <c r="M51" i="37" s="1"/>
  <c r="M49" i="37"/>
  <c r="M40" i="37"/>
  <c r="Q36" i="37"/>
  <c r="Q32" i="37"/>
  <c r="Q28" i="37"/>
  <c r="M28" i="37"/>
  <c r="M27" i="37"/>
  <c r="M26" i="37"/>
  <c r="Q21" i="37"/>
  <c r="Q13" i="37"/>
  <c r="Q8" i="37"/>
  <c r="M7" i="37"/>
  <c r="M9" i="37" s="1"/>
  <c r="M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U33" i="37"/>
  <c r="U36" i="37" s="1"/>
  <c r="U40" i="37" s="1"/>
  <c r="C86" i="37" l="1"/>
  <c r="C84" i="37"/>
  <c r="C90" i="37" s="1"/>
  <c r="C92" i="37"/>
  <c r="G93" i="37"/>
  <c r="G87" i="37"/>
  <c r="G85" i="37"/>
  <c r="G91" i="37" s="1"/>
  <c r="C87" i="37"/>
  <c r="C85" i="37"/>
  <c r="C91" i="37" s="1"/>
  <c r="C93" i="37"/>
  <c r="G86" i="37"/>
  <c r="G84" i="37"/>
  <c r="G90" i="37" s="1"/>
  <c r="G92" i="37"/>
  <c r="C81" i="37"/>
  <c r="C96" i="37"/>
  <c r="G96" i="37"/>
  <c r="G81" i="37"/>
  <c r="D72" i="37"/>
  <c r="D75" i="37" s="1"/>
  <c r="D74" i="37"/>
  <c r="D77" i="37" s="1"/>
  <c r="D79" i="37" s="1"/>
  <c r="D73" i="37"/>
  <c r="D76" i="37" s="1"/>
  <c r="Q42" i="37"/>
  <c r="Q43" i="37" s="1"/>
  <c r="Q44" i="37" s="1"/>
  <c r="Q39" i="37"/>
  <c r="U51" i="37"/>
  <c r="M29" i="37"/>
  <c r="F92" i="37"/>
  <c r="F86" i="37"/>
  <c r="F84" i="37"/>
  <c r="F90" i="37" s="1"/>
  <c r="F96" i="37"/>
  <c r="F81" i="37"/>
  <c r="F93" i="37"/>
  <c r="F87" i="37"/>
  <c r="F85" i="37"/>
  <c r="F91" i="37" s="1"/>
  <c r="Q45" i="37"/>
  <c r="Q46" i="37" s="1"/>
  <c r="M41" i="37"/>
  <c r="M42" i="37" s="1"/>
  <c r="U9" i="37"/>
  <c r="U79" i="37"/>
  <c r="U42" i="37"/>
  <c r="U43" i="37"/>
  <c r="U22" i="37"/>
  <c r="U21" i="37"/>
  <c r="U63" i="37"/>
  <c r="U62" i="37"/>
  <c r="D93" i="37" l="1"/>
  <c r="D87" i="37"/>
  <c r="D85" i="37"/>
  <c r="D91" i="37" s="1"/>
  <c r="D96" i="37"/>
  <c r="D81" i="37"/>
  <c r="D84" i="37"/>
  <c r="D90" i="37" s="1"/>
  <c r="D92" i="37"/>
  <c r="D86" i="37"/>
  <c r="E24" i="37"/>
  <c r="E27" i="37" s="1"/>
  <c r="E23" i="37"/>
  <c r="E58" i="37" l="1"/>
  <c r="E25" i="37"/>
  <c r="E26" i="37"/>
  <c r="E30" i="37"/>
  <c r="E28" i="37" l="1"/>
  <c r="E33" i="37" s="1"/>
  <c r="E45" i="37" s="1"/>
  <c r="E70" i="37" s="1"/>
  <c r="E63" i="37"/>
  <c r="E66" i="37" s="1"/>
  <c r="E57" i="37"/>
  <c r="E64" i="37"/>
  <c r="E32" i="37"/>
  <c r="E31" i="37"/>
  <c r="E47" i="37"/>
  <c r="E35" i="37" l="1"/>
  <c r="E36" i="37"/>
  <c r="E48" i="37"/>
  <c r="E49" i="37" s="1"/>
  <c r="E50" i="37" s="1"/>
  <c r="E54" i="37"/>
  <c r="E67" i="37" l="1"/>
  <c r="E59" i="37"/>
  <c r="E38" i="37"/>
  <c r="E37" i="37"/>
  <c r="E72" i="37" l="1"/>
  <c r="E75" i="37" s="1"/>
  <c r="E74" i="37"/>
  <c r="E77" i="37" s="1"/>
  <c r="E79" i="37" s="1"/>
  <c r="E73" i="37"/>
  <c r="E76" i="37" s="1"/>
  <c r="E81" i="37" l="1"/>
  <c r="E96" i="37"/>
  <c r="E86" i="37"/>
  <c r="E92" i="37"/>
  <c r="E84" i="37"/>
  <c r="E90" i="37" s="1"/>
  <c r="E93" i="37"/>
  <c r="E85" i="37"/>
  <c r="E91" i="37" s="1"/>
  <c r="E87" i="37"/>
</calcChain>
</file>

<file path=xl/sharedStrings.xml><?xml version="1.0" encoding="utf-8"?>
<sst xmlns="http://schemas.openxmlformats.org/spreadsheetml/2006/main" count="1229" uniqueCount="665">
  <si>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</si>
  <si>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</si>
  <si>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</si>
  <si>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</si>
  <si>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</si>
  <si>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</si>
  <si>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</si>
  <si>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</si>
  <si>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</si>
  <si>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</si>
  <si>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</si>
  <si>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</si>
  <si>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</si>
  <si>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</si>
  <si>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</si>
  <si>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</si>
  <si>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</si>
  <si>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</si>
  <si>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</si>
  <si>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</si>
  <si>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</si>
  <si>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</si>
  <si>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</si>
  <si>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</si>
  <si>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</si>
  <si>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</si>
  <si>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</si>
  <si>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</si>
  <si>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</si>
  <si>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</si>
  <si>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</si>
  <si>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</si>
  <si>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</si>
  <si>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</si>
  <si>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</si>
  <si>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</si>
  <si>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</si>
  <si>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</si>
  <si>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</si>
  <si>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</si>
  <si>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</si>
  <si>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</si>
  <si>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</si>
  <si>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</si>
  <si>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</si>
  <si>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</si>
  <si>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</si>
  <si>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</si>
  <si>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</si>
  <si>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</si>
  <si>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</si>
  <si>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</si>
  <si>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</si>
  <si>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</si>
  <si>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</si>
  <si>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</si>
  <si>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</si>
  <si>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</si>
  <si>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</si>
  <si>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</si>
  <si>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</si>
  <si>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</si>
  <si>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</si>
  <si>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</si>
  <si>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</si>
  <si>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</si>
  <si>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</si>
  <si>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</si>
  <si>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</si>
  <si>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</si>
  <si>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</si>
  <si>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</si>
  <si>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</si>
  <si>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</si>
  <si>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</si>
  <si>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</si>
  <si>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</si>
  <si>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</si>
  <si>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</si>
  <si>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</si>
  <si>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</si>
  <si>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</si>
  <si>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</si>
  <si>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</si>
  <si>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</si>
  <si>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</si>
  <si>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</si>
  <si>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</si>
  <si>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</si>
  <si>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</si>
  <si>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</si>
  <si>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</si>
  <si>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</si>
  <si>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</si>
  <si>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</si>
  <si>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</si>
  <si>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</si>
  <si>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</si>
  <si>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</si>
  <si>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</si>
  <si>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</si>
  <si>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</si>
  <si>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</si>
  <si>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</si>
  <si>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</si>
  <si>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</si>
  <si>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</si>
  <si>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</si>
  <si>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</si>
  <si>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</si>
  <si>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</si>
  <si>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</si>
  <si>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</si>
  <si>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</si>
  <si>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</si>
  <si>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</si>
  <si>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</si>
  <si>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</si>
  <si>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</si>
  <si>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</si>
  <si>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</si>
  <si>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</si>
  <si>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</si>
  <si>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</si>
  <si>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</si>
  <si>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</si>
  <si>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</si>
  <si>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</si>
  <si>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</si>
  <si>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</si>
  <si>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</si>
  <si>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</si>
  <si>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</si>
  <si>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</si>
  <si>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</si>
  <si>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</si>
  <si>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</si>
  <si>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</si>
  <si>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</si>
  <si>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</si>
  <si>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</si>
  <si>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</si>
  <si>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</si>
  <si>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</si>
  <si>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</si>
  <si>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</si>
  <si>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</si>
  <si>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</si>
  <si>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</si>
  <si>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</si>
  <si>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</si>
  <si>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</si>
  <si>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</si>
  <si>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</si>
  <si>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</si>
  <si>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</si>
  <si>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</si>
  <si>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</si>
  <si>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</si>
  <si>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</si>
  <si>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</si>
  <si>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</si>
  <si>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</si>
  <si>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</si>
  <si>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</si>
  <si>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</si>
  <si>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</si>
  <si>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</si>
  <si>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</si>
  <si>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</si>
  <si>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</si>
  <si>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</si>
  <si>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</si>
  <si>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</si>
  <si>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</si>
  <si>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</si>
  <si>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</si>
  <si>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</si>
  <si>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</si>
  <si>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</si>
  <si>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</si>
  <si>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</si>
  <si>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</si>
  <si>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</si>
  <si>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</si>
  <si>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</si>
  <si>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</si>
  <si>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</si>
  <si>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</si>
  <si>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</si>
  <si>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</si>
  <si>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</si>
  <si>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</si>
  <si>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</si>
  <si>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</si>
  <si>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</si>
  <si>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</si>
  <si>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</si>
  <si>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</si>
  <si>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</si>
  <si>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</si>
  <si>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</si>
  <si>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</si>
  <si>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</si>
  <si>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</si>
  <si>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</si>
  <si>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</si>
  <si>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</si>
  <si>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</si>
  <si>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</si>
  <si>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</si>
  <si>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</si>
  <si>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</si>
  <si>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</si>
  <si>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</si>
  <si>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</si>
  <si>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</si>
  <si>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</si>
  <si>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</si>
  <si>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</si>
  <si>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</si>
  <si>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</si>
  <si>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</si>
  <si>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</si>
  <si>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</si>
  <si>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</si>
  <si>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</si>
  <si>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</si>
  <si>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</si>
  <si>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</si>
  <si>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</si>
  <si>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</si>
  <si>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</si>
  <si>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</si>
  <si>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</si>
  <si>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</si>
  <si>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</si>
  <si>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</si>
  <si>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</si>
  <si>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</si>
  <si>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</si>
  <si>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</si>
  <si>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</si>
  <si>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</si>
  <si>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</si>
  <si>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</si>
  <si>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</si>
  <si>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</si>
  <si>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</si>
  <si>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</si>
  <si>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</si>
  <si>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</si>
  <si>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</si>
  <si>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</si>
  <si>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</si>
  <si>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</si>
  <si>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</si>
  <si>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</si>
  <si>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</si>
  <si>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</si>
  <si>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</si>
  <si>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</si>
  <si>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</si>
  <si>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</si>
  <si>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</si>
  <si>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</si>
  <si>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</si>
  <si>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</si>
  <si>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</si>
  <si>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</si>
  <si>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</si>
  <si>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</si>
  <si>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</si>
  <si>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</si>
  <si>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</si>
  <si>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</si>
  <si>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</si>
  <si>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</si>
  <si>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</si>
  <si>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</si>
  <si>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</si>
  <si>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</si>
  <si>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</si>
  <si>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</si>
  <si>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</si>
  <si>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</si>
  <si>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</si>
  <si>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</si>
  <si>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</si>
  <si>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</si>
  <si>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</si>
  <si>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</si>
  <si>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</si>
  <si>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</si>
  <si>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</si>
  <si>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</si>
  <si>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</si>
  <si>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</si>
  <si>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</si>
  <si>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</si>
  <si>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</si>
  <si>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</si>
  <si>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</si>
  <si>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</si>
  <si>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</si>
  <si>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</si>
  <si>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</si>
  <si>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</si>
  <si>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</si>
  <si>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</si>
  <si>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</si>
  <si>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</si>
  <si>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</si>
  <si>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</si>
  <si>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</si>
  <si>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</si>
  <si>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</si>
  <si>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</si>
  <si>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</si>
  <si>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</si>
  <si>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</si>
  <si>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</si>
  <si>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</si>
  <si>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</si>
  <si>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</si>
  <si>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</si>
  <si>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</si>
  <si>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</si>
  <si>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</si>
  <si>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</si>
  <si>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</si>
  <si>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</si>
  <si>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</si>
  <si>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</si>
  <si>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</si>
  <si>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</si>
  <si>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</si>
  <si>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</si>
  <si>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</si>
  <si>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</si>
  <si>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</si>
  <si>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</si>
  <si>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</si>
  <si>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</si>
  <si>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</si>
  <si>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</si>
  <si>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</si>
  <si>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</si>
  <si>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</si>
  <si>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</si>
  <si>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</si>
  <si>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</si>
  <si>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</si>
  <si>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</si>
  <si>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</si>
  <si>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</si>
  <si>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</si>
  <si>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</si>
  <si>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</si>
  <si>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</si>
  <si>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</si>
  <si>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</si>
  <si>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</si>
  <si>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</si>
  <si>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</si>
  <si>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</si>
  <si>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</si>
  <si>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</si>
  <si>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</si>
  <si>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</si>
  <si>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</si>
  <si>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</si>
  <si>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</si>
  <si>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</si>
  <si>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</si>
  <si>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</si>
  <si>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</si>
  <si>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</si>
  <si>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</si>
  <si>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</si>
  <si>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</si>
  <si>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</si>
  <si>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</si>
  <si>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</si>
  <si>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</si>
  <si>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</si>
  <si>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</si>
  <si>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</si>
  <si>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</si>
  <si>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</si>
  <si>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</si>
  <si>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</si>
  <si>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</si>
  <si>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</si>
  <si>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</si>
  <si>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</si>
  <si>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</si>
  <si>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</si>
  <si>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</si>
  <si>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</si>
  <si>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</si>
  <si>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</si>
  <si>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</si>
  <si>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</si>
  <si>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</si>
  <si>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</si>
  <si>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</si>
  <si>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</si>
  <si>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</si>
  <si>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</si>
  <si>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</si>
  <si>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</si>
  <si>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</si>
  <si>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</si>
  <si>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</si>
  <si>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</si>
  <si>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</si>
  <si>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</si>
  <si>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</si>
  <si>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</si>
  <si>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</si>
  <si>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</si>
  <si>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</si>
  <si>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</si>
  <si>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</si>
  <si>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</si>
  <si>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</si>
  <si>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</si>
  <si>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</si>
  <si>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</si>
  <si>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</si>
  <si>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</si>
  <si>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</si>
  <si>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</si>
  <si>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</si>
  <si>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</si>
  <si>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</si>
  <si>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</si>
  <si>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</si>
  <si>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</si>
  <si>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</si>
  <si>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</si>
  <si>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</si>
  <si>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</si>
  <si>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</si>
  <si>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</si>
  <si>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</si>
  <si>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</si>
  <si>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</si>
  <si>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</si>
  <si>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</si>
  <si>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</si>
  <si>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</si>
  <si>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</si>
  <si>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</si>
  <si>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</si>
  <si>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</si>
  <si>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</si>
  <si>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</si>
  <si>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</si>
  <si>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</si>
  <si>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</si>
  <si>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</si>
  <si>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</si>
  <si>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</si>
  <si>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</si>
  <si>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</si>
  <si>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</si>
  <si>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</si>
  <si>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</si>
  <si>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</si>
  <si>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</si>
  <si>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</si>
  <si>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</si>
  <si>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</si>
  <si>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</si>
  <si>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</si>
  <si>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</si>
  <si>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</si>
  <si>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</si>
  <si>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</si>
  <si>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</si>
  <si>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</si>
  <si>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</si>
  <si>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</si>
  <si>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</si>
  <si>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</si>
  <si>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</si>
  <si>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</si>
  <si>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</si>
  <si>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</si>
  <si>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</si>
  <si>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</si>
  <si>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</si>
  <si>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</si>
  <si>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</si>
  <si>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</si>
  <si>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</si>
  <si>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</si>
  <si>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</si>
  <si>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</si>
  <si>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</si>
  <si>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</si>
  <si>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</si>
  <si>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</si>
  <si>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</si>
  <si>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</si>
  <si>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</si>
  <si>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</si>
  <si>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</si>
  <si>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</si>
  <si>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</si>
  <si>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</si>
  <si>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</si>
  <si>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</si>
  <si>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</si>
  <si>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</si>
  <si>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</si>
  <si>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</si>
  <si>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</si>
  <si>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</si>
  <si>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</si>
  <si>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</si>
  <si>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</si>
  <si>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</si>
  <si>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</si>
  <si>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</si>
  <si>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</si>
  <si>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</si>
  <si>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</si>
  <si>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</si>
  <si>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</si>
  <si>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</si>
  <si>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</si>
  <si>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</si>
  <si>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</si>
  <si>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</si>
  <si>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</si>
  <si>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</si>
  <si>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</si>
  <si>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</si>
  <si>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</si>
  <si>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</si>
  <si>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</si>
  <si>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</si>
  <si>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</si>
  <si>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</si>
  <si>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</si>
  <si>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</si>
  <si>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</si>
  <si>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</si>
  <si>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</si>
  <si>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</si>
  <si>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</si>
  <si>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</si>
  <si>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</si>
  <si>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</si>
  <si>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</si>
  <si>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</si>
  <si>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</si>
  <si>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</si>
  <si>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</si>
  <si>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</si>
  <si>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</si>
  <si>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</si>
  <si>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</si>
  <si>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</si>
  <si>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</si>
  <si>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</si>
  <si>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</si>
  <si>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</si>
  <si>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</si>
  <si>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</si>
  <si>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</si>
  <si>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</si>
  <si>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</si>
  <si>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</si>
  <si>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</si>
  <si>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</si>
  <si>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</si>
  <si>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</si>
  <si>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</si>
  <si>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</si>
  <si>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</si>
  <si>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</si>
  <si>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FM+LBPWM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</si>
  <si>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</si>
  <si>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</si>
  <si>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</si>
  <si>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삼한진공_현대자동차</t>
    <phoneticPr fontId="3" type="noConversion"/>
  </si>
  <si>
    <t>고객사</t>
  </si>
  <si>
    <t>비고</t>
  </si>
  <si>
    <t>공정</t>
  </si>
  <si>
    <t>전력</t>
  </si>
  <si>
    <t>예상 동작 주파수</t>
  </si>
  <si>
    <t>MCCB</t>
  </si>
  <si>
    <t>ABS203c 225A</t>
  </si>
  <si>
    <t>SCC00059</t>
  </si>
  <si>
    <t>FUSE</t>
  </si>
  <si>
    <t xml:space="preserve">DIODE </t>
  </si>
  <si>
    <t>[MDD172-16N1] DIP, 300A-1600V, -40 ~ 125</t>
  </si>
  <si>
    <t>ERG00005</t>
  </si>
  <si>
    <t>인러쉬 충전 및 과전압보호</t>
  </si>
  <si>
    <t>DC 인덕터</t>
  </si>
  <si>
    <t>전류센싱 션트저항</t>
  </si>
  <si>
    <t>[SK-S-03] 300A, 50mV, ±2%</t>
  </si>
  <si>
    <t>인버팅 소자(IGBT)</t>
  </si>
  <si>
    <t>Full Bridge_FF450R12KT4_2P_1M</t>
  </si>
  <si>
    <t>FB000052</t>
  </si>
  <si>
    <t>DC LINK CAPACITOR</t>
  </si>
  <si>
    <t>전류센싱 C/T</t>
  </si>
  <si>
    <t>[CT-T96F-T300_1] 전류검출용 CT 300:1, 페라이트T코아 96mm, 0.3mmX7 USTC (고주파용)</t>
  </si>
  <si>
    <t>LTT00043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</si>
  <si>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</si>
  <si>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</si>
  <si>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</si>
  <si>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</si>
  <si>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</si>
  <si>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</si>
  <si>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</si>
  <si>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</si>
  <si>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</si>
  <si>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</si>
  <si>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</si>
  <si>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</si>
  <si>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</si>
  <si>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</si>
  <si>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</si>
  <si>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FM+LBPWM</t>
  </si>
  <si>
    <t>메인 컨트롤 보드</t>
  </si>
  <si>
    <t>확장(익스펜션) 보드</t>
  </si>
  <si>
    <t>모듈 컨트롤 보드</t>
  </si>
  <si>
    <t>게이트 드라이버 보드</t>
  </si>
  <si>
    <t>IH_GATE_DRIVER_V21_DUAL_R6_800A</t>
  </si>
  <si>
    <t>현대제철_당진 연구소</t>
    <phoneticPr fontId="2" type="noConversion"/>
  </si>
  <si>
    <t>125KW</t>
    <phoneticPr fontId="2" type="noConversion"/>
  </si>
  <si>
    <t>[JRS66-300] 600V 300A</t>
  </si>
  <si>
    <t xml:space="preserve">UFF00013 </t>
    <phoneticPr fontId="2" type="noConversion"/>
  </si>
  <si>
    <t>INRUSH MC_DC SNUBBER(PBA)</t>
  </si>
  <si>
    <t>PSIH-200XF-LI-V1</t>
  </si>
  <si>
    <t>LLL00012 : 실제 630uH</t>
  </si>
  <si>
    <t>고객사 제공</t>
    <phoneticPr fontId="2" type="noConversion"/>
  </si>
  <si>
    <t>IH DIGITAL CONTROL BOARD V3.8</t>
    <phoneticPr fontId="2" type="noConversion"/>
  </si>
  <si>
    <t>305uF 1250V,2400A ,1kHz</t>
    <phoneticPr fontId="2" type="noConversion"/>
  </si>
  <si>
    <t>코일 전압</t>
    <phoneticPr fontId="2" type="noConversion"/>
  </si>
  <si>
    <t>출력케이블 전압</t>
    <phoneticPr fontId="2" type="noConversion"/>
  </si>
  <si>
    <t>3병렬(8탭중7탭) :총 800.6uF, 1250V, 6300A, 1kHz(3EA)</t>
    <phoneticPr fontId="2" type="noConversion"/>
  </si>
  <si>
    <t xml:space="preserve">27/24:2/2/2/2/2/2 (1차 동파이프, 2차 동파이프) 1차 전류: 320A, 2차 전류: 4300A정도
기본 27:2
: 2차 권선은 병렬로 사용하여 4000A 정도까지 사용할 수 있도록 함
-&gt; 동파이스 소선_1차 : 7.9파이 1(1.2)t , 2차 : 9.5파이 1.2t </t>
    <phoneticPr fontId="2" type="noConversion"/>
  </si>
  <si>
    <t>중족단면적 : 75 cm2(아몰퍼스(50x175xSF)
PSA03Y19-0014 참고</t>
    <phoneticPr fontId="2" type="noConversion"/>
  </si>
  <si>
    <t>16~18</t>
    <phoneticPr fontId="2" type="noConversion"/>
  </si>
  <si>
    <t>203A</t>
    <phoneticPr fontId="2" type="noConversion"/>
  </si>
  <si>
    <t>216A</t>
    <phoneticPr fontId="2" type="noConversion"/>
  </si>
  <si>
    <t xml:space="preserve">최대 320A </t>
    <phoneticPr fontId="2" type="noConversion"/>
  </si>
  <si>
    <t xml:space="preserve">최대 4300A </t>
    <phoneticPr fontId="2" type="noConversion"/>
  </si>
  <si>
    <t>최대 4300A</t>
    <phoneticPr fontId="2" type="noConversion"/>
  </si>
  <si>
    <t>2021.08.06</t>
    <phoneticPr fontId="2" type="noConversion"/>
  </si>
  <si>
    <t>2021.10.04</t>
    <phoneticPr fontId="3" type="noConversion"/>
  </si>
  <si>
    <t>PSA03Y19-0014 참고
외부 통신 연결사항 없음
인버터 장치의 볼륨으로만 출력 가변</t>
    <phoneticPr fontId="2" type="noConversion"/>
  </si>
  <si>
    <t>2000uF(50uF *40EA) : 반제품 코드는 DD500954</t>
    <phoneticPr fontId="2" type="noConversion"/>
  </si>
  <si>
    <t>[DD500954] DC LINK CAP Module, 장착위치: IGBT(62mm package) DIRECT 연결, CAP 용량: 50uF 900V, 가로(행)수: 5, 세로(열)수: 4</t>
    <phoneticPr fontId="2" type="noConversion"/>
  </si>
  <si>
    <t>포스코 하이밀 적용 콘덴서 (장기재고)
탭 가변: 8탭중 6탭, 7탭, 8탭 변경가능, 
기본은 7탭으로 진행.</t>
    <phoneticPr fontId="2" type="noConversion"/>
  </si>
  <si>
    <t>코일 L값</t>
    <phoneticPr fontId="2" type="noConversion"/>
  </si>
  <si>
    <t>출력케이블 L값</t>
    <phoneticPr fontId="2" type="noConversion"/>
  </si>
  <si>
    <t>2021.07.08</t>
    <phoneticPr fontId="2" type="noConversion"/>
  </si>
  <si>
    <t>2kHz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</si>
</sst>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12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177" fontId="8" fillId="0" borderId="28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8" borderId="28" xfId="0" applyFont="1" applyFill="1" applyBorder="1" applyAlignment="1">
      <alignment vertical="center"/>
    </xf>
    <xf numFmtId="0" fontId="10" fillId="9" borderId="28" xfId="0" applyFont="1" applyFill="1" applyBorder="1" applyAlignment="1">
      <alignment vertical="center"/>
    </xf>
    <xf numFmtId="0" fontId="10" fillId="10" borderId="28" xfId="0" applyFont="1" applyFill="1" applyBorder="1" applyAlignment="1">
      <alignment vertical="center"/>
    </xf>
    <xf numFmtId="0" fontId="10" fillId="11" borderId="28" xfId="0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0" fillId="0" borderId="0" xfId="2" applyFont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8" fillId="0" borderId="28" xfId="0" applyNumberFormat="1" applyFont="1" applyBorder="1" applyAlignment="1">
      <alignment vertical="center"/>
    </xf>
    <xf numFmtId="0" fontId="9" fillId="8" borderId="28" xfId="0" applyNumberFormat="1" applyFont="1" applyFill="1" applyBorder="1" applyAlignment="1">
      <alignment vertical="center"/>
    </xf>
    <xf numFmtId="1" fontId="9" fillId="0" borderId="28" xfId="0" applyNumberFormat="1" applyFont="1" applyBorder="1" applyAlignment="1">
      <alignment vertical="center"/>
    </xf>
    <xf numFmtId="0" fontId="8" fillId="9" borderId="28" xfId="0" applyNumberFormat="1" applyFont="1" applyFill="1" applyBorder="1" applyAlignment="1">
      <alignment vertical="center"/>
    </xf>
    <xf numFmtId="0" fontId="10" fillId="9" borderId="28" xfId="0" applyNumberFormat="1" applyFont="1" applyFill="1" applyBorder="1" applyAlignment="1">
      <alignment vertical="center"/>
    </xf>
    <xf numFmtId="0" fontId="10" fillId="0" borderId="28" xfId="2" applyFont="1" applyBorder="1" applyAlignment="1">
      <alignment vertical="center"/>
    </xf>
    <xf numFmtId="0" fontId="10" fillId="9" borderId="28" xfId="2" applyFont="1" applyFill="1" applyBorder="1" applyAlignment="1">
      <alignment vertical="center"/>
    </xf>
    <xf numFmtId="0" fontId="10" fillId="10" borderId="28" xfId="2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178" fontId="8" fillId="9" borderId="28" xfId="0" applyNumberFormat="1" applyFont="1" applyFill="1" applyBorder="1" applyAlignment="1">
      <alignment vertical="center"/>
    </xf>
    <xf numFmtId="178" fontId="8" fillId="10" borderId="28" xfId="0" applyNumberFormat="1" applyFont="1" applyFill="1" applyBorder="1" applyAlignment="1">
      <alignment vertical="center"/>
    </xf>
    <xf numFmtId="178" fontId="11" fillId="12" borderId="28" xfId="0" applyNumberFormat="1" applyFont="1" applyFill="1" applyBorder="1" applyAlignment="1">
      <alignment vertical="center"/>
    </xf>
    <xf numFmtId="0" fontId="11" fillId="10" borderId="28" xfId="2" quotePrefix="1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82" fontId="11" fillId="10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0" fontId="10" fillId="0" borderId="28" xfId="0" applyFont="1" applyBorder="1"/>
    <xf numFmtId="0" fontId="10" fillId="9" borderId="28" xfId="0" applyFont="1" applyFill="1" applyBorder="1"/>
    <xf numFmtId="0" fontId="10" fillId="9" borderId="28" xfId="0" applyFont="1" applyFill="1" applyBorder="1" applyAlignment="1">
      <alignment horizontal="right"/>
    </xf>
    <xf numFmtId="0" fontId="11" fillId="0" borderId="28" xfId="0" applyFont="1" applyBorder="1"/>
    <xf numFmtId="178" fontId="11" fillId="10" borderId="28" xfId="0" applyNumberFormat="1" applyFont="1" applyFill="1" applyBorder="1"/>
    <xf numFmtId="0" fontId="10" fillId="0" borderId="28" xfId="0" applyFont="1" applyFill="1" applyBorder="1"/>
    <xf numFmtId="0" fontId="11" fillId="10" borderId="28" xfId="0" applyFont="1" applyFill="1" applyBorder="1"/>
    <xf numFmtId="0" fontId="9" fillId="0" borderId="28" xfId="0" applyFont="1" applyFill="1" applyBorder="1" applyAlignment="1">
      <alignment vertical="center"/>
    </xf>
    <xf numFmtId="178" fontId="10" fillId="9" borderId="28" xfId="0" applyNumberFormat="1" applyFont="1" applyFill="1" applyBorder="1" applyAlignment="1">
      <alignment horizontal="right"/>
    </xf>
    <xf numFmtId="178" fontId="10" fillId="13" borderId="28" xfId="0" applyNumberFormat="1" applyFont="1" applyFill="1" applyBorder="1" applyAlignment="1">
      <alignment horizontal="right"/>
    </xf>
    <xf numFmtId="178" fontId="10" fillId="13" borderId="28" xfId="0" applyNumberFormat="1" applyFont="1" applyFill="1" applyBorder="1"/>
    <xf numFmtId="178" fontId="12" fillId="10" borderId="28" xfId="0" applyNumberFormat="1" applyFont="1" applyFill="1" applyBorder="1" applyAlignment="1">
      <alignment horizontal="right"/>
    </xf>
    <xf numFmtId="178" fontId="10" fillId="8" borderId="28" xfId="0" applyNumberFormat="1" applyFont="1" applyFill="1" applyBorder="1" applyAlignment="1">
      <alignment horizontal="right"/>
    </xf>
    <xf numFmtId="178" fontId="9" fillId="10" borderId="28" xfId="0" applyNumberFormat="1" applyFont="1" applyFill="1" applyBorder="1" applyAlignment="1">
      <alignment horizontal="right"/>
    </xf>
    <xf numFmtId="178" fontId="11" fillId="10" borderId="28" xfId="0" applyNumberFormat="1" applyFont="1" applyFill="1" applyBorder="1" applyAlignment="1">
      <alignment horizontal="right"/>
    </xf>
    <xf numFmtId="178" fontId="12" fillId="9" borderId="28" xfId="0" applyNumberFormat="1" applyFont="1" applyFill="1" applyBorder="1" applyAlignment="1">
      <alignment horizontal="right"/>
    </xf>
    <xf numFmtId="0" fontId="10" fillId="14" borderId="28" xfId="2" applyFont="1" applyFill="1" applyBorder="1">
      <alignment vertical="center"/>
    </xf>
    <xf numFmtId="0" fontId="10" fillId="0" borderId="0" xfId="2" applyFont="1">
      <alignment vertical="center"/>
    </xf>
    <xf numFmtId="0" fontId="10" fillId="0" borderId="28" xfId="2" applyFont="1" applyBorder="1">
      <alignment vertical="center"/>
    </xf>
    <xf numFmtId="0" fontId="12" fillId="0" borderId="28" xfId="2" applyFont="1" applyBorder="1" applyAlignment="1">
      <alignment horizontal="center" vertical="center"/>
    </xf>
    <xf numFmtId="0" fontId="11" fillId="0" borderId="28" xfId="2" applyFont="1" applyBorder="1">
      <alignment vertical="center"/>
    </xf>
    <xf numFmtId="0" fontId="12" fillId="0" borderId="28" xfId="2" applyFont="1" applyBorder="1">
      <alignment vertical="center"/>
    </xf>
    <xf numFmtId="0" fontId="12" fillId="0" borderId="28" xfId="2" applyFont="1" applyBorder="1" applyAlignment="1">
      <alignment vertical="center" wrapText="1"/>
    </xf>
    <xf numFmtId="0" fontId="12" fillId="0" borderId="28" xfId="0" applyFont="1" applyBorder="1"/>
    <xf numFmtId="0" fontId="10" fillId="8" borderId="28" xfId="0" applyFont="1" applyFill="1" applyBorder="1"/>
    <xf numFmtId="178" fontId="10" fillId="8" borderId="28" xfId="0" applyNumberFormat="1" applyFont="1" applyFill="1" applyBorder="1"/>
    <xf numFmtId="178" fontId="9" fillId="8" borderId="28" xfId="0" applyNumberFormat="1" applyFont="1" applyFill="1" applyBorder="1"/>
    <xf numFmtId="0" fontId="10" fillId="9" borderId="28" xfId="2" applyFont="1" applyFill="1" applyBorder="1">
      <alignment vertical="center"/>
    </xf>
    <xf numFmtId="0" fontId="13" fillId="0" borderId="0" xfId="2" applyFont="1">
      <alignment vertical="center"/>
    </xf>
    <xf numFmtId="0" fontId="8" fillId="0" borderId="28" xfId="0" applyFont="1" applyBorder="1" applyAlignment="1">
      <alignment horizontal="left" vertical="center"/>
    </xf>
    <xf numFmtId="0" fontId="10" fillId="10" borderId="28" xfId="2" applyFont="1" applyFill="1" applyBorder="1">
      <alignment vertical="center"/>
    </xf>
    <xf numFmtId="0" fontId="11" fillId="12" borderId="28" xfId="2" applyFont="1" applyFill="1" applyBorder="1">
      <alignment vertical="center"/>
    </xf>
    <xf numFmtId="176" fontId="10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4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8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11" borderId="28" xfId="0" applyFont="1" applyFill="1" applyBorder="1" applyAlignment="1">
      <alignment horizontal="left"/>
    </xf>
    <xf numFmtId="0" fontId="10" fillId="11" borderId="28" xfId="2" applyFont="1" applyFill="1" applyBorder="1">
      <alignment vertical="center"/>
    </xf>
    <xf numFmtId="0" fontId="11" fillId="10" borderId="28" xfId="2" applyFont="1" applyFill="1" applyBorder="1">
      <alignment vertical="center"/>
    </xf>
    <xf numFmtId="0" fontId="10" fillId="11" borderId="28" xfId="2" applyFont="1" applyFill="1" applyBorder="1" applyAlignment="1">
      <alignment vertical="center"/>
    </xf>
    <xf numFmtId="0" fontId="10" fillId="10" borderId="35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left" vertical="center"/>
    </xf>
    <xf numFmtId="0" fontId="10" fillId="8" borderId="37" xfId="0" applyFont="1" applyFill="1" applyBorder="1" applyAlignment="1">
      <alignment horizontal="left"/>
    </xf>
    <xf numFmtId="180" fontId="10" fillId="8" borderId="37" xfId="0" applyNumberFormat="1" applyFont="1" applyFill="1" applyBorder="1" applyAlignment="1">
      <alignment horizontal="left" vertical="center"/>
    </xf>
    <xf numFmtId="181" fontId="10" fillId="8" borderId="37" xfId="0" applyNumberFormat="1" applyFont="1" applyFill="1" applyBorder="1" applyAlignment="1">
      <alignment horizontal="left" vertical="center"/>
    </xf>
    <xf numFmtId="179" fontId="10" fillId="8" borderId="37" xfId="0" applyNumberFormat="1" applyFont="1" applyFill="1" applyBorder="1" applyAlignment="1">
      <alignment horizontal="left" vertical="center"/>
    </xf>
    <xf numFmtId="0" fontId="10" fillId="8" borderId="38" xfId="0" applyFont="1" applyFill="1" applyBorder="1" applyAlignment="1">
      <alignment horizontal="left" vertical="center"/>
    </xf>
    <xf numFmtId="0" fontId="10" fillId="8" borderId="39" xfId="0" applyFont="1" applyFill="1" applyBorder="1" applyAlignment="1">
      <alignment horizontal="center" vertical="center"/>
    </xf>
    <xf numFmtId="0" fontId="10" fillId="8" borderId="37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left" vertical="center"/>
    </xf>
    <xf numFmtId="0" fontId="10" fillId="14" borderId="40" xfId="0" applyFont="1" applyFill="1" applyBorder="1" applyAlignment="1">
      <alignment horizontal="center" vertical="center"/>
    </xf>
    <xf numFmtId="180" fontId="10" fillId="8" borderId="41" xfId="0" applyNumberFormat="1" applyFont="1" applyFill="1" applyBorder="1" applyAlignment="1">
      <alignment horizontal="left" vertical="center"/>
    </xf>
    <xf numFmtId="0" fontId="10" fillId="8" borderId="41" xfId="0" applyFont="1" applyFill="1" applyBorder="1" applyAlignment="1">
      <alignment horizontal="left" vertical="center"/>
    </xf>
    <xf numFmtId="0" fontId="10" fillId="8" borderId="41" xfId="0" applyFont="1" applyFill="1" applyBorder="1" applyAlignment="1">
      <alignment horizontal="left"/>
    </xf>
    <xf numFmtId="181" fontId="10" fillId="8" borderId="41" xfId="0" applyNumberFormat="1" applyFont="1" applyFill="1" applyBorder="1" applyAlignment="1">
      <alignment horizontal="left" vertical="center"/>
    </xf>
    <xf numFmtId="179" fontId="10" fillId="8" borderId="41" xfId="0" applyNumberFormat="1" applyFont="1" applyFill="1" applyBorder="1" applyAlignment="1">
      <alignment horizontal="left" vertical="center"/>
    </xf>
    <xf numFmtId="0" fontId="10" fillId="8" borderId="41" xfId="0" applyFont="1" applyFill="1" applyBorder="1" applyAlignment="1">
      <alignment horizontal="center" vertical="center"/>
    </xf>
    <xf numFmtId="0" fontId="10" fillId="8" borderId="42" xfId="0" applyFont="1" applyFill="1" applyBorder="1" applyAlignment="1">
      <alignment horizontal="left" vertical="center"/>
    </xf>
    <xf numFmtId="0" fontId="10" fillId="0" borderId="43" xfId="0" applyFont="1" applyBorder="1" applyAlignment="1">
      <alignment horizontal="left" vertical="center"/>
    </xf>
    <xf numFmtId="0" fontId="10" fillId="14" borderId="44" xfId="0" applyFont="1" applyFill="1" applyBorder="1" applyAlignment="1">
      <alignment horizontal="center" vertical="center"/>
    </xf>
    <xf numFmtId="0" fontId="10" fillId="8" borderId="45" xfId="0" applyFont="1" applyFill="1" applyBorder="1" applyAlignment="1">
      <alignment horizontal="left" vertical="center"/>
    </xf>
    <xf numFmtId="0" fontId="10" fillId="8" borderId="45" xfId="0" applyFont="1" applyFill="1" applyBorder="1" applyAlignment="1">
      <alignment horizontal="left"/>
    </xf>
    <xf numFmtId="180" fontId="10" fillId="8" borderId="45" xfId="0" applyNumberFormat="1" applyFont="1" applyFill="1" applyBorder="1" applyAlignment="1">
      <alignment horizontal="left" vertical="center"/>
    </xf>
    <xf numFmtId="181" fontId="10" fillId="8" borderId="45" xfId="0" applyNumberFormat="1" applyFont="1" applyFill="1" applyBorder="1" applyAlignment="1">
      <alignment horizontal="left" vertical="center"/>
    </xf>
    <xf numFmtId="179" fontId="10" fillId="8" borderId="45" xfId="0" applyNumberFormat="1" applyFont="1" applyFill="1" applyBorder="1" applyAlignment="1">
      <alignment horizontal="left" vertical="center"/>
    </xf>
    <xf numFmtId="0" fontId="10" fillId="8" borderId="4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179" fontId="10" fillId="9" borderId="28" xfId="0" applyNumberFormat="1" applyFont="1" applyFill="1" applyBorder="1" applyAlignment="1">
      <alignment horizontal="right"/>
    </xf>
    <xf numFmtId="0" fontId="14" fillId="0" borderId="29" xfId="0" applyFont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8" fillId="6" borderId="4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88" fontId="8" fillId="6" borderId="28" xfId="0" applyNumberFormat="1" applyFont="1" applyFill="1" applyBorder="1" applyAlignment="1">
      <alignment vertical="center"/>
    </xf>
    <xf numFmtId="41" fontId="10" fillId="6" borderId="28" xfId="1" applyFont="1" applyFill="1" applyBorder="1" applyAlignment="1">
      <alignment vertical="center"/>
    </xf>
    <xf numFmtId="188" fontId="9" fillId="0" borderId="28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88" fontId="8" fillId="0" borderId="28" xfId="0" applyNumberFormat="1" applyFont="1" applyBorder="1" applyAlignment="1">
      <alignment vertical="center"/>
    </xf>
    <xf numFmtId="41" fontId="10" fillId="0" borderId="28" xfId="1" applyFont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41" fontId="10" fillId="6" borderId="28" xfId="1" applyNumberFormat="1" applyFont="1" applyFill="1" applyBorder="1" applyAlignment="1">
      <alignment vertical="center"/>
    </xf>
    <xf numFmtId="188" fontId="10" fillId="6" borderId="28" xfId="0" applyNumberFormat="1" applyFont="1" applyFill="1" applyBorder="1" applyAlignment="1">
      <alignment vertical="center"/>
    </xf>
    <xf numFmtId="0" fontId="8" fillId="6" borderId="28" xfId="0" applyFont="1" applyFill="1" applyBorder="1" applyAlignment="1">
      <alignment vertical="center"/>
    </xf>
    <xf numFmtId="189" fontId="10" fillId="6" borderId="28" xfId="1" applyNumberFormat="1" applyFont="1" applyFill="1" applyBorder="1" applyAlignment="1">
      <alignment vertical="center"/>
    </xf>
    <xf numFmtId="0" fontId="10" fillId="6" borderId="28" xfId="0" applyFont="1" applyFill="1" applyBorder="1" applyAlignment="1">
      <alignment vertical="center"/>
    </xf>
    <xf numFmtId="0" fontId="10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left" vertical="center"/>
    </xf>
    <xf numFmtId="178" fontId="8" fillId="6" borderId="28" xfId="0" applyNumberFormat="1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vertical="center" wrapText="1"/>
    </xf>
    <xf numFmtId="180" fontId="10" fillId="6" borderId="28" xfId="1" applyNumberFormat="1" applyFont="1" applyFill="1" applyBorder="1" applyAlignment="1">
      <alignment vertical="center"/>
    </xf>
    <xf numFmtId="0" fontId="10" fillId="0" borderId="28" xfId="0" applyFont="1" applyBorder="1" applyAlignment="1">
      <alignment horizontal="left" vertical="center"/>
    </xf>
    <xf numFmtId="0" fontId="0" fillId="0" borderId="0" xfId="0" applyFill="1"/>
    <xf numFmtId="0" fontId="0" fillId="0" borderId="0" xfId="0" quotePrefix="1" applyFill="1"/>
    <xf numFmtId="0" fontId="0" fillId="0" borderId="0" xfId="0" applyFont="1" applyFill="1"/>
    <xf numFmtId="0" fontId="0" fillId="0" borderId="0" xfId="0" applyFont="1"/>
    <xf numFmtId="190" fontId="10" fillId="6" borderId="28" xfId="1" applyNumberFormat="1" applyFont="1" applyFill="1" applyBorder="1" applyAlignment="1">
      <alignment vertical="center"/>
    </xf>
    <xf numFmtId="191" fontId="10" fillId="0" borderId="28" xfId="0" applyNumberFormat="1" applyFont="1" applyBorder="1" applyAlignment="1">
      <alignment horizontal="left"/>
    </xf>
    <xf numFmtId="187" fontId="10" fillId="9" borderId="29" xfId="2" applyNumberFormat="1" applyFont="1" applyFill="1" applyBorder="1">
      <alignment vertical="center"/>
    </xf>
    <xf numFmtId="2" fontId="10" fillId="8" borderId="29" xfId="2" applyNumberFormat="1" applyFont="1" applyFill="1" applyBorder="1">
      <alignment vertical="center"/>
    </xf>
    <xf numFmtId="187" fontId="10" fillId="13" borderId="29" xfId="2" applyNumberFormat="1" applyFont="1" applyFill="1" applyBorder="1">
      <alignment vertical="center"/>
    </xf>
    <xf numFmtId="187" fontId="10" fillId="8" borderId="29" xfId="2" applyNumberFormat="1" applyFont="1" applyFill="1" applyBorder="1">
      <alignment vertical="center"/>
    </xf>
    <xf numFmtId="187" fontId="10" fillId="0" borderId="29" xfId="2" applyNumberFormat="1" applyFont="1" applyBorder="1">
      <alignment vertical="center"/>
    </xf>
    <xf numFmtId="2" fontId="10" fillId="9" borderId="29" xfId="2" applyNumberFormat="1" applyFont="1" applyFill="1" applyBorder="1">
      <alignment vertical="center"/>
    </xf>
    <xf numFmtId="2" fontId="10" fillId="10" borderId="29" xfId="2" applyNumberFormat="1" applyFont="1" applyFill="1" applyBorder="1">
      <alignment vertical="center"/>
    </xf>
    <xf numFmtId="187" fontId="10" fillId="10" borderId="29" xfId="2" applyNumberFormat="1" applyFont="1" applyFill="1" applyBorder="1">
      <alignment vertical="center"/>
    </xf>
    <xf numFmtId="187" fontId="10" fillId="14" borderId="29" xfId="2" applyNumberFormat="1" applyFont="1" applyFill="1" applyBorder="1">
      <alignment vertical="center"/>
    </xf>
    <xf numFmtId="187" fontId="10" fillId="9" borderId="48" xfId="2" applyNumberFormat="1" applyFont="1" applyFill="1" applyBorder="1">
      <alignment vertical="center"/>
    </xf>
    <xf numFmtId="2" fontId="10" fillId="8" borderId="48" xfId="2" applyNumberFormat="1" applyFont="1" applyFill="1" applyBorder="1">
      <alignment vertical="center"/>
    </xf>
    <xf numFmtId="187" fontId="10" fillId="13" borderId="48" xfId="2" applyNumberFormat="1" applyFont="1" applyFill="1" applyBorder="1">
      <alignment vertical="center"/>
    </xf>
    <xf numFmtId="187" fontId="10" fillId="8" borderId="48" xfId="2" applyNumberFormat="1" applyFont="1" applyFill="1" applyBorder="1">
      <alignment vertical="center"/>
    </xf>
    <xf numFmtId="187" fontId="10" fillId="0" borderId="48" xfId="2" applyNumberFormat="1" applyFont="1" applyBorder="1">
      <alignment vertical="center"/>
    </xf>
    <xf numFmtId="2" fontId="10" fillId="9" borderId="48" xfId="2" applyNumberFormat="1" applyFont="1" applyFill="1" applyBorder="1">
      <alignment vertical="center"/>
    </xf>
    <xf numFmtId="2" fontId="10" fillId="10" borderId="48" xfId="2" applyNumberFormat="1" applyFont="1" applyFill="1" applyBorder="1">
      <alignment vertical="center"/>
    </xf>
    <xf numFmtId="187" fontId="10" fillId="10" borderId="48" xfId="2" applyNumberFormat="1" applyFont="1" applyFill="1" applyBorder="1">
      <alignment vertical="center"/>
    </xf>
    <xf numFmtId="187" fontId="10" fillId="14" borderId="48" xfId="2" applyNumberFormat="1" applyFont="1" applyFill="1" applyBorder="1">
      <alignment vertical="center"/>
    </xf>
    <xf numFmtId="187" fontId="10" fillId="9" borderId="65" xfId="2" applyNumberFormat="1" applyFont="1" applyFill="1" applyBorder="1">
      <alignment vertical="center"/>
    </xf>
    <xf numFmtId="187" fontId="10" fillId="9" borderId="66" xfId="2" applyNumberFormat="1" applyFont="1" applyFill="1" applyBorder="1">
      <alignment vertical="center"/>
    </xf>
    <xf numFmtId="2" fontId="10" fillId="8" borderId="66" xfId="2" applyNumberFormat="1" applyFont="1" applyFill="1" applyBorder="1">
      <alignment vertical="center"/>
    </xf>
    <xf numFmtId="187" fontId="10" fillId="13" borderId="66" xfId="2" applyNumberFormat="1" applyFont="1" applyFill="1" applyBorder="1">
      <alignment vertical="center"/>
    </xf>
    <xf numFmtId="187" fontId="10" fillId="8" borderId="66" xfId="2" applyNumberFormat="1" applyFont="1" applyFill="1" applyBorder="1">
      <alignment vertical="center"/>
    </xf>
    <xf numFmtId="187" fontId="10" fillId="0" borderId="66" xfId="2" applyNumberFormat="1" applyFont="1" applyBorder="1">
      <alignment vertical="center"/>
    </xf>
    <xf numFmtId="2" fontId="10" fillId="9" borderId="66" xfId="2" applyNumberFormat="1" applyFont="1" applyFill="1" applyBorder="1">
      <alignment vertical="center"/>
    </xf>
    <xf numFmtId="2" fontId="10" fillId="10" borderId="66" xfId="2" applyNumberFormat="1" applyFont="1" applyFill="1" applyBorder="1">
      <alignment vertical="center"/>
    </xf>
    <xf numFmtId="187" fontId="10" fillId="10" borderId="66" xfId="2" applyNumberFormat="1" applyFont="1" applyFill="1" applyBorder="1">
      <alignment vertical="center"/>
    </xf>
    <xf numFmtId="187" fontId="10" fillId="14" borderId="66" xfId="2" applyNumberFormat="1" applyFont="1" applyFill="1" applyBorder="1">
      <alignment vertical="center"/>
    </xf>
    <xf numFmtId="187" fontId="10" fillId="8" borderId="67" xfId="2" applyNumberFormat="1" applyFont="1" applyFill="1" applyBorder="1">
      <alignment vertical="center"/>
    </xf>
    <xf numFmtId="0" fontId="10" fillId="0" borderId="0" xfId="2" applyFont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182" fontId="11" fillId="10" borderId="0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87" fontId="10" fillId="6" borderId="29" xfId="2" applyNumberFormat="1" applyFont="1" applyFill="1" applyBorder="1">
      <alignment vertical="center"/>
    </xf>
    <xf numFmtId="187" fontId="10" fillId="9" borderId="28" xfId="2" applyNumberFormat="1" applyFont="1" applyFill="1" applyBorder="1">
      <alignment vertical="center"/>
    </xf>
    <xf numFmtId="2" fontId="10" fillId="8" borderId="28" xfId="2" applyNumberFormat="1" applyFont="1" applyFill="1" applyBorder="1">
      <alignment vertical="center"/>
    </xf>
    <xf numFmtId="187" fontId="10" fillId="13" borderId="28" xfId="2" applyNumberFormat="1" applyFont="1" applyFill="1" applyBorder="1">
      <alignment vertical="center"/>
    </xf>
    <xf numFmtId="187" fontId="10" fillId="8" borderId="28" xfId="2" applyNumberFormat="1" applyFont="1" applyFill="1" applyBorder="1">
      <alignment vertical="center"/>
    </xf>
    <xf numFmtId="187" fontId="10" fillId="0" borderId="28" xfId="2" applyNumberFormat="1" applyFont="1" applyBorder="1">
      <alignment vertical="center"/>
    </xf>
    <xf numFmtId="2" fontId="10" fillId="9" borderId="28" xfId="2" applyNumberFormat="1" applyFont="1" applyFill="1" applyBorder="1">
      <alignment vertical="center"/>
    </xf>
    <xf numFmtId="2" fontId="10" fillId="10" borderId="28" xfId="2" applyNumberFormat="1" applyFont="1" applyFill="1" applyBorder="1">
      <alignment vertical="center"/>
    </xf>
    <xf numFmtId="187" fontId="10" fillId="10" borderId="28" xfId="2" applyNumberFormat="1" applyFont="1" applyFill="1" applyBorder="1">
      <alignment vertical="center"/>
    </xf>
    <xf numFmtId="187" fontId="10" fillId="14" borderId="28" xfId="2" applyNumberFormat="1" applyFont="1" applyFill="1" applyBorder="1">
      <alignment vertical="center"/>
    </xf>
    <xf numFmtId="187" fontId="10" fillId="6" borderId="28" xfId="2" applyNumberFormat="1" applyFont="1" applyFill="1" applyBorder="1">
      <alignment vertical="center"/>
    </xf>
    <xf numFmtId="0" fontId="10" fillId="0" borderId="50" xfId="2" applyFont="1" applyBorder="1" applyAlignment="1">
      <alignment vertical="center"/>
    </xf>
    <xf numFmtId="0" fontId="10" fillId="0" borderId="50" xfId="2" applyFont="1" applyBorder="1" applyAlignment="1">
      <alignment horizontal="center" vertical="center"/>
    </xf>
    <xf numFmtId="187" fontId="10" fillId="6" borderId="48" xfId="2" applyNumberFormat="1" applyFont="1" applyFill="1" applyBorder="1">
      <alignment vertical="center"/>
    </xf>
    <xf numFmtId="0" fontId="10" fillId="0" borderId="0" xfId="2" applyFont="1" applyBorder="1" applyAlignment="1">
      <alignment vertical="center"/>
    </xf>
    <xf numFmtId="187" fontId="10" fillId="6" borderId="66" xfId="2" applyNumberFormat="1" applyFont="1" applyFill="1" applyBorder="1">
      <alignment vertical="center"/>
    </xf>
    <xf numFmtId="0" fontId="15" fillId="0" borderId="30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31" xfId="0" applyFont="1" applyBorder="1" applyAlignment="1">
      <alignment vertical="center"/>
    </xf>
    <xf numFmtId="0" fontId="15" fillId="8" borderId="32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 wrapText="1"/>
    </xf>
    <xf numFmtId="22" fontId="15" fillId="8" borderId="31" xfId="0" applyNumberFormat="1" applyFont="1" applyFill="1" applyBorder="1" applyAlignment="1">
      <alignment vertical="center"/>
    </xf>
    <xf numFmtId="0" fontId="16" fillId="0" borderId="31" xfId="0" applyFont="1" applyBorder="1" applyAlignment="1">
      <alignment vertical="center" wrapText="1"/>
    </xf>
    <xf numFmtId="0" fontId="15" fillId="0" borderId="33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8" borderId="33" xfId="0" applyFont="1" applyFill="1" applyBorder="1" applyAlignment="1">
      <alignment vertical="center"/>
    </xf>
    <xf numFmtId="0" fontId="15" fillId="8" borderId="34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/>
    </xf>
    <xf numFmtId="0" fontId="15" fillId="8" borderId="31" xfId="0" applyFont="1" applyFill="1" applyBorder="1" applyAlignment="1">
      <alignment vertical="center" wrapText="1"/>
    </xf>
    <xf numFmtId="0" fontId="15" fillId="8" borderId="31" xfId="0" applyFont="1" applyFill="1" applyBorder="1" applyAlignment="1">
      <alignment vertical="center" wrapText="1"/>
    </xf>
    <xf numFmtId="0" fontId="12" fillId="0" borderId="0" xfId="2" applyFont="1" applyAlignment="1">
      <alignment horizontal="left" vertical="center"/>
    </xf>
    <xf numFmtId="0" fontId="12" fillId="0" borderId="50" xfId="0" applyFont="1" applyBorder="1" applyAlignment="1">
      <alignment horizontal="left"/>
    </xf>
    <xf numFmtId="0" fontId="12" fillId="0" borderId="50" xfId="2" applyFont="1" applyBorder="1" applyAlignment="1">
      <alignment horizontal="left" vertical="center"/>
    </xf>
    <xf numFmtId="0" fontId="10" fillId="11" borderId="28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49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41" fontId="10" fillId="6" borderId="29" xfId="1" applyFont="1" applyFill="1" applyBorder="1" applyAlignment="1">
      <alignment horizontal="center" vertical="center"/>
    </xf>
    <xf numFmtId="41" fontId="10" fillId="6" borderId="53" xfId="1" applyFont="1" applyFill="1" applyBorder="1" applyAlignment="1">
      <alignment horizontal="center" vertical="center"/>
    </xf>
    <xf numFmtId="41" fontId="10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10" fillId="0" borderId="49" xfId="0" applyFont="1" applyBorder="1" applyAlignment="1">
      <alignment horizontal="left" vertical="center" wrapText="1"/>
    </xf>
    <xf numFmtId="0" fontId="18" fillId="6" borderId="29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8" fillId="6" borderId="48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20" fillId="6" borderId="48" xfId="0" applyFont="1" applyFill="1" applyBorder="1" applyAlignment="1">
      <alignment horizontal="center" vertical="center"/>
    </xf>
    <xf numFmtId="0" fontId="10" fillId="8" borderId="38" xfId="0" applyFont="1" applyFill="1" applyBorder="1" applyAlignment="1">
      <alignment horizontal="left" vertical="center"/>
    </xf>
    <xf numFmtId="0" fontId="10" fillId="8" borderId="54" xfId="0" applyFont="1" applyFill="1" applyBorder="1" applyAlignment="1">
      <alignment horizontal="left" vertical="center"/>
    </xf>
    <xf numFmtId="0" fontId="10" fillId="10" borderId="30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10" fillId="10" borderId="58" xfId="0" applyFont="1" applyFill="1" applyBorder="1" applyAlignment="1">
      <alignment horizontal="center" vertical="center"/>
    </xf>
    <xf numFmtId="0" fontId="10" fillId="10" borderId="59" xfId="0" applyFont="1" applyFill="1" applyBorder="1" applyAlignment="1">
      <alignment horizontal="center" vertical="center"/>
    </xf>
    <xf numFmtId="0" fontId="10" fillId="10" borderId="55" xfId="0" applyFont="1" applyFill="1" applyBorder="1" applyAlignment="1">
      <alignment horizontal="center" vertical="center"/>
    </xf>
    <xf numFmtId="0" fontId="10" fillId="10" borderId="56" xfId="0" applyFont="1" applyFill="1" applyBorder="1" applyAlignment="1">
      <alignment horizontal="center" vertical="center"/>
    </xf>
    <xf numFmtId="0" fontId="10" fillId="10" borderId="57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/>
    </xf>
    <xf numFmtId="0" fontId="10" fillId="15" borderId="30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9" fillId="2" borderId="62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9" fillId="5" borderId="63" xfId="0" applyFont="1" applyFill="1" applyBorder="1" applyAlignment="1">
      <alignment horizontal="center" vertical="center"/>
    </xf>
    <xf numFmtId="0" fontId="9" fillId="6" borderId="63" xfId="0" applyFont="1" applyFill="1" applyBorder="1" applyAlignment="1">
      <alignment horizontal="center" vertical="center"/>
    </xf>
    <xf numFmtId="0" fontId="9" fillId="6" borderId="64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1553895</xdr:colOff>
      <xdr:row>21</xdr:row>
      <xdr:rowOff>58555</xdr:rowOff>
    </xdr:from>
    <xdr:to>
      <xdr:col>23</xdr:col>
      <xdr:colOff>1657845</xdr:colOff>
      <xdr:row>21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1702975</xdr:colOff>
      <xdr:row>21</xdr:row>
      <xdr:rowOff>61441</xdr:rowOff>
    </xdr:from>
    <xdr:to>
      <xdr:col>23</xdr:col>
      <xdr:colOff>1787119</xdr:colOff>
      <xdr:row>21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1553895</xdr:colOff>
      <xdr:row>25</xdr:row>
      <xdr:rowOff>58555</xdr:rowOff>
    </xdr:from>
    <xdr:to>
      <xdr:col>23</xdr:col>
      <xdr:colOff>1657845</xdr:colOff>
      <xdr:row>25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1702975</xdr:colOff>
      <xdr:row>25</xdr:row>
      <xdr:rowOff>61441</xdr:rowOff>
    </xdr:from>
    <xdr:to>
      <xdr:col>23</xdr:col>
      <xdr:colOff>1787119</xdr:colOff>
      <xdr:row>25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1830839</xdr:colOff>
      <xdr:row>25</xdr:row>
      <xdr:rowOff>54807</xdr:rowOff>
    </xdr:from>
    <xdr:to>
      <xdr:col>23</xdr:col>
      <xdr:colOff>1919896</xdr:colOff>
      <xdr:row>25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1962774</xdr:colOff>
      <xdr:row>25</xdr:row>
      <xdr:rowOff>57693</xdr:rowOff>
    </xdr:from>
    <xdr:to>
      <xdr:col>23</xdr:col>
      <xdr:colOff>2046918</xdr:colOff>
      <xdr:row>25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1553707</xdr:colOff>
      <xdr:row>29</xdr:row>
      <xdr:rowOff>23231</xdr:rowOff>
    </xdr:from>
    <xdr:to>
      <xdr:col>23</xdr:col>
      <xdr:colOff>1633924</xdr:colOff>
      <xdr:row>29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1673745</xdr:colOff>
      <xdr:row>29</xdr:row>
      <xdr:rowOff>23231</xdr:rowOff>
    </xdr:from>
    <xdr:to>
      <xdr:col>23</xdr:col>
      <xdr:colOff>1744825</xdr:colOff>
      <xdr:row>29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1673532</xdr:colOff>
      <xdr:row>29</xdr:row>
      <xdr:rowOff>127780</xdr:rowOff>
    </xdr:from>
    <xdr:to>
      <xdr:col>23</xdr:col>
      <xdr:colOff>1748853</xdr:colOff>
      <xdr:row>29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1560335</xdr:colOff>
      <xdr:row>29</xdr:row>
      <xdr:rowOff>128635</xdr:rowOff>
    </xdr:from>
    <xdr:to>
      <xdr:col>23</xdr:col>
      <xdr:colOff>1633687</xdr:colOff>
      <xdr:row>29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1553895</xdr:colOff>
      <xdr:row>21</xdr:row>
      <xdr:rowOff>58555</xdr:rowOff>
    </xdr:from>
    <xdr:to>
      <xdr:col>23</xdr:col>
      <xdr:colOff>1657845</xdr:colOff>
      <xdr:row>21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1702976</xdr:colOff>
      <xdr:row>21</xdr:row>
      <xdr:rowOff>55621</xdr:rowOff>
    </xdr:from>
    <xdr:to>
      <xdr:col>23</xdr:col>
      <xdr:colOff>1788955</xdr:colOff>
      <xdr:row>21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1553895</xdr:colOff>
      <xdr:row>25</xdr:row>
      <xdr:rowOff>56203</xdr:rowOff>
    </xdr:from>
    <xdr:to>
      <xdr:col>23</xdr:col>
      <xdr:colOff>1657845</xdr:colOff>
      <xdr:row>25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1697918</xdr:colOff>
      <xdr:row>25</xdr:row>
      <xdr:rowOff>54429</xdr:rowOff>
    </xdr:from>
    <xdr:to>
      <xdr:col>23</xdr:col>
      <xdr:colOff>1789132</xdr:colOff>
      <xdr:row>25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1830839</xdr:colOff>
      <xdr:row>25</xdr:row>
      <xdr:rowOff>53245</xdr:rowOff>
    </xdr:from>
    <xdr:to>
      <xdr:col>23</xdr:col>
      <xdr:colOff>1919896</xdr:colOff>
      <xdr:row>25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1955822</xdr:colOff>
      <xdr:row>25</xdr:row>
      <xdr:rowOff>54428</xdr:rowOff>
    </xdr:from>
    <xdr:to>
      <xdr:col>23</xdr:col>
      <xdr:colOff>2054405</xdr:colOff>
      <xdr:row>25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1556969</xdr:colOff>
      <xdr:row>29</xdr:row>
      <xdr:rowOff>23664</xdr:rowOff>
    </xdr:from>
    <xdr:to>
      <xdr:col>23</xdr:col>
      <xdr:colOff>1638944</xdr:colOff>
      <xdr:row>29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1673745</xdr:colOff>
      <xdr:row>29</xdr:row>
      <xdr:rowOff>23230</xdr:rowOff>
    </xdr:from>
    <xdr:to>
      <xdr:col>23</xdr:col>
      <xdr:colOff>1747883</xdr:colOff>
      <xdr:row>29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1679795</xdr:colOff>
      <xdr:row>29</xdr:row>
      <xdr:rowOff>127780</xdr:rowOff>
    </xdr:from>
    <xdr:to>
      <xdr:col>23</xdr:col>
      <xdr:colOff>1754186</xdr:colOff>
      <xdr:row>29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1560335</xdr:colOff>
      <xdr:row>29</xdr:row>
      <xdr:rowOff>131859</xdr:rowOff>
    </xdr:from>
    <xdr:to>
      <xdr:col>23</xdr:col>
      <xdr:colOff>1633687</xdr:colOff>
      <xdr:row>29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96"/>
  <sheetViews>
    <sheetView tabSelected="1" zoomScale="80" zoomScaleNormal="80" workbookViewId="0">
      <selection activeCell="J8" sqref="J8"/>
    </sheetView>
  </sheetViews>
  <sheetFormatPr defaultColWidth="8.8984375" defaultRowHeight="14.4"/>
  <cols>
    <col min="1" max="1" width="8.8984375" style="1"/>
    <col min="2" max="2" width="35.3984375" style="1" customWidth="1"/>
    <col min="3" max="3" width="8.8984375" style="1" bestFit="1" customWidth="1"/>
    <col min="4" max="4" width="6.8984375" style="1" bestFit="1" customWidth="1"/>
    <col min="5" max="6" width="7.296875" style="1" customWidth="1"/>
    <col min="7" max="7" width="6.8984375" style="1" bestFit="1" customWidth="1"/>
    <col min="8" max="8" width="6.296875" style="1" customWidth="1"/>
    <col min="9" max="9" width="8.19921875" style="1" bestFit="1" customWidth="1"/>
    <col min="10" max="10" width="56.59765625" style="1" customWidth="1"/>
    <col min="11" max="11" width="5.3984375" style="1" customWidth="1"/>
    <col min="12" max="12" width="15.796875" style="1" bestFit="1" customWidth="1"/>
    <col min="13" max="13" width="12.8984375" style="1" bestFit="1" customWidth="1"/>
    <col min="14" max="14" width="12.796875" style="1" bestFit="1" customWidth="1"/>
    <col min="15" max="15" width="20.59765625" style="1" customWidth="1"/>
    <col min="16" max="16" width="20.69921875" style="1" bestFit="1" customWidth="1"/>
    <col min="17" max="18" width="8.8984375" style="1"/>
    <col min="19" max="19" width="4.69921875" style="1" customWidth="1"/>
    <col min="20" max="20" width="17.59765625" style="1" bestFit="1" customWidth="1"/>
    <col min="21" max="21" width="8.8984375" style="1"/>
    <col min="22" max="22" width="10.796875" style="1" bestFit="1" customWidth="1"/>
    <col min="23" max="23" width="4.19921875" style="1" customWidth="1"/>
    <col min="24" max="24" width="30" style="1" customWidth="1"/>
    <col min="25" max="16384" width="8.8984375" style="1"/>
  </cols>
  <sheetData>
    <row r="1" spans="2:26" ht="19.2">
      <c r="B1" s="124" t="s">
        <v>312</v>
      </c>
    </row>
    <row r="2" spans="2:26" ht="18" thickBot="1">
      <c r="B2" s="112" t="s">
        <v>240</v>
      </c>
      <c r="C2" s="242"/>
      <c r="D2" s="241"/>
      <c r="E2" s="244"/>
      <c r="F2" s="241"/>
      <c r="G2" s="226"/>
      <c r="H2" s="113"/>
      <c r="I2" s="113" t="s">
        <v>295</v>
      </c>
      <c r="J2" s="113" t="s">
        <v>245</v>
      </c>
    </row>
    <row r="3" spans="2:26" ht="17.399999999999999">
      <c r="B3" s="114" t="s">
        <v>18</v>
      </c>
      <c r="C3" s="231">
        <v>125</v>
      </c>
      <c r="D3" s="197">
        <v>125</v>
      </c>
      <c r="E3" s="215">
        <v>125</v>
      </c>
      <c r="F3" s="206">
        <v>125</v>
      </c>
      <c r="G3" s="231">
        <v>125</v>
      </c>
      <c r="H3" s="114" t="s">
        <v>1</v>
      </c>
      <c r="I3" s="115">
        <v>1</v>
      </c>
      <c r="J3" s="116" t="s">
        <v>243</v>
      </c>
      <c r="L3" s="265" t="s">
        <v>281</v>
      </c>
      <c r="M3" s="265"/>
      <c r="N3" s="265"/>
      <c r="O3" s="77"/>
      <c r="P3" s="263" t="s">
        <v>241</v>
      </c>
      <c r="Q3" s="263"/>
      <c r="R3" s="263"/>
      <c r="S3" s="77" t="s">
        <v>503</v>
      </c>
      <c r="T3" s="263" t="s">
        <v>488</v>
      </c>
      <c r="U3" s="263"/>
      <c r="V3" s="263"/>
      <c r="W3" s="77"/>
      <c r="X3" s="265" t="s">
        <v>261</v>
      </c>
      <c r="Y3" s="265"/>
      <c r="Z3" s="265"/>
    </row>
    <row r="4" spans="2:26" ht="17.399999999999999">
      <c r="B4" s="114" t="s">
        <v>499</v>
      </c>
      <c r="C4" s="231">
        <v>440</v>
      </c>
      <c r="D4" s="197">
        <v>440</v>
      </c>
      <c r="E4" s="216">
        <v>440</v>
      </c>
      <c r="F4" s="206">
        <v>440</v>
      </c>
      <c r="G4" s="231">
        <v>440</v>
      </c>
      <c r="H4" s="114" t="s">
        <v>0</v>
      </c>
      <c r="I4" s="115">
        <v>2</v>
      </c>
      <c r="J4" s="116" t="s">
        <v>244</v>
      </c>
      <c r="L4" s="69" t="s">
        <v>10</v>
      </c>
      <c r="M4" s="71">
        <v>5</v>
      </c>
      <c r="N4" s="69" t="s">
        <v>11</v>
      </c>
      <c r="O4" s="77"/>
      <c r="P4" s="69" t="s">
        <v>20</v>
      </c>
      <c r="Q4" s="71">
        <v>580</v>
      </c>
      <c r="R4" s="69" t="s">
        <v>0</v>
      </c>
      <c r="S4" s="77"/>
      <c r="T4" s="69" t="s">
        <v>212</v>
      </c>
      <c r="U4" s="67" t="s">
        <v>213</v>
      </c>
      <c r="V4" s="67"/>
      <c r="W4" s="77"/>
      <c r="X4" s="70" t="s">
        <v>106</v>
      </c>
      <c r="Y4" s="71">
        <v>200</v>
      </c>
      <c r="Z4" s="70" t="s">
        <v>15</v>
      </c>
    </row>
    <row r="5" spans="2:26" ht="17.399999999999999">
      <c r="B5" s="114" t="s">
        <v>73</v>
      </c>
      <c r="C5" s="232">
        <v>0.9</v>
      </c>
      <c r="D5" s="198">
        <v>0.9</v>
      </c>
      <c r="E5" s="217">
        <v>0.9</v>
      </c>
      <c r="F5" s="207">
        <v>0.9</v>
      </c>
      <c r="G5" s="232">
        <v>0.9</v>
      </c>
      <c r="H5" s="114"/>
      <c r="I5" s="115"/>
      <c r="J5" s="114" t="s">
        <v>477</v>
      </c>
      <c r="L5" s="69" t="s">
        <v>12</v>
      </c>
      <c r="M5" s="71">
        <v>35</v>
      </c>
      <c r="N5" s="69" t="s">
        <v>13</v>
      </c>
      <c r="O5" s="77"/>
      <c r="P5" s="69" t="s">
        <v>21</v>
      </c>
      <c r="Q5" s="71">
        <v>0.75</v>
      </c>
      <c r="R5" s="69" t="s">
        <v>19</v>
      </c>
      <c r="S5" s="77"/>
      <c r="T5" s="76" t="s">
        <v>214</v>
      </c>
      <c r="U5" s="78">
        <v>1.75</v>
      </c>
      <c r="V5" s="76" t="s">
        <v>215</v>
      </c>
      <c r="W5" s="77"/>
      <c r="X5" s="70" t="s">
        <v>107</v>
      </c>
      <c r="Y5" s="71">
        <v>7200</v>
      </c>
      <c r="Z5" s="70" t="s">
        <v>2</v>
      </c>
    </row>
    <row r="6" spans="2:26" ht="17.399999999999999">
      <c r="B6" s="114" t="s">
        <v>64</v>
      </c>
      <c r="C6" s="233">
        <f t="shared" ref="C6" si="0">ROUND(C3*1000/(C4*0.9)/(3^0.5)/C5,1)</f>
        <v>202.5</v>
      </c>
      <c r="D6" s="199">
        <f t="shared" ref="D6:F6" si="1">ROUND(D3*1000/(D4*0.9)/(3^0.5)/D5,1)</f>
        <v>202.5</v>
      </c>
      <c r="E6" s="218">
        <f t="shared" si="1"/>
        <v>202.5</v>
      </c>
      <c r="F6" s="208">
        <f t="shared" si="1"/>
        <v>202.5</v>
      </c>
      <c r="G6" s="233">
        <f t="shared" ref="G6" si="2">ROUND(G3*1000/(G4*0.9)/(3^0.5)/G5,1)</f>
        <v>202.5</v>
      </c>
      <c r="H6" s="114" t="s">
        <v>2</v>
      </c>
      <c r="I6" s="115"/>
      <c r="J6" s="114" t="s">
        <v>293</v>
      </c>
      <c r="L6" s="69" t="s">
        <v>14</v>
      </c>
      <c r="M6" s="71">
        <v>70</v>
      </c>
      <c r="N6" s="69" t="s">
        <v>13</v>
      </c>
      <c r="O6" s="77"/>
      <c r="P6" s="69" t="s">
        <v>22</v>
      </c>
      <c r="Q6" s="71">
        <v>75</v>
      </c>
      <c r="R6" s="69" t="s">
        <v>23</v>
      </c>
      <c r="S6" s="77"/>
      <c r="T6" s="76" t="s">
        <v>216</v>
      </c>
      <c r="U6" s="79">
        <v>3.8999999999999998E-3</v>
      </c>
      <c r="V6" s="76" t="s">
        <v>217</v>
      </c>
      <c r="W6" s="77"/>
      <c r="X6" s="70" t="s">
        <v>108</v>
      </c>
      <c r="Y6" s="71">
        <v>12800</v>
      </c>
      <c r="Z6" s="70" t="s">
        <v>28</v>
      </c>
    </row>
    <row r="7" spans="2:26" ht="17.399999999999999">
      <c r="B7" s="114" t="s">
        <v>51</v>
      </c>
      <c r="C7" s="234">
        <v>2</v>
      </c>
      <c r="D7" s="200">
        <v>2</v>
      </c>
      <c r="E7" s="219">
        <v>2</v>
      </c>
      <c r="F7" s="209">
        <v>2</v>
      </c>
      <c r="G7" s="234">
        <v>2</v>
      </c>
      <c r="H7" s="114" t="s">
        <v>74</v>
      </c>
      <c r="I7" s="115"/>
      <c r="J7" s="114"/>
      <c r="L7" s="69" t="s">
        <v>97</v>
      </c>
      <c r="M7" s="72">
        <f>(M5*M4)*(M5*M4)/(101.6*(4.5*M5+10*M6))</f>
        <v>0.35151856017997751</v>
      </c>
      <c r="N7" s="69" t="s">
        <v>15</v>
      </c>
      <c r="O7" s="77"/>
      <c r="P7" s="69" t="s">
        <v>24</v>
      </c>
      <c r="Q7" s="71">
        <v>2000</v>
      </c>
      <c r="R7" s="69" t="s">
        <v>25</v>
      </c>
      <c r="S7" s="77"/>
      <c r="T7" s="76" t="s">
        <v>218</v>
      </c>
      <c r="U7" s="80">
        <v>45</v>
      </c>
      <c r="V7" s="76" t="s">
        <v>48</v>
      </c>
      <c r="W7" s="77"/>
      <c r="X7" s="70" t="s">
        <v>285</v>
      </c>
      <c r="Y7" s="71">
        <v>645</v>
      </c>
      <c r="Z7" s="70" t="s">
        <v>0</v>
      </c>
    </row>
    <row r="8" spans="2:26" ht="17.399999999999999">
      <c r="B8" s="114" t="s">
        <v>65</v>
      </c>
      <c r="C8" s="234">
        <f t="shared" ref="C8" si="3">ROUND(C6/C7,0)</f>
        <v>101</v>
      </c>
      <c r="D8" s="200">
        <f t="shared" ref="D8:F8" si="4">ROUND(D6/D7,0)</f>
        <v>101</v>
      </c>
      <c r="E8" s="219">
        <f t="shared" si="4"/>
        <v>101</v>
      </c>
      <c r="F8" s="209">
        <f t="shared" si="4"/>
        <v>101</v>
      </c>
      <c r="G8" s="234">
        <f t="shared" ref="G8" si="5">ROUND(G6/G7,0)</f>
        <v>101</v>
      </c>
      <c r="H8" s="114" t="s">
        <v>3</v>
      </c>
      <c r="I8" s="115"/>
      <c r="J8" s="114"/>
      <c r="L8" s="69" t="s">
        <v>98</v>
      </c>
      <c r="M8" s="71">
        <v>80</v>
      </c>
      <c r="N8" s="69" t="s">
        <v>7</v>
      </c>
      <c r="O8" s="77"/>
      <c r="P8" s="69" t="s">
        <v>26</v>
      </c>
      <c r="Q8" s="88">
        <f>(5000*Q4)/(Q5*Q6*Q7)</f>
        <v>25.777777777777779</v>
      </c>
      <c r="R8" s="69" t="s">
        <v>242</v>
      </c>
      <c r="S8" s="77"/>
      <c r="T8" s="76" t="s">
        <v>219</v>
      </c>
      <c r="U8" s="79">
        <f>U5*(1+U6*(U7-20))</f>
        <v>1.9206249999999998</v>
      </c>
      <c r="V8" s="76" t="s">
        <v>215</v>
      </c>
      <c r="W8" s="77"/>
      <c r="X8" s="70" t="s">
        <v>284</v>
      </c>
      <c r="Y8" s="88">
        <f>SQRT(Y7^2+Y4*Y5^2/Y6)</f>
        <v>1107.2601320376345</v>
      </c>
      <c r="Z8" s="70" t="s">
        <v>0</v>
      </c>
    </row>
    <row r="9" spans="2:26" ht="17.399999999999999">
      <c r="B9" s="114"/>
      <c r="C9" s="235"/>
      <c r="D9" s="201"/>
      <c r="E9" s="220"/>
      <c r="F9" s="210"/>
      <c r="G9" s="235"/>
      <c r="H9" s="114"/>
      <c r="I9" s="115"/>
      <c r="J9" s="114"/>
      <c r="L9" s="69" t="s">
        <v>95</v>
      </c>
      <c r="M9" s="72">
        <f>M7*M8/100</f>
        <v>0.28121484814398201</v>
      </c>
      <c r="N9" s="69" t="s">
        <v>15</v>
      </c>
      <c r="O9" s="77"/>
      <c r="P9" s="77"/>
      <c r="Q9" s="77"/>
      <c r="R9" s="77"/>
      <c r="S9" s="77"/>
      <c r="T9" s="76" t="s">
        <v>220</v>
      </c>
      <c r="U9" s="81">
        <f>1/(U8/100000000)</f>
        <v>52066384.64041654</v>
      </c>
      <c r="V9" s="76" t="s">
        <v>221</v>
      </c>
      <c r="W9" s="77"/>
      <c r="X9" s="77"/>
      <c r="Y9" s="77"/>
      <c r="Z9" s="77"/>
    </row>
    <row r="10" spans="2:26" ht="17.399999999999999">
      <c r="B10" s="114" t="s">
        <v>16</v>
      </c>
      <c r="C10" s="233">
        <f>ROUND(C4*2^0.5*0.93,1)</f>
        <v>578.70000000000005</v>
      </c>
      <c r="D10" s="199">
        <f>ROUND(D4*2^0.5*0.93,1)</f>
        <v>578.70000000000005</v>
      </c>
      <c r="E10" s="218">
        <f t="shared" ref="E10:F10" si="6">ROUND(E4*2^0.5*0.93,1)</f>
        <v>578.70000000000005</v>
      </c>
      <c r="F10" s="208">
        <f t="shared" si="6"/>
        <v>578.70000000000005</v>
      </c>
      <c r="G10" s="233">
        <f>ROUND(G4*2^0.5*0.93,1)</f>
        <v>578.70000000000005</v>
      </c>
      <c r="H10" s="114" t="s">
        <v>0</v>
      </c>
      <c r="I10" s="115"/>
      <c r="J10" s="114" t="s">
        <v>292</v>
      </c>
      <c r="L10" s="70" t="s">
        <v>94</v>
      </c>
      <c r="M10" s="71">
        <v>0.2</v>
      </c>
      <c r="N10" s="69" t="s">
        <v>15</v>
      </c>
      <c r="O10" s="77"/>
      <c r="P10" s="263" t="s">
        <v>501</v>
      </c>
      <c r="Q10" s="263"/>
      <c r="R10" s="263"/>
      <c r="S10" s="77"/>
      <c r="T10" s="76" t="s">
        <v>222</v>
      </c>
      <c r="U10" s="67">
        <v>1</v>
      </c>
      <c r="V10" s="76" t="s">
        <v>223</v>
      </c>
      <c r="W10" s="77"/>
      <c r="X10" s="265" t="s">
        <v>271</v>
      </c>
      <c r="Y10" s="265"/>
      <c r="Z10" s="265"/>
    </row>
    <row r="11" spans="2:26" ht="17.399999999999999">
      <c r="B11" s="114" t="s">
        <v>17</v>
      </c>
      <c r="C11" s="233">
        <f t="shared" ref="C11" si="7">ROUND(C3*1000/C10,1)</f>
        <v>216</v>
      </c>
      <c r="D11" s="199">
        <f t="shared" ref="D11:F11" si="8">ROUND(D3*1000/D10,1)</f>
        <v>216</v>
      </c>
      <c r="E11" s="218">
        <f t="shared" si="8"/>
        <v>216</v>
      </c>
      <c r="F11" s="208">
        <f t="shared" si="8"/>
        <v>216</v>
      </c>
      <c r="G11" s="233">
        <f t="shared" ref="G11" si="9">ROUND(G3*1000/G10,1)</f>
        <v>216</v>
      </c>
      <c r="H11" s="114" t="s">
        <v>2</v>
      </c>
      <c r="I11" s="115"/>
      <c r="J11" s="114" t="s">
        <v>294</v>
      </c>
      <c r="L11" s="70" t="s">
        <v>282</v>
      </c>
      <c r="M11" s="71">
        <v>1</v>
      </c>
      <c r="N11" s="69" t="s">
        <v>42</v>
      </c>
      <c r="O11" s="77"/>
      <c r="P11" s="69" t="s">
        <v>27</v>
      </c>
      <c r="Q11" s="71">
        <v>2000</v>
      </c>
      <c r="R11" s="69" t="s">
        <v>28</v>
      </c>
      <c r="S11" s="77"/>
      <c r="T11" s="76" t="s">
        <v>37</v>
      </c>
      <c r="U11" s="82">
        <v>35000</v>
      </c>
      <c r="V11" s="76" t="s">
        <v>224</v>
      </c>
      <c r="W11" s="77"/>
      <c r="X11" s="69" t="s">
        <v>108</v>
      </c>
      <c r="Y11" s="71">
        <v>9284</v>
      </c>
      <c r="Z11" s="69" t="s">
        <v>28</v>
      </c>
    </row>
    <row r="12" spans="2:26" ht="17.399999999999999">
      <c r="B12" s="114"/>
      <c r="C12" s="235"/>
      <c r="D12" s="201"/>
      <c r="E12" s="220"/>
      <c r="F12" s="210"/>
      <c r="G12" s="235"/>
      <c r="H12" s="114"/>
      <c r="I12" s="115"/>
      <c r="J12" s="114"/>
      <c r="L12" s="70" t="s">
        <v>96</v>
      </c>
      <c r="M12" s="71">
        <v>1</v>
      </c>
      <c r="N12" s="69" t="s">
        <v>66</v>
      </c>
      <c r="O12" s="77"/>
      <c r="P12" s="69" t="s">
        <v>29</v>
      </c>
      <c r="Q12" s="71">
        <v>630</v>
      </c>
      <c r="R12" s="69" t="s">
        <v>15</v>
      </c>
      <c r="S12" s="77"/>
      <c r="T12" s="76" t="s">
        <v>254</v>
      </c>
      <c r="U12" s="95">
        <f>503.3*SQRT((U8/100000000)/(U10*U11))*1000</f>
        <v>0.37283287259508113</v>
      </c>
      <c r="V12" s="76" t="s">
        <v>225</v>
      </c>
      <c r="W12" s="77"/>
      <c r="X12" s="69" t="s">
        <v>110</v>
      </c>
      <c r="Y12" s="71">
        <v>675</v>
      </c>
      <c r="Z12" s="69" t="s">
        <v>0</v>
      </c>
    </row>
    <row r="13" spans="2:26" ht="17.399999999999999">
      <c r="B13" s="112" t="s">
        <v>239</v>
      </c>
      <c r="C13" s="235"/>
      <c r="D13" s="201"/>
      <c r="E13" s="220"/>
      <c r="F13" s="210"/>
      <c r="G13" s="235"/>
      <c r="H13" s="114"/>
      <c r="I13" s="115"/>
      <c r="J13" s="114"/>
      <c r="L13" s="70" t="s">
        <v>99</v>
      </c>
      <c r="M13" s="83">
        <v>1</v>
      </c>
      <c r="N13" s="69" t="s">
        <v>67</v>
      </c>
      <c r="O13" s="77"/>
      <c r="P13" s="69" t="s">
        <v>30</v>
      </c>
      <c r="Q13" s="88">
        <f>1/(2*3.14*SQRT((Q11/1000000)*(Q12/1000000)))</f>
        <v>141.85840865839933</v>
      </c>
      <c r="R13" s="69" t="s">
        <v>31</v>
      </c>
      <c r="S13" s="77"/>
      <c r="T13" s="76" t="s">
        <v>255</v>
      </c>
      <c r="U13" s="89">
        <v>6126</v>
      </c>
      <c r="V13" s="76" t="s">
        <v>225</v>
      </c>
      <c r="W13" s="77"/>
      <c r="X13" s="69" t="s">
        <v>107</v>
      </c>
      <c r="Y13" s="71">
        <v>4300</v>
      </c>
      <c r="Z13" s="69" t="s">
        <v>2</v>
      </c>
    </row>
    <row r="14" spans="2:26" ht="17.399999999999999">
      <c r="B14" s="114" t="s">
        <v>75</v>
      </c>
      <c r="C14" s="236">
        <v>10.050000000000001</v>
      </c>
      <c r="D14" s="202">
        <v>10.050000000000001</v>
      </c>
      <c r="E14" s="221">
        <v>10.050000000000001</v>
      </c>
      <c r="F14" s="211">
        <v>10.050000000000001</v>
      </c>
      <c r="G14" s="236">
        <v>10.050000000000001</v>
      </c>
      <c r="H14" s="114" t="s">
        <v>15</v>
      </c>
      <c r="I14" s="115">
        <v>3</v>
      </c>
      <c r="J14" s="116" t="s">
        <v>289</v>
      </c>
      <c r="L14" s="70" t="s">
        <v>283</v>
      </c>
      <c r="M14" s="94">
        <f>M9/M12*M13*M11^2+M10</f>
        <v>0.48121484814398202</v>
      </c>
      <c r="N14" s="69" t="s">
        <v>15</v>
      </c>
      <c r="O14" s="77"/>
      <c r="P14" s="77"/>
      <c r="Q14" s="77"/>
      <c r="R14" s="77"/>
      <c r="S14" s="77"/>
      <c r="T14" s="76" t="s">
        <v>280</v>
      </c>
      <c r="U14" s="89">
        <v>5</v>
      </c>
      <c r="V14" s="76" t="s">
        <v>225</v>
      </c>
      <c r="W14" s="77"/>
      <c r="X14" s="69" t="s">
        <v>112</v>
      </c>
      <c r="Y14" s="71">
        <v>800</v>
      </c>
      <c r="Z14" s="69" t="s">
        <v>25</v>
      </c>
    </row>
    <row r="15" spans="2:26" ht="17.399999999999999">
      <c r="B15" s="114" t="s">
        <v>661</v>
      </c>
      <c r="C15" s="236">
        <f>C14-C16</f>
        <v>8.4</v>
      </c>
      <c r="D15" s="202">
        <f t="shared" ref="D15:G15" si="10">D14-D16</f>
        <v>8.4</v>
      </c>
      <c r="E15" s="221">
        <f t="shared" si="10"/>
        <v>8.4</v>
      </c>
      <c r="F15" s="211">
        <f t="shared" si="10"/>
        <v>8.4</v>
      </c>
      <c r="G15" s="236">
        <f t="shared" si="10"/>
        <v>8.4</v>
      </c>
      <c r="H15" s="114"/>
      <c r="I15" s="115"/>
      <c r="J15" s="116"/>
      <c r="L15" s="227"/>
      <c r="M15" s="228"/>
      <c r="N15" s="229"/>
      <c r="O15" s="77"/>
      <c r="P15" s="77"/>
      <c r="Q15" s="77"/>
      <c r="R15" s="77"/>
      <c r="S15" s="77"/>
      <c r="T15" s="76"/>
      <c r="U15" s="89"/>
      <c r="V15" s="76"/>
      <c r="W15" s="77"/>
      <c r="X15" s="69"/>
      <c r="Y15" s="71"/>
      <c r="Z15" s="69"/>
    </row>
    <row r="16" spans="2:26" ht="17.399999999999999">
      <c r="B16" s="114" t="s">
        <v>662</v>
      </c>
      <c r="C16" s="236">
        <v>1.65</v>
      </c>
      <c r="D16" s="202">
        <v>1.65</v>
      </c>
      <c r="E16" s="221">
        <v>1.65</v>
      </c>
      <c r="F16" s="211">
        <v>1.65</v>
      </c>
      <c r="G16" s="236">
        <v>1.65</v>
      </c>
      <c r="H16" s="114"/>
      <c r="I16" s="115"/>
      <c r="J16" s="116"/>
      <c r="L16" s="227"/>
      <c r="M16" s="228"/>
      <c r="N16" s="229"/>
      <c r="O16" s="77"/>
      <c r="P16" s="77"/>
      <c r="Q16" s="77"/>
      <c r="R16" s="77"/>
      <c r="S16" s="77"/>
      <c r="T16" s="76"/>
      <c r="U16" s="89"/>
      <c r="V16" s="76"/>
      <c r="W16" s="77"/>
      <c r="X16" s="69"/>
      <c r="Y16" s="71"/>
      <c r="Z16" s="69"/>
    </row>
    <row r="17" spans="2:26" ht="17.399999999999999">
      <c r="B17" s="114" t="s">
        <v>76</v>
      </c>
      <c r="C17" s="231">
        <v>800.6</v>
      </c>
      <c r="D17" s="231">
        <v>800.625</v>
      </c>
      <c r="E17" s="221">
        <v>800.6</v>
      </c>
      <c r="F17" s="231">
        <v>800.6</v>
      </c>
      <c r="G17" s="231">
        <v>800.6</v>
      </c>
      <c r="H17" s="114" t="s">
        <v>28</v>
      </c>
      <c r="I17" s="115">
        <v>4</v>
      </c>
      <c r="J17" s="116" t="s">
        <v>291</v>
      </c>
      <c r="K17" s="2"/>
      <c r="L17" s="77"/>
      <c r="M17" s="77"/>
      <c r="N17" s="77"/>
      <c r="O17" s="77"/>
      <c r="P17" s="263" t="s">
        <v>248</v>
      </c>
      <c r="Q17" s="263"/>
      <c r="R17" s="263"/>
      <c r="S17" s="77"/>
      <c r="T17" s="76" t="s">
        <v>278</v>
      </c>
      <c r="U17" s="90">
        <f>MIN(U12,U14)</f>
        <v>0.37283287259508113</v>
      </c>
      <c r="V17" s="76" t="s">
        <v>225</v>
      </c>
      <c r="W17" s="77"/>
      <c r="X17" s="69" t="s">
        <v>113</v>
      </c>
      <c r="Y17" s="72">
        <f>(1.414*Y13*0.421)/(2*3.14159*Y14*Y12*2*Y11*0.000001)*2*100</f>
        <v>8.1262759844751162</v>
      </c>
      <c r="Z17" s="69" t="s">
        <v>7</v>
      </c>
    </row>
    <row r="18" spans="2:26" ht="17.399999999999999">
      <c r="B18" s="114" t="s">
        <v>77</v>
      </c>
      <c r="C18" s="233">
        <f t="shared" ref="C18" si="11">1000/(2*PI()*(C14*C17)^0.5)</f>
        <v>1.7743092141299275</v>
      </c>
      <c r="D18" s="199">
        <f t="shared" ref="D18:F18" si="12">1000/(2*PI()*(D14*D17)^0.5)</f>
        <v>1.7742815119743409</v>
      </c>
      <c r="E18" s="218">
        <f t="shared" si="12"/>
        <v>1.7743092141299275</v>
      </c>
      <c r="F18" s="208">
        <f t="shared" si="12"/>
        <v>1.7743092141299275</v>
      </c>
      <c r="G18" s="233">
        <f t="shared" ref="G18" si="13">1000/(2*PI()*(G14*G17)^0.5)</f>
        <v>1.7743092141299275</v>
      </c>
      <c r="H18" s="114" t="s">
        <v>4</v>
      </c>
      <c r="I18" s="115"/>
      <c r="J18" s="114" t="s">
        <v>247</v>
      </c>
      <c r="L18" s="265" t="s">
        <v>226</v>
      </c>
      <c r="M18" s="265"/>
      <c r="N18" s="265"/>
      <c r="O18" s="77" t="s">
        <v>503</v>
      </c>
      <c r="P18" s="69" t="s">
        <v>32</v>
      </c>
      <c r="Q18" s="71">
        <v>42</v>
      </c>
      <c r="R18" s="69" t="s">
        <v>33</v>
      </c>
      <c r="S18" s="77"/>
      <c r="T18" s="76" t="s">
        <v>276</v>
      </c>
      <c r="U18" s="89">
        <v>200</v>
      </c>
      <c r="V18" s="76" t="s">
        <v>225</v>
      </c>
      <c r="W18" s="77"/>
      <c r="X18" s="69" t="s">
        <v>109</v>
      </c>
      <c r="Y18" s="88">
        <f>Y12*Y17/100</f>
        <v>54.852362895207037</v>
      </c>
      <c r="Z18" s="69" t="s">
        <v>0</v>
      </c>
    </row>
    <row r="19" spans="2:26" ht="17.399999999999999">
      <c r="B19" s="114" t="s">
        <v>78</v>
      </c>
      <c r="C19" s="231">
        <v>30</v>
      </c>
      <c r="D19" s="197">
        <v>30</v>
      </c>
      <c r="E19" s="216">
        <v>30</v>
      </c>
      <c r="F19" s="206">
        <v>30</v>
      </c>
      <c r="G19" s="231">
        <v>30</v>
      </c>
      <c r="H19" s="114" t="s">
        <v>79</v>
      </c>
      <c r="I19" s="115">
        <v>5</v>
      </c>
      <c r="J19" s="116" t="s">
        <v>272</v>
      </c>
      <c r="L19" s="84" t="s">
        <v>231</v>
      </c>
      <c r="M19" s="85">
        <v>305</v>
      </c>
      <c r="N19" s="84" t="s">
        <v>28</v>
      </c>
      <c r="O19" s="77"/>
      <c r="P19" s="69" t="s">
        <v>34</v>
      </c>
      <c r="Q19" s="71">
        <v>17.34</v>
      </c>
      <c r="R19" s="69" t="s">
        <v>4</v>
      </c>
      <c r="S19" s="77"/>
      <c r="T19" s="76" t="s">
        <v>275</v>
      </c>
      <c r="U19" s="95">
        <f>U17*U18</f>
        <v>74.566574519016228</v>
      </c>
      <c r="V19" s="76" t="s">
        <v>251</v>
      </c>
      <c r="W19" s="77"/>
      <c r="X19" s="69" t="s">
        <v>111</v>
      </c>
      <c r="Y19" s="88">
        <f>2*3.14159*Y14*Y11*0.000001*Y18</f>
        <v>2559.7641999999996</v>
      </c>
      <c r="Z19" s="69" t="s">
        <v>2</v>
      </c>
    </row>
    <row r="20" spans="2:26" ht="17.399999999999999">
      <c r="B20" s="114" t="s">
        <v>80</v>
      </c>
      <c r="C20" s="234">
        <f t="shared" ref="C20" si="14">ROUNDUP(TAN(PI()*C19/180),3)</f>
        <v>0.57799999999999996</v>
      </c>
      <c r="D20" s="200">
        <f t="shared" ref="D20:F20" si="15">ROUNDUP(TAN(PI()*D19/180),3)</f>
        <v>0.57799999999999996</v>
      </c>
      <c r="E20" s="219">
        <f t="shared" si="15"/>
        <v>0.57799999999999996</v>
      </c>
      <c r="F20" s="209">
        <f t="shared" si="15"/>
        <v>0.57799999999999996</v>
      </c>
      <c r="G20" s="234">
        <f t="shared" ref="G20" si="16">ROUNDUP(TAN(PI()*G19/180),3)</f>
        <v>0.57799999999999996</v>
      </c>
      <c r="H20" s="114"/>
      <c r="I20" s="115"/>
      <c r="J20" s="114"/>
      <c r="L20" s="84" t="s">
        <v>227</v>
      </c>
      <c r="M20" s="85">
        <v>8</v>
      </c>
      <c r="N20" s="84" t="s">
        <v>234</v>
      </c>
      <c r="O20" s="77"/>
      <c r="P20" s="69" t="s">
        <v>35</v>
      </c>
      <c r="Q20" s="71">
        <v>1396</v>
      </c>
      <c r="R20" s="69" t="s">
        <v>2</v>
      </c>
      <c r="S20" s="77"/>
      <c r="T20" s="76" t="s">
        <v>256</v>
      </c>
      <c r="U20" s="89">
        <v>1000</v>
      </c>
      <c r="V20" s="68" t="s">
        <v>252</v>
      </c>
      <c r="W20" s="77"/>
      <c r="X20" s="77"/>
    </row>
    <row r="21" spans="2:26" ht="17.399999999999999">
      <c r="B21" s="114"/>
      <c r="C21" s="201"/>
      <c r="D21" s="201"/>
      <c r="E21" s="201"/>
      <c r="F21" s="201"/>
      <c r="G21" s="235"/>
      <c r="H21" s="114"/>
      <c r="I21" s="115"/>
      <c r="J21" s="114"/>
      <c r="L21" s="84" t="s">
        <v>229</v>
      </c>
      <c r="M21" s="85">
        <v>1250</v>
      </c>
      <c r="N21" s="84" t="s">
        <v>0</v>
      </c>
      <c r="O21" s="77"/>
      <c r="P21" s="69" t="s">
        <v>36</v>
      </c>
      <c r="Q21" s="88">
        <f>(Q20)/(2*3.14*Q19*1000*(Q18/1000000))</f>
        <v>305.2301225223448</v>
      </c>
      <c r="R21" s="69" t="s">
        <v>0</v>
      </c>
      <c r="S21" s="77"/>
      <c r="T21" s="76" t="s">
        <v>491</v>
      </c>
      <c r="U21" s="91">
        <f>U20/U19</f>
        <v>13.410834632680848</v>
      </c>
      <c r="V21" s="68" t="s">
        <v>252</v>
      </c>
      <c r="W21" s="77"/>
      <c r="X21" s="265" t="s">
        <v>486</v>
      </c>
      <c r="Y21" s="265"/>
      <c r="Z21" s="265"/>
    </row>
    <row r="22" spans="2:26" ht="17.399999999999999">
      <c r="B22" s="114" t="s">
        <v>41</v>
      </c>
      <c r="C22" s="236">
        <v>13</v>
      </c>
      <c r="D22" s="202">
        <v>16</v>
      </c>
      <c r="E22" s="221">
        <v>17</v>
      </c>
      <c r="F22" s="211">
        <v>18</v>
      </c>
      <c r="G22" s="236">
        <v>19</v>
      </c>
      <c r="H22" s="114"/>
      <c r="I22" s="115">
        <v>6</v>
      </c>
      <c r="J22" s="116" t="s">
        <v>290</v>
      </c>
      <c r="L22" s="84" t="s">
        <v>230</v>
      </c>
      <c r="M22" s="85">
        <v>2400</v>
      </c>
      <c r="N22" s="84" t="s">
        <v>2</v>
      </c>
      <c r="O22" s="77"/>
      <c r="P22" s="77"/>
      <c r="Q22" s="77"/>
      <c r="R22" s="77"/>
      <c r="S22" s="77"/>
      <c r="T22" s="76" t="s">
        <v>257</v>
      </c>
      <c r="U22" s="91">
        <f>U8/100000000*(U20^2)/(U19/1000000)*U13/1000</f>
        <v>1577.8851081592136</v>
      </c>
      <c r="V22" s="68" t="s">
        <v>253</v>
      </c>
      <c r="W22" s="77"/>
      <c r="X22" s="137" t="s">
        <v>480</v>
      </c>
      <c r="Y22" s="114">
        <v>0.9133</v>
      </c>
      <c r="Z22" s="114" t="s">
        <v>479</v>
      </c>
    </row>
    <row r="23" spans="2:26" ht="17.399999999999999">
      <c r="B23" s="114" t="s">
        <v>81</v>
      </c>
      <c r="C23" s="237">
        <f t="shared" ref="C23" si="17">C18*((C20/C22)+(((C20/C22)^2+4)^0.5))/2</f>
        <v>1.8141918567629867</v>
      </c>
      <c r="D23" s="203">
        <f t="shared" ref="D23:F23" si="18">D18*((D20/D22)+(((D20/D22)^2+4)^0.5))/2</f>
        <v>1.8066188813180895</v>
      </c>
      <c r="E23" s="222">
        <f t="shared" si="18"/>
        <v>1.8047288399302441</v>
      </c>
      <c r="F23" s="212">
        <f t="shared" si="18"/>
        <v>1.8030254110352379</v>
      </c>
      <c r="G23" s="237">
        <f t="shared" ref="G23" si="19">G18*((G20/G22)+(((G20/G22)^2+4)^0.5))/2</f>
        <v>1.8015026314415696</v>
      </c>
      <c r="H23" s="114" t="s">
        <v>4</v>
      </c>
      <c r="I23" s="115"/>
      <c r="J23" s="117" t="s">
        <v>270</v>
      </c>
      <c r="L23" s="84" t="s">
        <v>228</v>
      </c>
      <c r="M23" s="85">
        <v>8</v>
      </c>
      <c r="N23" s="84" t="s">
        <v>234</v>
      </c>
      <c r="O23" s="77"/>
      <c r="P23" s="263" t="s">
        <v>249</v>
      </c>
      <c r="Q23" s="263"/>
      <c r="R23" s="263"/>
      <c r="S23" s="77"/>
      <c r="T23" s="77"/>
      <c r="U23" s="77"/>
      <c r="V23" s="77"/>
      <c r="W23" s="77"/>
      <c r="X23" s="84" t="s">
        <v>481</v>
      </c>
      <c r="Y23" s="123">
        <v>3</v>
      </c>
      <c r="Z23" s="114" t="s">
        <v>328</v>
      </c>
    </row>
    <row r="24" spans="2:26" ht="17.399999999999999">
      <c r="B24" s="114" t="s">
        <v>311</v>
      </c>
      <c r="C24" s="234">
        <f t="shared" ref="C24" si="20">2*PI()*C18*C14</f>
        <v>112.04055152537592</v>
      </c>
      <c r="D24" s="200">
        <f t="shared" ref="D24:F24" si="21">2*PI()*D18*D14</f>
        <v>112.03880224471749</v>
      </c>
      <c r="E24" s="219">
        <f t="shared" si="21"/>
        <v>112.04055152537592</v>
      </c>
      <c r="F24" s="209">
        <f t="shared" si="21"/>
        <v>112.04055152537592</v>
      </c>
      <c r="G24" s="234">
        <f t="shared" ref="G24" si="22">2*PI()*G18*G14</f>
        <v>112.04055152537592</v>
      </c>
      <c r="H24" s="114" t="s">
        <v>83</v>
      </c>
      <c r="I24" s="115"/>
      <c r="J24" s="114"/>
      <c r="L24" s="84" t="s">
        <v>235</v>
      </c>
      <c r="M24" s="85">
        <v>1</v>
      </c>
      <c r="N24" s="84" t="s">
        <v>67</v>
      </c>
      <c r="O24" s="77"/>
      <c r="P24" s="70" t="s">
        <v>152</v>
      </c>
      <c r="Q24" s="71">
        <v>680</v>
      </c>
      <c r="R24" s="69" t="s">
        <v>153</v>
      </c>
      <c r="S24" s="77"/>
      <c r="T24" s="263" t="s">
        <v>489</v>
      </c>
      <c r="U24" s="263"/>
      <c r="V24" s="263"/>
      <c r="W24" s="77"/>
      <c r="X24" s="84" t="s">
        <v>482</v>
      </c>
      <c r="Y24" s="136">
        <f>Y22*Y23</f>
        <v>2.7399</v>
      </c>
      <c r="Z24" s="114" t="s">
        <v>479</v>
      </c>
    </row>
    <row r="25" spans="2:26" ht="17.399999999999999">
      <c r="B25" s="114" t="s">
        <v>82</v>
      </c>
      <c r="C25" s="234">
        <f t="shared" ref="C25" si="23">2*PI()*C23*C14</f>
        <v>114.55898136912141</v>
      </c>
      <c r="D25" s="200">
        <f t="shared" ref="D25:F25" si="24">2*PI()*D23*D14</f>
        <v>114.08077816824895</v>
      </c>
      <c r="E25" s="219">
        <f t="shared" si="24"/>
        <v>113.96142959145435</v>
      </c>
      <c r="F25" s="209">
        <f t="shared" si="24"/>
        <v>113.85386484943483</v>
      </c>
      <c r="G25" s="234">
        <f t="shared" ref="G25" si="25">2*PI()*G23*G14</f>
        <v>113.75770739042626</v>
      </c>
      <c r="H25" s="114" t="s">
        <v>83</v>
      </c>
      <c r="I25" s="115"/>
      <c r="J25" s="114"/>
      <c r="L25" s="84" t="s">
        <v>236</v>
      </c>
      <c r="M25" s="85">
        <v>3</v>
      </c>
      <c r="N25" s="84" t="s">
        <v>66</v>
      </c>
      <c r="O25" s="77"/>
      <c r="P25" s="70" t="s">
        <v>154</v>
      </c>
      <c r="Q25" s="71">
        <v>22</v>
      </c>
      <c r="R25" s="69" t="s">
        <v>155</v>
      </c>
      <c r="S25" s="77"/>
      <c r="T25" s="69" t="s">
        <v>212</v>
      </c>
      <c r="U25" s="67" t="s">
        <v>213</v>
      </c>
      <c r="V25" s="67"/>
      <c r="W25" s="77"/>
      <c r="X25" s="84"/>
      <c r="Y25" s="114"/>
      <c r="Z25" s="114"/>
    </row>
    <row r="26" spans="2:26" ht="17.399999999999999">
      <c r="B26" s="114" t="s">
        <v>84</v>
      </c>
      <c r="C26" s="234">
        <f t="shared" ref="C26" si="26">1000000/(2*PI()*C23*C17)</f>
        <v>109.57748607822394</v>
      </c>
      <c r="D26" s="200">
        <f t="shared" ref="D26:F26" si="27">1000000/(2*PI()*D23*D17)</f>
        <v>110.03337643715852</v>
      </c>
      <c r="E26" s="219">
        <f t="shared" si="27"/>
        <v>110.1520508395916</v>
      </c>
      <c r="F26" s="209">
        <f t="shared" si="27"/>
        <v>110.25611825045333</v>
      </c>
      <c r="G26" s="234">
        <f t="shared" ref="G26" si="28">1000000/(2*PI()*G23*G17)</f>
        <v>110.3493158756017</v>
      </c>
      <c r="H26" s="114" t="s">
        <v>83</v>
      </c>
      <c r="I26" s="115"/>
      <c r="J26" s="114"/>
      <c r="L26" s="84" t="s">
        <v>262</v>
      </c>
      <c r="M26" s="93">
        <f>M19*(M23/M20)*M25/M24</f>
        <v>915</v>
      </c>
      <c r="N26" s="84" t="s">
        <v>28</v>
      </c>
      <c r="O26" s="77"/>
      <c r="P26" s="70" t="s">
        <v>158</v>
      </c>
      <c r="Q26" s="71">
        <v>66</v>
      </c>
      <c r="R26" s="69" t="s">
        <v>159</v>
      </c>
      <c r="S26" s="77"/>
      <c r="T26" s="76" t="s">
        <v>214</v>
      </c>
      <c r="U26" s="78">
        <v>1.75</v>
      </c>
      <c r="V26" s="76" t="s">
        <v>215</v>
      </c>
      <c r="W26" s="77"/>
      <c r="X26" s="137" t="s">
        <v>483</v>
      </c>
      <c r="Y26" s="114">
        <v>0.48</v>
      </c>
      <c r="Z26" s="114" t="s">
        <v>479</v>
      </c>
    </row>
    <row r="27" spans="2:26" ht="17.399999999999999">
      <c r="B27" s="114" t="s">
        <v>68</v>
      </c>
      <c r="C27" s="234">
        <f t="shared" ref="C27" si="29">C24/C22</f>
        <v>8.6185039634904559</v>
      </c>
      <c r="D27" s="200">
        <f t="shared" ref="D27:F27" si="30">D24/D22</f>
        <v>7.002425140294843</v>
      </c>
      <c r="E27" s="219">
        <f t="shared" si="30"/>
        <v>6.5906206779632894</v>
      </c>
      <c r="F27" s="209">
        <f t="shared" si="30"/>
        <v>6.2244750847431067</v>
      </c>
      <c r="G27" s="234">
        <f t="shared" ref="G27" si="31">G24/G22</f>
        <v>5.896871132914522</v>
      </c>
      <c r="H27" s="114" t="s">
        <v>83</v>
      </c>
      <c r="I27" s="115"/>
      <c r="J27" s="114"/>
      <c r="L27" s="84" t="s">
        <v>232</v>
      </c>
      <c r="M27" s="86">
        <f>M21*M24</f>
        <v>1250</v>
      </c>
      <c r="N27" s="84" t="s">
        <v>0</v>
      </c>
      <c r="O27" s="77"/>
      <c r="P27" s="70" t="s">
        <v>162</v>
      </c>
      <c r="Q27" s="71">
        <v>2</v>
      </c>
      <c r="R27" s="69"/>
      <c r="S27" s="77"/>
      <c r="T27" s="76" t="s">
        <v>216</v>
      </c>
      <c r="U27" s="79">
        <v>3.8999999999999998E-3</v>
      </c>
      <c r="V27" s="76" t="s">
        <v>217</v>
      </c>
      <c r="W27" s="77"/>
      <c r="X27" s="84" t="s">
        <v>484</v>
      </c>
      <c r="Y27" s="123">
        <v>5</v>
      </c>
      <c r="Z27" s="114" t="s">
        <v>328</v>
      </c>
    </row>
    <row r="28" spans="2:26" ht="17.399999999999999">
      <c r="B28" s="114" t="s">
        <v>85</v>
      </c>
      <c r="C28" s="234">
        <f>(C27^2+(C25-C26)^2)^0.5</f>
        <v>9.9545922016893478</v>
      </c>
      <c r="D28" s="200">
        <f>(D27^2+(D25-D26)^2)^0.5</f>
        <v>8.087979884882694</v>
      </c>
      <c r="E28" s="219">
        <f>(E27^2+(E25-E26)^2)^0.5</f>
        <v>7.61233521305655</v>
      </c>
      <c r="F28" s="209">
        <f>(F27^2+(F25-F26)^2)^0.5</f>
        <v>7.1894277012200813</v>
      </c>
      <c r="G28" s="234">
        <f>(G27^2+(G25-G26)^2)^0.5</f>
        <v>6.8110367695769076</v>
      </c>
      <c r="H28" s="114" t="s">
        <v>83</v>
      </c>
      <c r="I28" s="115"/>
      <c r="J28" s="114"/>
      <c r="L28" s="84" t="s">
        <v>233</v>
      </c>
      <c r="M28" s="86">
        <f>M22*(M23/M20)*M25</f>
        <v>7200</v>
      </c>
      <c r="N28" s="84" t="s">
        <v>2</v>
      </c>
      <c r="O28" s="77"/>
      <c r="P28" s="70" t="s">
        <v>165</v>
      </c>
      <c r="Q28" s="72">
        <f>Q25*Q26*Q27*2</f>
        <v>5808</v>
      </c>
      <c r="R28" s="69" t="s">
        <v>155</v>
      </c>
      <c r="S28" s="77"/>
      <c r="T28" s="76" t="s">
        <v>218</v>
      </c>
      <c r="U28" s="80">
        <v>45</v>
      </c>
      <c r="V28" s="76" t="s">
        <v>48</v>
      </c>
      <c r="W28" s="77"/>
      <c r="X28" s="84" t="s">
        <v>485</v>
      </c>
      <c r="Y28" s="136">
        <f>Y26*Y27</f>
        <v>2.4</v>
      </c>
      <c r="Z28" s="114" t="s">
        <v>479</v>
      </c>
    </row>
    <row r="29" spans="2:26" ht="17.399999999999999">
      <c r="B29" s="114"/>
      <c r="C29" s="235"/>
      <c r="D29" s="201"/>
      <c r="E29" s="220"/>
      <c r="F29" s="210"/>
      <c r="G29" s="235"/>
      <c r="H29" s="114"/>
      <c r="I29" s="115"/>
      <c r="J29" s="114"/>
      <c r="L29" s="84" t="s">
        <v>47</v>
      </c>
      <c r="M29" s="86">
        <f>M27*M28/1000</f>
        <v>9000</v>
      </c>
      <c r="N29" s="84" t="s">
        <v>47</v>
      </c>
      <c r="O29" s="77"/>
      <c r="P29" s="70" t="s">
        <v>168</v>
      </c>
      <c r="Q29" s="71">
        <v>20</v>
      </c>
      <c r="R29" s="69" t="s">
        <v>169</v>
      </c>
      <c r="S29" s="77"/>
      <c r="T29" s="76" t="s">
        <v>219</v>
      </c>
      <c r="U29" s="79">
        <f>U26*(1+U27*(U28-20))</f>
        <v>1.9206249999999998</v>
      </c>
      <c r="V29" s="76" t="s">
        <v>215</v>
      </c>
      <c r="W29" s="77"/>
      <c r="X29" s="84"/>
      <c r="Y29" s="114"/>
      <c r="Z29" s="114"/>
    </row>
    <row r="30" spans="2:26" ht="17.399999999999999">
      <c r="B30" s="114" t="s">
        <v>105</v>
      </c>
      <c r="C30" s="238">
        <f>(C3*1000000/C27)^0.5</f>
        <v>3808.3693709701893</v>
      </c>
      <c r="D30" s="204">
        <f>(D3*1000000/D27)^0.5</f>
        <v>4225.0394574901484</v>
      </c>
      <c r="E30" s="223">
        <f>(E3*1000000/E27)^0.5</f>
        <v>4355.036991078844</v>
      </c>
      <c r="F30" s="213">
        <f>(F3*1000000/F27)^0.5</f>
        <v>4481.2960932798633</v>
      </c>
      <c r="G30" s="238">
        <f>(G3*1000000/G27)^0.5</f>
        <v>4604.0940648107598</v>
      </c>
      <c r="H30" s="114" t="s">
        <v>2</v>
      </c>
      <c r="I30" s="115"/>
      <c r="J30" s="117" t="s">
        <v>269</v>
      </c>
      <c r="L30" s="77"/>
      <c r="M30" s="77"/>
      <c r="N30" s="77"/>
      <c r="O30" s="77"/>
      <c r="P30" s="70" t="s">
        <v>170</v>
      </c>
      <c r="Q30" s="71">
        <v>300</v>
      </c>
      <c r="R30" s="69" t="s">
        <v>171</v>
      </c>
      <c r="S30" s="77"/>
      <c r="T30" s="76" t="s">
        <v>220</v>
      </c>
      <c r="U30" s="81">
        <f>1/(U29/100000000)</f>
        <v>52066384.64041654</v>
      </c>
      <c r="V30" s="76" t="s">
        <v>221</v>
      </c>
      <c r="W30" s="77"/>
      <c r="X30" s="137" t="s">
        <v>483</v>
      </c>
      <c r="Y30" s="114">
        <v>0.4133</v>
      </c>
      <c r="Z30" s="114" t="s">
        <v>479</v>
      </c>
    </row>
    <row r="31" spans="2:26" ht="17.399999999999999">
      <c r="B31" s="114" t="s">
        <v>103</v>
      </c>
      <c r="C31" s="234">
        <f>C30*C27/1000</f>
        <v>32.822446518142229</v>
      </c>
      <c r="D31" s="200">
        <f>D30*D27/1000</f>
        <v>29.5855225158667</v>
      </c>
      <c r="E31" s="219">
        <f>E30*E27/1000</f>
        <v>28.702396846699255</v>
      </c>
      <c r="F31" s="209">
        <f>F30*F27/1000</f>
        <v>27.89371587997713</v>
      </c>
      <c r="G31" s="234">
        <f>G30*G27/1000</f>
        <v>27.149749384005652</v>
      </c>
      <c r="H31" s="114" t="s">
        <v>0</v>
      </c>
      <c r="I31" s="115"/>
      <c r="J31" s="114"/>
      <c r="L31" s="265" t="s">
        <v>237</v>
      </c>
      <c r="M31" s="265"/>
      <c r="N31" s="265"/>
      <c r="O31" s="77"/>
      <c r="P31" s="70" t="s">
        <v>172</v>
      </c>
      <c r="Q31" s="71">
        <v>1</v>
      </c>
      <c r="R31" s="69" t="s">
        <v>173</v>
      </c>
      <c r="S31" s="77"/>
      <c r="T31" s="76" t="s">
        <v>222</v>
      </c>
      <c r="U31" s="67">
        <v>1</v>
      </c>
      <c r="V31" s="76" t="s">
        <v>223</v>
      </c>
      <c r="W31" s="77"/>
      <c r="X31" s="84" t="s">
        <v>484</v>
      </c>
      <c r="Y31" s="123">
        <v>4</v>
      </c>
      <c r="Z31" s="114" t="s">
        <v>328</v>
      </c>
    </row>
    <row r="32" spans="2:26" ht="17.399999999999999">
      <c r="B32" s="114" t="s">
        <v>307</v>
      </c>
      <c r="C32" s="238">
        <f>C30/(2*3.14159*C23*1000*C17/1000000)</f>
        <v>417.31189421649793</v>
      </c>
      <c r="D32" s="204">
        <f>D30/(2*3.14159*D23*1000*D17/1000000)</f>
        <v>464.89574976850236</v>
      </c>
      <c r="E32" s="223">
        <f>E30/(2*3.14159*E23*1000*E17/1000000)</f>
        <v>479.71666124894801</v>
      </c>
      <c r="F32" s="213">
        <f>F30/(2*3.14159*F23*1000*F17/1000000)</f>
        <v>494.09072931654424</v>
      </c>
      <c r="G32" s="238">
        <f>G30/(2*3.14159*G23*1000*G17/1000000)</f>
        <v>508.05905941791434</v>
      </c>
      <c r="H32" s="114" t="s">
        <v>0</v>
      </c>
      <c r="I32" s="115"/>
      <c r="J32" s="117" t="s">
        <v>71</v>
      </c>
      <c r="L32" s="70" t="s">
        <v>37</v>
      </c>
      <c r="M32" s="71">
        <v>19760</v>
      </c>
      <c r="N32" s="70" t="s">
        <v>25</v>
      </c>
      <c r="O32" s="77"/>
      <c r="P32" s="70" t="s">
        <v>174</v>
      </c>
      <c r="Q32" s="72">
        <f>Q30*Q31</f>
        <v>300</v>
      </c>
      <c r="R32" s="69" t="s">
        <v>171</v>
      </c>
      <c r="S32" s="77"/>
      <c r="T32" s="76" t="s">
        <v>37</v>
      </c>
      <c r="U32" s="82">
        <v>30000</v>
      </c>
      <c r="V32" s="76" t="s">
        <v>224</v>
      </c>
      <c r="W32" s="77"/>
      <c r="X32" s="84" t="s">
        <v>485</v>
      </c>
      <c r="Y32" s="136">
        <f>Y30*Y31</f>
        <v>1.6532</v>
      </c>
      <c r="Z32" s="114" t="s">
        <v>479</v>
      </c>
    </row>
    <row r="33" spans="2:27" ht="17.399999999999999">
      <c r="B33" s="114" t="s">
        <v>104</v>
      </c>
      <c r="C33" s="234">
        <f t="shared" ref="C33" si="32">C30*C28/1000</f>
        <v>37.910764041412413</v>
      </c>
      <c r="D33" s="200">
        <f t="shared" ref="D33:F33" si="33">D30*D28/1000</f>
        <v>34.172034145016013</v>
      </c>
      <c r="E33" s="219">
        <f t="shared" si="33"/>
        <v>33.152001441353327</v>
      </c>
      <c r="F33" s="209">
        <f t="shared" si="33"/>
        <v>32.21795427039558</v>
      </c>
      <c r="G33" s="234">
        <f t="shared" ref="G33" si="34">G30*G28/1000</f>
        <v>31.358653966016892</v>
      </c>
      <c r="H33" s="114" t="s">
        <v>0</v>
      </c>
      <c r="I33" s="115"/>
      <c r="J33" s="114"/>
      <c r="L33" s="70" t="s">
        <v>52</v>
      </c>
      <c r="M33" s="71">
        <v>40</v>
      </c>
      <c r="N33" s="70" t="s">
        <v>28</v>
      </c>
      <c r="O33" s="77"/>
      <c r="P33" s="69"/>
      <c r="Q33" s="69"/>
      <c r="R33" s="69"/>
      <c r="S33" s="77"/>
      <c r="T33" s="76" t="s">
        <v>254</v>
      </c>
      <c r="U33" s="95">
        <f>503.3*SQRT((U29/100000000)/(U31*U32))*1000</f>
        <v>0.4027055285218758</v>
      </c>
      <c r="V33" s="76" t="s">
        <v>225</v>
      </c>
      <c r="W33" s="77"/>
      <c r="X33" s="77"/>
    </row>
    <row r="34" spans="2:27" ht="17.399999999999999">
      <c r="B34" s="114" t="s">
        <v>102</v>
      </c>
      <c r="C34" s="234">
        <f>ROUNDUP(COS(PI()*C19/180),3)</f>
        <v>0.86699999999999999</v>
      </c>
      <c r="D34" s="200">
        <f>ROUNDUP(COS(PI()*D19/180),3)</f>
        <v>0.86699999999999999</v>
      </c>
      <c r="E34" s="219">
        <f>ROUNDUP(COS(PI()*E19/180),3)</f>
        <v>0.86699999999999999</v>
      </c>
      <c r="F34" s="209">
        <f>ROUNDUP(COS(PI()*F19/180),3)</f>
        <v>0.86699999999999999</v>
      </c>
      <c r="G34" s="234">
        <f>ROUNDUP(COS(PI()*G19/180),3)</f>
        <v>0.86699999999999999</v>
      </c>
      <c r="H34" s="114"/>
      <c r="I34" s="115"/>
      <c r="J34" s="114"/>
      <c r="L34" s="70" t="s">
        <v>53</v>
      </c>
      <c r="M34" s="71">
        <v>53.4</v>
      </c>
      <c r="N34" s="70" t="s">
        <v>2</v>
      </c>
      <c r="O34" s="77"/>
      <c r="P34" s="73" t="s">
        <v>175</v>
      </c>
      <c r="Q34" s="266" t="s">
        <v>176</v>
      </c>
      <c r="R34" s="266"/>
      <c r="S34" s="77"/>
      <c r="T34" s="76" t="s">
        <v>255</v>
      </c>
      <c r="U34" s="89">
        <v>6126</v>
      </c>
      <c r="V34" s="76" t="s">
        <v>225</v>
      </c>
      <c r="W34" s="77"/>
      <c r="X34" s="263" t="s">
        <v>493</v>
      </c>
      <c r="Y34" s="263"/>
      <c r="Z34" s="263"/>
      <c r="AA34" s="77"/>
    </row>
    <row r="35" spans="2:27" ht="17.399999999999999">
      <c r="B35" s="114" t="s">
        <v>101</v>
      </c>
      <c r="C35" s="239">
        <f>C32/(C27*C30/1000)</f>
        <v>12.714222688605298</v>
      </c>
      <c r="D35" s="205">
        <f>D32/(D27*D30/1000)</f>
        <v>15.71362309113111</v>
      </c>
      <c r="E35" s="224">
        <f>E32/(E27*E30/1000)</f>
        <v>16.713470439808059</v>
      </c>
      <c r="F35" s="214">
        <f>F32/(F27*F30/1000)</f>
        <v>17.713334840096227</v>
      </c>
      <c r="G35" s="239">
        <f>G32/(G27*G30/1000)</f>
        <v>18.713213600314852</v>
      </c>
      <c r="H35" s="114"/>
      <c r="I35" s="115"/>
      <c r="J35" s="117" t="s">
        <v>267</v>
      </c>
      <c r="L35" s="70" t="s">
        <v>54</v>
      </c>
      <c r="M35" s="71">
        <v>9.5</v>
      </c>
      <c r="N35" s="70" t="s">
        <v>1</v>
      </c>
      <c r="O35" s="77"/>
      <c r="P35" s="70" t="s">
        <v>177</v>
      </c>
      <c r="Q35" s="71">
        <v>30</v>
      </c>
      <c r="R35" s="69" t="s">
        <v>178</v>
      </c>
      <c r="S35" s="77"/>
      <c r="T35" s="76" t="s">
        <v>279</v>
      </c>
      <c r="U35" s="89">
        <v>2</v>
      </c>
      <c r="V35" s="76" t="s">
        <v>225</v>
      </c>
      <c r="W35" s="77"/>
      <c r="X35" s="69" t="s">
        <v>494</v>
      </c>
      <c r="Y35" s="71">
        <v>380</v>
      </c>
      <c r="Z35" s="69" t="s">
        <v>0</v>
      </c>
    </row>
    <row r="36" spans="2:27" ht="17.399999999999999">
      <c r="B36" s="114" t="s">
        <v>308</v>
      </c>
      <c r="C36" s="238">
        <f>C32+C30*C20*C27/1000</f>
        <v>436.28326830398413</v>
      </c>
      <c r="D36" s="204">
        <f>D32+D30*D20*D27/1000</f>
        <v>481.99618178267332</v>
      </c>
      <c r="E36" s="223">
        <f>E32+E30*E20*E27/1000</f>
        <v>496.30664662634018</v>
      </c>
      <c r="F36" s="213">
        <f>F32+F30*F20*F27/1000</f>
        <v>510.21329709517101</v>
      </c>
      <c r="G36" s="238">
        <f>G32+G30*G20*G27/1000</f>
        <v>523.75161456186959</v>
      </c>
      <c r="H36" s="114" t="s">
        <v>0</v>
      </c>
      <c r="I36" s="115"/>
      <c r="J36" s="117" t="s">
        <v>266</v>
      </c>
      <c r="L36" s="70" t="s">
        <v>286</v>
      </c>
      <c r="M36" s="71">
        <v>14</v>
      </c>
      <c r="N36" s="70" t="s">
        <v>42</v>
      </c>
      <c r="O36" s="77"/>
      <c r="P36" s="70" t="s">
        <v>179</v>
      </c>
      <c r="Q36" s="74">
        <f>Q30*SQRT(2)*SIN(Q35*PI()/180)</f>
        <v>212.13203435596424</v>
      </c>
      <c r="R36" s="69" t="s">
        <v>180</v>
      </c>
      <c r="S36" s="77"/>
      <c r="T36" s="76" t="s">
        <v>278</v>
      </c>
      <c r="U36" s="90">
        <f>MIN(U33,U35)</f>
        <v>0.4027055285218758</v>
      </c>
      <c r="V36" s="76" t="s">
        <v>225</v>
      </c>
      <c r="W36" s="77"/>
      <c r="X36" s="69" t="s">
        <v>64</v>
      </c>
      <c r="Y36" s="71">
        <v>75</v>
      </c>
      <c r="Z36" s="69" t="s">
        <v>2</v>
      </c>
    </row>
    <row r="37" spans="2:27" ht="17.399999999999999">
      <c r="B37" s="114"/>
      <c r="C37" s="240">
        <f>C36/C14*C15</f>
        <v>364.65467201527031</v>
      </c>
      <c r="D37" s="230">
        <f>D36/D14*D15</f>
        <v>402.86248029596578</v>
      </c>
      <c r="E37" s="245">
        <f>E36/E14*E15</f>
        <v>414.82346583694107</v>
      </c>
      <c r="F37" s="243">
        <f>F36/F14*F15</f>
        <v>426.4469348855161</v>
      </c>
      <c r="G37" s="240">
        <f>G36/G14*G15</f>
        <v>437.76254351439849</v>
      </c>
      <c r="H37" s="114"/>
      <c r="I37" s="115"/>
      <c r="J37" s="117" t="s">
        <v>644</v>
      </c>
      <c r="L37" s="70"/>
      <c r="M37" s="71"/>
      <c r="N37" s="70"/>
      <c r="O37" s="77"/>
      <c r="P37" s="70"/>
      <c r="Q37" s="74"/>
      <c r="R37" s="69"/>
      <c r="S37" s="77"/>
      <c r="T37" s="76"/>
      <c r="U37" s="90"/>
      <c r="V37" s="76"/>
      <c r="W37" s="77"/>
      <c r="X37" s="69"/>
      <c r="Y37" s="71"/>
      <c r="Z37" s="69"/>
    </row>
    <row r="38" spans="2:27" ht="17.399999999999999">
      <c r="B38" s="114"/>
      <c r="C38" s="238">
        <f>C36/C14*C16</f>
        <v>71.628596288713808</v>
      </c>
      <c r="D38" s="204">
        <f>D36/D14*D16</f>
        <v>79.133701486707551</v>
      </c>
      <c r="E38" s="223">
        <f>E36/E14*E16</f>
        <v>81.483180789399128</v>
      </c>
      <c r="F38" s="213">
        <f>F36/F14*F16</f>
        <v>83.766362209654943</v>
      </c>
      <c r="G38" s="238">
        <f>G36/G14*G16</f>
        <v>85.989071047471114</v>
      </c>
      <c r="H38" s="114"/>
      <c r="I38" s="115"/>
      <c r="J38" s="117" t="s">
        <v>645</v>
      </c>
      <c r="L38" s="70"/>
      <c r="M38" s="71"/>
      <c r="N38" s="70"/>
      <c r="O38" s="77"/>
      <c r="P38" s="70"/>
      <c r="Q38" s="74"/>
      <c r="R38" s="69"/>
      <c r="S38" s="77"/>
      <c r="T38" s="76"/>
      <c r="U38" s="90"/>
      <c r="V38" s="76"/>
      <c r="W38" s="77"/>
      <c r="X38" s="69"/>
      <c r="Y38" s="71"/>
      <c r="Z38" s="69"/>
    </row>
    <row r="39" spans="2:27" ht="17.399999999999999">
      <c r="B39" s="114"/>
      <c r="C39" s="235"/>
      <c r="D39" s="201"/>
      <c r="E39" s="220"/>
      <c r="F39" s="210"/>
      <c r="G39" s="235"/>
      <c r="H39" s="114"/>
      <c r="I39" s="115"/>
      <c r="J39" s="114"/>
      <c r="L39" s="70" t="s">
        <v>55</v>
      </c>
      <c r="M39" s="72">
        <f>(M34*M36)/(2*3.1415*M32*(M33/1000000))</f>
        <v>150.54117498474449</v>
      </c>
      <c r="N39" s="70" t="s">
        <v>56</v>
      </c>
      <c r="O39" s="77"/>
      <c r="P39" s="70" t="s">
        <v>181</v>
      </c>
      <c r="Q39" s="87">
        <f>Q24*Q28/Q36</f>
        <v>18617.838705929324</v>
      </c>
      <c r="R39" s="69" t="s">
        <v>182</v>
      </c>
      <c r="S39" s="77"/>
      <c r="T39" s="76" t="s">
        <v>258</v>
      </c>
      <c r="U39" s="89">
        <v>7.9</v>
      </c>
      <c r="V39" s="76" t="s">
        <v>225</v>
      </c>
      <c r="W39" s="77"/>
      <c r="X39" s="69" t="s">
        <v>497</v>
      </c>
      <c r="Y39" s="88">
        <f>Y35</f>
        <v>380</v>
      </c>
      <c r="Z39" s="69" t="s">
        <v>495</v>
      </c>
    </row>
    <row r="40" spans="2:27" ht="17.399999999999999">
      <c r="B40" s="114" t="s">
        <v>86</v>
      </c>
      <c r="C40" s="234">
        <v>1</v>
      </c>
      <c r="D40" s="200">
        <v>1</v>
      </c>
      <c r="E40" s="219">
        <v>1</v>
      </c>
      <c r="F40" s="209">
        <v>1</v>
      </c>
      <c r="G40" s="234">
        <v>1</v>
      </c>
      <c r="H40" s="114"/>
      <c r="I40" s="115"/>
      <c r="J40" s="114" t="s">
        <v>87</v>
      </c>
      <c r="L40" s="70" t="s">
        <v>57</v>
      </c>
      <c r="M40" s="72">
        <f>M34*M36</f>
        <v>747.6</v>
      </c>
      <c r="N40" s="70"/>
      <c r="O40" s="77"/>
      <c r="P40" s="69"/>
      <c r="Q40" s="69"/>
      <c r="R40" s="69"/>
      <c r="S40" s="77"/>
      <c r="T40" s="76" t="s">
        <v>277</v>
      </c>
      <c r="U40" s="95">
        <f>(PI()*(U39/2)^2)-(PI()*(U39/2-U36)^2)</f>
        <v>9.4851026112254075</v>
      </c>
      <c r="V40" s="76" t="s">
        <v>251</v>
      </c>
      <c r="W40" s="77"/>
      <c r="X40" s="69" t="s">
        <v>498</v>
      </c>
      <c r="Y40" s="88">
        <f>Y36*1.25</f>
        <v>93.75</v>
      </c>
      <c r="Z40" s="69" t="s">
        <v>496</v>
      </c>
    </row>
    <row r="41" spans="2:27" ht="17.399999999999999">
      <c r="B41" s="114" t="s">
        <v>309</v>
      </c>
      <c r="C41" s="234">
        <f>C10/C40*4/PI()/2^0.5</f>
        <v>521.01305216011724</v>
      </c>
      <c r="D41" s="200">
        <f>D10/D40*4/PI()/2^0.5</f>
        <v>521.01305216011724</v>
      </c>
      <c r="E41" s="219">
        <f>E10/E40*4/PI()/2^0.5</f>
        <v>521.01305216011724</v>
      </c>
      <c r="F41" s="209">
        <f>F10/F40*4/PI()/2^0.5</f>
        <v>521.01305216011724</v>
      </c>
      <c r="G41" s="234">
        <f>G10/G40*4/PI()/2^0.5</f>
        <v>521.01305216011724</v>
      </c>
      <c r="H41" s="114" t="s">
        <v>0</v>
      </c>
      <c r="I41" s="115"/>
      <c r="J41" s="114" t="s">
        <v>246</v>
      </c>
      <c r="L41" s="70" t="s">
        <v>502</v>
      </c>
      <c r="M41" s="72">
        <f>M39*M40/1000</f>
        <v>112.54458241859497</v>
      </c>
      <c r="N41" s="70" t="s">
        <v>502</v>
      </c>
      <c r="O41" s="77"/>
      <c r="P41" s="73" t="s">
        <v>183</v>
      </c>
      <c r="Q41" s="70"/>
      <c r="R41" s="70"/>
      <c r="S41" s="77"/>
      <c r="T41" s="76" t="s">
        <v>256</v>
      </c>
      <c r="U41" s="89">
        <v>200</v>
      </c>
      <c r="V41" s="68" t="s">
        <v>252</v>
      </c>
      <c r="W41" s="77"/>
      <c r="X41" s="77"/>
    </row>
    <row r="42" spans="2:27" ht="17.399999999999999">
      <c r="B42" s="114" t="s">
        <v>88</v>
      </c>
      <c r="C42" s="231">
        <v>13.5</v>
      </c>
      <c r="D42" s="197">
        <v>13.5</v>
      </c>
      <c r="E42" s="216">
        <v>13.5</v>
      </c>
      <c r="F42" s="206">
        <v>13.5</v>
      </c>
      <c r="G42" s="231">
        <v>13.5</v>
      </c>
      <c r="H42" s="114" t="s">
        <v>42</v>
      </c>
      <c r="I42" s="115">
        <v>7</v>
      </c>
      <c r="J42" s="116" t="s">
        <v>274</v>
      </c>
      <c r="L42" s="70" t="s">
        <v>41</v>
      </c>
      <c r="M42" s="88">
        <f>M41/M35</f>
        <v>11.846798149325787</v>
      </c>
      <c r="N42" s="70"/>
      <c r="O42" s="77"/>
      <c r="P42" s="70" t="s">
        <v>184</v>
      </c>
      <c r="Q42" s="74">
        <f>Q24*Q28/Q29/1000</f>
        <v>197.47200000000001</v>
      </c>
      <c r="R42" s="69" t="s">
        <v>180</v>
      </c>
      <c r="S42" s="77"/>
      <c r="T42" s="76" t="s">
        <v>491</v>
      </c>
      <c r="U42" s="91">
        <f>U41/U40</f>
        <v>21.085697034347785</v>
      </c>
      <c r="V42" s="68" t="s">
        <v>252</v>
      </c>
      <c r="W42" s="77"/>
      <c r="X42" s="263" t="s">
        <v>500</v>
      </c>
      <c r="Y42" s="263"/>
      <c r="Z42" s="263"/>
    </row>
    <row r="43" spans="2:27" ht="17.399999999999999">
      <c r="B43" s="114" t="s">
        <v>89</v>
      </c>
      <c r="C43" s="234">
        <f t="shared" ref="C43" si="35">ROUND(C41/C42,1)</f>
        <v>38.6</v>
      </c>
      <c r="D43" s="200">
        <f t="shared" ref="D43:F43" si="36">ROUND(D41/D42,1)</f>
        <v>38.6</v>
      </c>
      <c r="E43" s="219">
        <f t="shared" si="36"/>
        <v>38.6</v>
      </c>
      <c r="F43" s="209">
        <f t="shared" si="36"/>
        <v>38.6</v>
      </c>
      <c r="G43" s="234">
        <f t="shared" ref="G43" si="37">ROUND(G41/G42,1)</f>
        <v>38.6</v>
      </c>
      <c r="H43" s="114" t="s">
        <v>0</v>
      </c>
      <c r="I43" s="115"/>
      <c r="J43" s="114" t="s">
        <v>310</v>
      </c>
      <c r="L43" s="77"/>
      <c r="M43" s="77"/>
      <c r="N43" s="77"/>
      <c r="O43" s="77"/>
      <c r="P43" s="70" t="s">
        <v>185</v>
      </c>
      <c r="Q43" s="74">
        <f>Q42/SIN(Q35*PI()/180)/SQRT(2)</f>
        <v>279.26758058893984</v>
      </c>
      <c r="R43" s="69" t="s">
        <v>171</v>
      </c>
      <c r="S43" s="77"/>
      <c r="T43" s="76" t="s">
        <v>257</v>
      </c>
      <c r="U43" s="91">
        <f>U29/100000000*(U41^2)/(U40/1000000)*U34/1000</f>
        <v>496.1780270495122</v>
      </c>
      <c r="V43" s="68" t="s">
        <v>253</v>
      </c>
      <c r="W43" s="77"/>
      <c r="X43" s="69" t="s">
        <v>27</v>
      </c>
      <c r="Y43" s="71">
        <v>0.52800000000000002</v>
      </c>
      <c r="Z43" s="69" t="s">
        <v>28</v>
      </c>
    </row>
    <row r="44" spans="2:27" ht="17.399999999999999">
      <c r="B44" s="114"/>
      <c r="C44" s="235"/>
      <c r="D44" s="201"/>
      <c r="E44" s="220"/>
      <c r="F44" s="210"/>
      <c r="G44" s="235"/>
      <c r="H44" s="114"/>
      <c r="I44" s="115"/>
      <c r="J44" s="114"/>
      <c r="L44" s="265" t="s">
        <v>238</v>
      </c>
      <c r="M44" s="265"/>
      <c r="N44" s="265"/>
      <c r="O44" s="77"/>
      <c r="P44" s="70" t="s">
        <v>174</v>
      </c>
      <c r="Q44" s="87">
        <f>Q43*Q31</f>
        <v>279.26758058893984</v>
      </c>
      <c r="R44" s="69" t="s">
        <v>171</v>
      </c>
      <c r="S44" s="77"/>
      <c r="T44" s="77"/>
      <c r="U44" s="77"/>
      <c r="V44" s="77"/>
      <c r="W44" s="77"/>
      <c r="X44" s="69" t="s">
        <v>29</v>
      </c>
      <c r="Y44" s="71">
        <v>0.27</v>
      </c>
      <c r="Z44" s="69" t="s">
        <v>15</v>
      </c>
    </row>
    <row r="45" spans="2:27" ht="17.399999999999999">
      <c r="B45" s="114" t="s">
        <v>72</v>
      </c>
      <c r="C45" s="239">
        <f>C33/C43*100</f>
        <v>98.214414615058061</v>
      </c>
      <c r="D45" s="205">
        <f>D33/D43*100</f>
        <v>88.52858586791713</v>
      </c>
      <c r="E45" s="224">
        <f>E33/E43*100</f>
        <v>85.886014096770282</v>
      </c>
      <c r="F45" s="214">
        <f>F33/F43*100</f>
        <v>83.466202773045538</v>
      </c>
      <c r="G45" s="239">
        <f>G33/G43*100</f>
        <v>81.240036181390906</v>
      </c>
      <c r="H45" s="114" t="s">
        <v>7</v>
      </c>
      <c r="I45" s="115"/>
      <c r="J45" s="118" t="s">
        <v>273</v>
      </c>
      <c r="L45" s="84" t="s">
        <v>18</v>
      </c>
      <c r="M45" s="85">
        <v>40</v>
      </c>
      <c r="N45" s="84" t="s">
        <v>263</v>
      </c>
      <c r="O45" s="77"/>
      <c r="P45" s="70" t="s">
        <v>186</v>
      </c>
      <c r="Q45" s="74">
        <f>Q44/Q32*100</f>
        <v>93.089193529646607</v>
      </c>
      <c r="R45" s="75" t="s">
        <v>187</v>
      </c>
      <c r="S45" s="77"/>
      <c r="T45" s="263" t="s">
        <v>490</v>
      </c>
      <c r="U45" s="263"/>
      <c r="V45" s="263"/>
      <c r="W45" s="77"/>
      <c r="X45" s="69" t="s">
        <v>30</v>
      </c>
      <c r="Y45" s="88">
        <f>1/(2*3.14*SQRT((Y43/1000000)*(Y44/1000000)))</f>
        <v>421736.81406829093</v>
      </c>
      <c r="Z45" s="69" t="s">
        <v>31</v>
      </c>
    </row>
    <row r="46" spans="2:27" ht="17.399999999999999">
      <c r="B46" s="114"/>
      <c r="C46" s="235"/>
      <c r="D46" s="201"/>
      <c r="E46" s="220"/>
      <c r="F46" s="210"/>
      <c r="G46" s="235"/>
      <c r="H46" s="114"/>
      <c r="I46" s="115"/>
      <c r="J46" s="114"/>
      <c r="L46" s="84" t="s">
        <v>100</v>
      </c>
      <c r="M46" s="85">
        <v>127</v>
      </c>
      <c r="N46" s="84" t="s">
        <v>2</v>
      </c>
      <c r="O46" s="77"/>
      <c r="P46" s="70" t="s">
        <v>188</v>
      </c>
      <c r="Q46" s="74">
        <f>Q45*Q45/100</f>
        <v>86.655979520000002</v>
      </c>
      <c r="R46" s="75" t="s">
        <v>187</v>
      </c>
      <c r="S46" s="77"/>
      <c r="T46" s="69" t="s">
        <v>212</v>
      </c>
      <c r="U46" s="67" t="s">
        <v>213</v>
      </c>
      <c r="V46" s="67"/>
      <c r="W46" s="77"/>
      <c r="X46" s="77"/>
    </row>
    <row r="47" spans="2:27" ht="17.399999999999999">
      <c r="B47" s="114" t="s">
        <v>90</v>
      </c>
      <c r="C47" s="238">
        <f>C30/C42</f>
        <v>282.10143488668069</v>
      </c>
      <c r="D47" s="204">
        <f>D30/D42</f>
        <v>312.965885740011</v>
      </c>
      <c r="E47" s="223">
        <f>E30/E42</f>
        <v>322.59533267250697</v>
      </c>
      <c r="F47" s="213">
        <f>F30/F42</f>
        <v>331.94785876147137</v>
      </c>
      <c r="G47" s="238">
        <f>G30/G42</f>
        <v>341.04400480079704</v>
      </c>
      <c r="H47" s="114" t="s">
        <v>2</v>
      </c>
      <c r="I47" s="115"/>
      <c r="J47" s="117" t="s">
        <v>268</v>
      </c>
      <c r="L47" s="84" t="s">
        <v>44</v>
      </c>
      <c r="M47" s="85">
        <v>401</v>
      </c>
      <c r="N47" s="84" t="s">
        <v>0</v>
      </c>
      <c r="O47" s="77"/>
      <c r="P47" s="77"/>
      <c r="Q47" s="77"/>
      <c r="R47" s="77"/>
      <c r="S47" s="77"/>
      <c r="T47" s="76" t="s">
        <v>214</v>
      </c>
      <c r="U47" s="78">
        <v>1.75</v>
      </c>
      <c r="V47" s="76" t="s">
        <v>215</v>
      </c>
      <c r="W47" s="77"/>
      <c r="X47" s="77"/>
    </row>
    <row r="48" spans="2:27" ht="17.399999999999999">
      <c r="B48" s="114" t="s">
        <v>91</v>
      </c>
      <c r="C48" s="234">
        <f t="shared" ref="C48" si="38">ROUND(C47*2^0.5*2/PI(),0)</f>
        <v>254</v>
      </c>
      <c r="D48" s="200">
        <f t="shared" ref="D48:F48" si="39">ROUND(D47*2^0.5*2/PI(),0)</f>
        <v>282</v>
      </c>
      <c r="E48" s="219">
        <f t="shared" si="39"/>
        <v>290</v>
      </c>
      <c r="F48" s="209">
        <f t="shared" si="39"/>
        <v>299</v>
      </c>
      <c r="G48" s="234">
        <f t="shared" ref="G48" si="40">ROUND(G47*2^0.5*2/PI(),0)</f>
        <v>307</v>
      </c>
      <c r="H48" s="114" t="s">
        <v>2</v>
      </c>
      <c r="I48" s="115"/>
      <c r="J48" s="114"/>
      <c r="L48" s="84" t="s">
        <v>466</v>
      </c>
      <c r="M48" s="85">
        <v>1</v>
      </c>
      <c r="N48" s="84"/>
      <c r="O48" s="77"/>
      <c r="P48" s="263" t="s">
        <v>250</v>
      </c>
      <c r="Q48" s="263"/>
      <c r="R48" s="263"/>
      <c r="S48" s="77"/>
      <c r="T48" s="76" t="s">
        <v>216</v>
      </c>
      <c r="U48" s="79">
        <v>3.8999999999999998E-3</v>
      </c>
      <c r="V48" s="76" t="s">
        <v>217</v>
      </c>
      <c r="W48" s="77"/>
      <c r="X48" s="77"/>
    </row>
    <row r="49" spans="2:24" ht="17.399999999999999">
      <c r="B49" s="114" t="s">
        <v>92</v>
      </c>
      <c r="C49" s="234">
        <f t="shared" ref="C49" si="41">C48/C40</f>
        <v>254</v>
      </c>
      <c r="D49" s="200">
        <f t="shared" ref="D49:F49" si="42">D48/D40</f>
        <v>282</v>
      </c>
      <c r="E49" s="219">
        <f t="shared" si="42"/>
        <v>290</v>
      </c>
      <c r="F49" s="209">
        <f t="shared" si="42"/>
        <v>299</v>
      </c>
      <c r="G49" s="234">
        <f t="shared" ref="G49" si="43">G48/G40</f>
        <v>307</v>
      </c>
      <c r="H49" s="114" t="s">
        <v>2</v>
      </c>
      <c r="I49" s="115"/>
      <c r="J49" s="114"/>
      <c r="L49" s="84" t="s">
        <v>56</v>
      </c>
      <c r="M49" s="86">
        <f>M47*0.9/M48</f>
        <v>360.90000000000003</v>
      </c>
      <c r="N49" s="84" t="s">
        <v>0</v>
      </c>
      <c r="O49" s="77"/>
      <c r="P49" s="70" t="s">
        <v>156</v>
      </c>
      <c r="Q49" s="71">
        <v>5808</v>
      </c>
      <c r="R49" s="70" t="s">
        <v>157</v>
      </c>
      <c r="S49" s="77"/>
      <c r="T49" s="76" t="s">
        <v>218</v>
      </c>
      <c r="U49" s="80">
        <v>45</v>
      </c>
      <c r="V49" s="76" t="s">
        <v>48</v>
      </c>
      <c r="W49" s="77"/>
      <c r="X49" s="77"/>
    </row>
    <row r="50" spans="2:24" ht="18" thickBot="1">
      <c r="B50" s="114" t="s">
        <v>93</v>
      </c>
      <c r="C50" s="234">
        <f>ROUND(C49/C11,3)</f>
        <v>1.1759999999999999</v>
      </c>
      <c r="D50" s="200">
        <f>ROUND(D49/D11,3)</f>
        <v>1.306</v>
      </c>
      <c r="E50" s="225">
        <f>ROUND(E49/E11,3)</f>
        <v>1.343</v>
      </c>
      <c r="F50" s="209">
        <f>ROUND(F49/F11,3)</f>
        <v>1.3839999999999999</v>
      </c>
      <c r="G50" s="234">
        <f>ROUND(G49/G11,3)</f>
        <v>1.421</v>
      </c>
      <c r="H50" s="114"/>
      <c r="I50" s="115"/>
      <c r="J50" s="114"/>
      <c r="L50" s="84" t="s">
        <v>264</v>
      </c>
      <c r="M50" s="86">
        <f>(M45*1000)/(M46*M47*0.9/M48)</f>
        <v>0.87270886650390644</v>
      </c>
      <c r="N50" s="84"/>
      <c r="O50" s="77"/>
      <c r="P50" s="70" t="s">
        <v>160</v>
      </c>
      <c r="Q50" s="71">
        <v>680</v>
      </c>
      <c r="R50" s="70" t="s">
        <v>161</v>
      </c>
      <c r="S50" s="77"/>
      <c r="T50" s="76" t="s">
        <v>219</v>
      </c>
      <c r="U50" s="79">
        <f>U47*(1+U48*(U49-20))</f>
        <v>1.9206249999999998</v>
      </c>
      <c r="V50" s="76" t="s">
        <v>215</v>
      </c>
      <c r="W50" s="77"/>
      <c r="X50" s="77"/>
    </row>
    <row r="51" spans="2:24" ht="17.399999999999999">
      <c r="L51" s="84" t="s">
        <v>265</v>
      </c>
      <c r="M51" s="92">
        <f>DEGREES(ACOS(M50))</f>
        <v>29.225030363895115</v>
      </c>
      <c r="N51" s="84"/>
      <c r="O51" s="77"/>
      <c r="P51" s="70" t="s">
        <v>163</v>
      </c>
      <c r="Q51" s="71">
        <v>300</v>
      </c>
      <c r="R51" s="70" t="s">
        <v>164</v>
      </c>
      <c r="S51" s="77"/>
      <c r="T51" s="76" t="s">
        <v>220</v>
      </c>
      <c r="U51" s="81">
        <f>1/(U50/100000000)</f>
        <v>52066384.64041654</v>
      </c>
      <c r="V51" s="76" t="s">
        <v>221</v>
      </c>
      <c r="W51" s="77"/>
      <c r="X51" s="77"/>
    </row>
    <row r="52" spans="2:24" ht="17.399999999999999">
      <c r="B52" s="112" t="s">
        <v>313</v>
      </c>
      <c r="L52" s="77"/>
      <c r="M52" s="77"/>
      <c r="N52" s="77"/>
      <c r="O52" s="77"/>
      <c r="P52" s="70" t="s">
        <v>166</v>
      </c>
      <c r="Q52" s="88">
        <f>Q49*Q50/Q51</f>
        <v>13164.8</v>
      </c>
      <c r="R52" s="70" t="s">
        <v>167</v>
      </c>
      <c r="S52" s="77"/>
      <c r="T52" s="76" t="s">
        <v>222</v>
      </c>
      <c r="U52" s="67">
        <v>1</v>
      </c>
      <c r="V52" s="76" t="s">
        <v>223</v>
      </c>
      <c r="W52" s="77"/>
      <c r="X52" s="77"/>
    </row>
    <row r="53" spans="2:24" ht="17.399999999999999">
      <c r="B53" s="96" t="s">
        <v>297</v>
      </c>
      <c r="C53" s="98">
        <v>1</v>
      </c>
      <c r="D53" s="98">
        <v>1</v>
      </c>
      <c r="E53" s="98">
        <v>1</v>
      </c>
      <c r="F53" s="98">
        <v>1</v>
      </c>
      <c r="G53" s="98">
        <v>1</v>
      </c>
      <c r="H53" s="96" t="s">
        <v>49</v>
      </c>
      <c r="I53" s="115">
        <v>8</v>
      </c>
      <c r="J53" s="99" t="s">
        <v>301</v>
      </c>
      <c r="L53" s="265" t="s">
        <v>288</v>
      </c>
      <c r="M53" s="265"/>
      <c r="N53" s="265"/>
      <c r="O53" s="77"/>
      <c r="P53" s="77"/>
      <c r="Q53" s="77"/>
      <c r="R53" s="77"/>
      <c r="S53" s="77"/>
      <c r="T53" s="76" t="s">
        <v>37</v>
      </c>
      <c r="U53" s="82">
        <v>18000</v>
      </c>
      <c r="V53" s="76" t="s">
        <v>224</v>
      </c>
      <c r="W53" s="77"/>
      <c r="X53" s="77"/>
    </row>
    <row r="54" spans="2:24" ht="17.399999999999999">
      <c r="B54" s="96" t="s">
        <v>114</v>
      </c>
      <c r="C54" s="121">
        <f t="shared" ref="C54:D54" si="44">C47/C53</f>
        <v>282.10143488668069</v>
      </c>
      <c r="D54" s="121">
        <f t="shared" si="44"/>
        <v>312.965885740011</v>
      </c>
      <c r="E54" s="121">
        <f t="shared" ref="E54:F54" si="45">E47/E53</f>
        <v>322.59533267250697</v>
      </c>
      <c r="F54" s="121">
        <f t="shared" si="45"/>
        <v>331.94785876147137</v>
      </c>
      <c r="G54" s="121">
        <f t="shared" ref="G54" si="46">G47/G53</f>
        <v>341.04400480079704</v>
      </c>
      <c r="H54" s="96" t="s">
        <v>2</v>
      </c>
      <c r="I54" s="115"/>
      <c r="J54" s="96" t="s">
        <v>300</v>
      </c>
      <c r="L54" s="96" t="s">
        <v>317</v>
      </c>
      <c r="M54" s="97">
        <v>300</v>
      </c>
      <c r="N54" s="96" t="s">
        <v>13</v>
      </c>
      <c r="O54" s="77"/>
      <c r="P54" s="263" t="s">
        <v>329</v>
      </c>
      <c r="Q54" s="263"/>
      <c r="R54" s="263"/>
      <c r="S54" s="77"/>
      <c r="T54" s="76" t="s">
        <v>254</v>
      </c>
      <c r="U54" s="95">
        <f>503.3*SQRT((U50/100000000)/(U52*U53))*1000</f>
        <v>0.51989060179696034</v>
      </c>
      <c r="V54" s="76" t="s">
        <v>225</v>
      </c>
      <c r="W54" s="77"/>
      <c r="X54" s="77"/>
    </row>
    <row r="55" spans="2:24" ht="17.399999999999999">
      <c r="B55" s="96" t="s">
        <v>8</v>
      </c>
      <c r="C55" s="104">
        <v>0</v>
      </c>
      <c r="D55" s="104">
        <v>0</v>
      </c>
      <c r="E55" s="104">
        <v>0</v>
      </c>
      <c r="F55" s="104">
        <v>0</v>
      </c>
      <c r="G55" s="104">
        <v>0</v>
      </c>
      <c r="H55" s="96" t="s">
        <v>45</v>
      </c>
      <c r="I55" s="115">
        <v>9</v>
      </c>
      <c r="J55" s="99" t="s">
        <v>117</v>
      </c>
      <c r="L55" s="96" t="s">
        <v>38</v>
      </c>
      <c r="M55" s="97">
        <v>1</v>
      </c>
      <c r="N55" s="96" t="s">
        <v>13</v>
      </c>
      <c r="O55" s="77"/>
      <c r="P55" s="84" t="s">
        <v>320</v>
      </c>
      <c r="Q55" s="85">
        <v>15.4</v>
      </c>
      <c r="R55" s="84" t="s">
        <v>13</v>
      </c>
      <c r="S55" s="77"/>
      <c r="T55" s="76" t="s">
        <v>255</v>
      </c>
      <c r="U55" s="89">
        <v>16000</v>
      </c>
      <c r="V55" s="76" t="s">
        <v>225</v>
      </c>
      <c r="W55" s="77"/>
      <c r="X55" s="77"/>
    </row>
    <row r="56" spans="2:24" ht="17.399999999999999">
      <c r="B56" s="96" t="s">
        <v>118</v>
      </c>
      <c r="C56" s="104">
        <v>0</v>
      </c>
      <c r="D56" s="104">
        <v>0</v>
      </c>
      <c r="E56" s="104">
        <v>0</v>
      </c>
      <c r="F56" s="104">
        <v>0</v>
      </c>
      <c r="G56" s="104">
        <v>0</v>
      </c>
      <c r="H56" s="96" t="s">
        <v>0</v>
      </c>
      <c r="I56" s="115">
        <v>10</v>
      </c>
      <c r="J56" s="99" t="s">
        <v>119</v>
      </c>
      <c r="L56" s="96" t="s">
        <v>39</v>
      </c>
      <c r="M56" s="97">
        <v>100</v>
      </c>
      <c r="N56" s="96" t="s">
        <v>13</v>
      </c>
      <c r="O56" s="77"/>
      <c r="P56" s="84" t="s">
        <v>321</v>
      </c>
      <c r="Q56" s="85">
        <v>2</v>
      </c>
      <c r="R56" s="84" t="s">
        <v>13</v>
      </c>
      <c r="S56" s="77"/>
      <c r="T56" s="76" t="s">
        <v>279</v>
      </c>
      <c r="U56" s="89">
        <v>2</v>
      </c>
      <c r="V56" s="76" t="s">
        <v>225</v>
      </c>
      <c r="W56" s="77"/>
      <c r="X56" s="77"/>
    </row>
    <row r="57" spans="2:24" ht="17.399999999999999">
      <c r="B57" s="96" t="s">
        <v>9</v>
      </c>
      <c r="C57" s="108">
        <f t="shared" ref="C57:D57" si="47">C56*C55/1000000*C58*1000</f>
        <v>0</v>
      </c>
      <c r="D57" s="108">
        <f t="shared" si="47"/>
        <v>0</v>
      </c>
      <c r="E57" s="108">
        <f t="shared" ref="E57:F57" si="48">E56*E55/1000000*E58*1000</f>
        <v>0</v>
      </c>
      <c r="F57" s="108">
        <f t="shared" si="48"/>
        <v>0</v>
      </c>
      <c r="G57" s="108">
        <f t="shared" ref="G57" si="49">G56*G55/1000000*G58*1000</f>
        <v>0</v>
      </c>
      <c r="H57" s="96" t="s">
        <v>6</v>
      </c>
      <c r="I57" s="115"/>
      <c r="J57" s="96"/>
      <c r="L57" s="96" t="s">
        <v>75</v>
      </c>
      <c r="M57" s="102">
        <f>12.5*(M55/10)*(M56/10)/(M54/10)</f>
        <v>0.41666666666666669</v>
      </c>
      <c r="N57" s="96" t="s">
        <v>40</v>
      </c>
      <c r="O57" s="77"/>
      <c r="P57" s="84" t="s">
        <v>322</v>
      </c>
      <c r="Q57" s="86">
        <f>Q55+Q56*2</f>
        <v>19.399999999999999</v>
      </c>
      <c r="R57" s="84" t="s">
        <v>13</v>
      </c>
      <c r="S57" s="77"/>
      <c r="T57" s="76" t="s">
        <v>278</v>
      </c>
      <c r="U57" s="90">
        <f>MIN(U54,U56)</f>
        <v>0.51989060179696034</v>
      </c>
      <c r="V57" s="76" t="s">
        <v>225</v>
      </c>
      <c r="W57" s="77"/>
      <c r="X57" s="77"/>
    </row>
    <row r="58" spans="2:24" ht="17.399999999999999">
      <c r="B58" s="96" t="s">
        <v>116</v>
      </c>
      <c r="C58" s="121">
        <f>C23</f>
        <v>1.8141918567629867</v>
      </c>
      <c r="D58" s="121">
        <f>D23</f>
        <v>1.8066188813180895</v>
      </c>
      <c r="E58" s="121">
        <f>E23</f>
        <v>1.8047288399302441</v>
      </c>
      <c r="F58" s="121">
        <f>F23</f>
        <v>1.8030254110352379</v>
      </c>
      <c r="G58" s="121">
        <f>G23</f>
        <v>1.8015026314415696</v>
      </c>
      <c r="H58" s="96" t="s">
        <v>4</v>
      </c>
      <c r="I58" s="115"/>
      <c r="J58" s="96" t="s">
        <v>115</v>
      </c>
      <c r="P58" s="125" t="s">
        <v>323</v>
      </c>
      <c r="Q58" s="126">
        <v>8.8539999999999992E-12</v>
      </c>
      <c r="R58" s="114"/>
      <c r="T58" s="76" t="s">
        <v>259</v>
      </c>
      <c r="U58" s="89">
        <v>15</v>
      </c>
      <c r="V58" s="76" t="s">
        <v>225</v>
      </c>
    </row>
    <row r="59" spans="2:24" ht="17.399999999999999">
      <c r="B59" s="96" t="s">
        <v>296</v>
      </c>
      <c r="C59" s="107">
        <f t="shared" ref="C59:D59" si="50">C54*1.414</f>
        <v>398.89142892976651</v>
      </c>
      <c r="D59" s="107">
        <f t="shared" si="50"/>
        <v>442.53376243637553</v>
      </c>
      <c r="E59" s="107">
        <f t="shared" ref="E59:F59" si="51">E54*1.414</f>
        <v>456.14980039892481</v>
      </c>
      <c r="F59" s="107">
        <f t="shared" si="51"/>
        <v>469.37427228872048</v>
      </c>
      <c r="G59" s="107">
        <f t="shared" ref="G59" si="52">G54*1.414</f>
        <v>482.23622278832698</v>
      </c>
      <c r="H59" s="96" t="s">
        <v>2</v>
      </c>
      <c r="I59" s="115"/>
      <c r="J59" s="96" t="s">
        <v>302</v>
      </c>
      <c r="L59" s="265" t="s">
        <v>314</v>
      </c>
      <c r="M59" s="265"/>
      <c r="N59" s="265"/>
      <c r="P59" s="125" t="s">
        <v>324</v>
      </c>
      <c r="Q59" s="123">
        <v>2.1</v>
      </c>
      <c r="R59" s="114" t="s">
        <v>319</v>
      </c>
      <c r="T59" s="76" t="s">
        <v>260</v>
      </c>
      <c r="U59" s="89">
        <v>15</v>
      </c>
      <c r="V59" s="76" t="s">
        <v>225</v>
      </c>
    </row>
    <row r="60" spans="2:24" ht="17.399999999999999">
      <c r="B60" s="96" t="s">
        <v>120</v>
      </c>
      <c r="C60" s="104">
        <v>0</v>
      </c>
      <c r="D60" s="104">
        <v>0</v>
      </c>
      <c r="E60" s="104">
        <v>0</v>
      </c>
      <c r="F60" s="104">
        <v>0</v>
      </c>
      <c r="G60" s="104">
        <v>0</v>
      </c>
      <c r="H60" s="96" t="s">
        <v>5</v>
      </c>
      <c r="I60" s="115">
        <v>11</v>
      </c>
      <c r="J60" s="99" t="s">
        <v>121</v>
      </c>
      <c r="L60" s="96" t="s">
        <v>315</v>
      </c>
      <c r="M60" s="97">
        <v>3000</v>
      </c>
      <c r="N60" s="96" t="s">
        <v>50</v>
      </c>
      <c r="P60" s="114" t="s">
        <v>325</v>
      </c>
      <c r="Q60" s="126">
        <f>2*PI()*Q58*Q59/(LN(Q57/Q55))*1000000000</f>
        <v>0.50594615125588516</v>
      </c>
      <c r="R60" s="114" t="s">
        <v>318</v>
      </c>
      <c r="T60" s="76" t="s">
        <v>275</v>
      </c>
      <c r="U60" s="95">
        <f>(U58*U59)-((U58-2*U57)*(U59-2*U57))</f>
        <v>30.112291156470377</v>
      </c>
      <c r="V60" s="76" t="s">
        <v>251</v>
      </c>
    </row>
    <row r="61" spans="2:24" ht="17.399999999999999">
      <c r="B61" s="96" t="s">
        <v>122</v>
      </c>
      <c r="C61" s="108">
        <v>0</v>
      </c>
      <c r="D61" s="108">
        <v>0</v>
      </c>
      <c r="E61" s="108">
        <v>0</v>
      </c>
      <c r="F61" s="108">
        <v>0</v>
      </c>
      <c r="G61" s="108">
        <v>0</v>
      </c>
      <c r="H61" s="96" t="s">
        <v>5</v>
      </c>
      <c r="I61" s="115"/>
      <c r="J61" s="96"/>
      <c r="L61" s="96" t="s">
        <v>38</v>
      </c>
      <c r="M61" s="97">
        <v>1</v>
      </c>
      <c r="N61" s="96" t="s">
        <v>13</v>
      </c>
      <c r="P61" s="114" t="s">
        <v>326</v>
      </c>
      <c r="Q61" s="123">
        <v>10</v>
      </c>
      <c r="R61" s="114" t="s">
        <v>328</v>
      </c>
      <c r="T61" s="76" t="s">
        <v>256</v>
      </c>
      <c r="U61" s="89">
        <v>935</v>
      </c>
      <c r="V61" s="68" t="s">
        <v>252</v>
      </c>
    </row>
    <row r="62" spans="2:24" ht="17.399999999999999">
      <c r="B62" s="96" t="s">
        <v>123</v>
      </c>
      <c r="C62" s="108">
        <v>0</v>
      </c>
      <c r="D62" s="108">
        <v>0</v>
      </c>
      <c r="E62" s="108">
        <v>0</v>
      </c>
      <c r="F62" s="108">
        <v>0</v>
      </c>
      <c r="G62" s="108">
        <v>0</v>
      </c>
      <c r="H62" s="96" t="s">
        <v>5</v>
      </c>
      <c r="I62" s="115"/>
      <c r="J62" s="96"/>
      <c r="L62" s="96" t="s">
        <v>316</v>
      </c>
      <c r="M62" s="97">
        <v>2.1</v>
      </c>
      <c r="N62" s="96" t="s">
        <v>319</v>
      </c>
      <c r="O62" s="2"/>
      <c r="P62" s="114" t="s">
        <v>327</v>
      </c>
      <c r="Q62" s="127">
        <f>Q60*Q61</f>
        <v>5.0594615125588511</v>
      </c>
      <c r="R62" s="114" t="s">
        <v>318</v>
      </c>
      <c r="T62" s="76" t="s">
        <v>491</v>
      </c>
      <c r="U62" s="91">
        <f>U61/U60</f>
        <v>31.050443659086763</v>
      </c>
      <c r="V62" s="68" t="s">
        <v>252</v>
      </c>
    </row>
    <row r="63" spans="2:24" ht="17.399999999999999">
      <c r="B63" s="96" t="s">
        <v>124</v>
      </c>
      <c r="C63" s="105">
        <f t="shared" ref="C63:D63" si="53">C60*C58+C61*C58</f>
        <v>0</v>
      </c>
      <c r="D63" s="105">
        <f t="shared" si="53"/>
        <v>0</v>
      </c>
      <c r="E63" s="105">
        <f t="shared" ref="E63:F63" si="54">E60*E58+E61*E58</f>
        <v>0</v>
      </c>
      <c r="F63" s="105">
        <f t="shared" si="54"/>
        <v>0</v>
      </c>
      <c r="G63" s="105">
        <f t="shared" ref="G63" si="55">G60*G58+G61*G58</f>
        <v>0</v>
      </c>
      <c r="H63" s="96" t="s">
        <v>6</v>
      </c>
      <c r="I63" s="115"/>
      <c r="J63" s="96"/>
      <c r="L63" s="96" t="s">
        <v>76</v>
      </c>
      <c r="M63" s="102">
        <f>8.854/1000000000000*M62*(M60/1000000)/(M61/1000)*1000000000</f>
        <v>5.5780200000000002E-2</v>
      </c>
      <c r="N63" s="96" t="s">
        <v>318</v>
      </c>
      <c r="T63" s="76" t="s">
        <v>257</v>
      </c>
      <c r="U63" s="91">
        <f>U50/100000000*(U61^2)/(U60/1000000)*U55/1000</f>
        <v>8921.5842495689321</v>
      </c>
      <c r="V63" s="68" t="s">
        <v>253</v>
      </c>
    </row>
    <row r="64" spans="2:24" ht="17.399999999999999">
      <c r="B64" s="96" t="s">
        <v>125</v>
      </c>
      <c r="C64" s="108">
        <f t="shared" ref="C64:D64" si="56">C58*C62</f>
        <v>0</v>
      </c>
      <c r="D64" s="108">
        <f t="shared" si="56"/>
        <v>0</v>
      </c>
      <c r="E64" s="108">
        <f t="shared" ref="E64:F64" si="57">E58*E62</f>
        <v>0</v>
      </c>
      <c r="F64" s="108">
        <f t="shared" si="57"/>
        <v>0</v>
      </c>
      <c r="G64" s="108">
        <f t="shared" ref="G64" si="58">G58*G62</f>
        <v>0</v>
      </c>
      <c r="H64" s="96" t="s">
        <v>6</v>
      </c>
      <c r="I64" s="115"/>
      <c r="J64" s="96"/>
    </row>
    <row r="65" spans="2:22" ht="17.399999999999999">
      <c r="B65" s="96" t="s">
        <v>126</v>
      </c>
      <c r="C65" s="104">
        <v>100</v>
      </c>
      <c r="D65" s="104">
        <v>100</v>
      </c>
      <c r="E65" s="104">
        <v>100</v>
      </c>
      <c r="F65" s="104">
        <v>100</v>
      </c>
      <c r="G65" s="104">
        <v>100</v>
      </c>
      <c r="H65" s="96" t="s">
        <v>7</v>
      </c>
      <c r="I65" s="115">
        <v>12</v>
      </c>
      <c r="J65" s="99" t="s">
        <v>127</v>
      </c>
      <c r="L65" s="264" t="s">
        <v>467</v>
      </c>
      <c r="M65" s="264"/>
      <c r="N65" s="264"/>
      <c r="O65"/>
      <c r="T65" s="263" t="s">
        <v>487</v>
      </c>
      <c r="U65" s="263"/>
      <c r="V65" s="263"/>
    </row>
    <row r="66" spans="2:22" ht="17.399999999999999">
      <c r="B66" s="96" t="s">
        <v>128</v>
      </c>
      <c r="C66" s="109">
        <f t="shared" ref="C66:D66" si="59">C63*C65/100</f>
        <v>0</v>
      </c>
      <c r="D66" s="109">
        <f t="shared" si="59"/>
        <v>0</v>
      </c>
      <c r="E66" s="109">
        <f t="shared" ref="E66:F66" si="60">E63*E65/100</f>
        <v>0</v>
      </c>
      <c r="F66" s="109">
        <f t="shared" si="60"/>
        <v>0</v>
      </c>
      <c r="G66" s="109">
        <f t="shared" ref="G66" si="61">G63*G65/100</f>
        <v>0</v>
      </c>
      <c r="H66" s="96" t="s">
        <v>6</v>
      </c>
      <c r="I66" s="115"/>
      <c r="J66" s="96"/>
      <c r="L66" s="133"/>
      <c r="M66" s="134" t="s">
        <v>460</v>
      </c>
      <c r="N66" s="134" t="s">
        <v>461</v>
      </c>
      <c r="O66" s="134" t="s">
        <v>462</v>
      </c>
      <c r="T66" s="69" t="s">
        <v>212</v>
      </c>
      <c r="U66" s="67" t="s">
        <v>213</v>
      </c>
      <c r="V66" s="67"/>
    </row>
    <row r="67" spans="2:22" ht="17.399999999999999">
      <c r="B67" s="96" t="s">
        <v>129</v>
      </c>
      <c r="C67" s="107">
        <f t="shared" ref="C67:D67" si="62">C54*0.9</f>
        <v>253.89129139801264</v>
      </c>
      <c r="D67" s="107">
        <f t="shared" si="62"/>
        <v>281.66929716600993</v>
      </c>
      <c r="E67" s="107">
        <f t="shared" ref="E67:F67" si="63">E54*0.9</f>
        <v>290.3357994052563</v>
      </c>
      <c r="F67" s="107">
        <f t="shared" si="63"/>
        <v>298.75307288532423</v>
      </c>
      <c r="G67" s="107">
        <f t="shared" ref="G67" si="64">G54*0.9</f>
        <v>306.93960432071736</v>
      </c>
      <c r="H67" s="96" t="s">
        <v>2</v>
      </c>
      <c r="I67" s="115"/>
      <c r="J67" s="96"/>
      <c r="L67" s="134" t="s">
        <v>459</v>
      </c>
      <c r="M67" s="134" t="s">
        <v>465</v>
      </c>
      <c r="N67" s="134" t="s">
        <v>463</v>
      </c>
      <c r="O67" s="134" t="s">
        <v>464</v>
      </c>
      <c r="T67" s="76" t="s">
        <v>214</v>
      </c>
      <c r="U67" s="78">
        <v>1.75</v>
      </c>
      <c r="V67" s="76" t="s">
        <v>215</v>
      </c>
    </row>
    <row r="68" spans="2:22" ht="17.399999999999999">
      <c r="B68" s="96" t="s">
        <v>130</v>
      </c>
      <c r="C68" s="104">
        <v>0</v>
      </c>
      <c r="D68" s="104">
        <v>0</v>
      </c>
      <c r="E68" s="104">
        <v>0</v>
      </c>
      <c r="F68" s="104">
        <v>0</v>
      </c>
      <c r="G68" s="104">
        <v>0</v>
      </c>
      <c r="H68" s="96" t="s">
        <v>44</v>
      </c>
      <c r="I68" s="115">
        <v>13</v>
      </c>
      <c r="J68" s="99" t="s">
        <v>131</v>
      </c>
      <c r="L68" s="132">
        <v>0.5</v>
      </c>
      <c r="M68" s="132"/>
      <c r="N68" s="132">
        <v>2.5</v>
      </c>
      <c r="O68" s="132"/>
      <c r="T68" s="76" t="s">
        <v>216</v>
      </c>
      <c r="U68" s="79">
        <v>3.8999999999999998E-3</v>
      </c>
      <c r="V68" s="76" t="s">
        <v>217</v>
      </c>
    </row>
    <row r="69" spans="2:22" ht="17.399999999999999">
      <c r="B69" s="96" t="s">
        <v>132</v>
      </c>
      <c r="C69" s="104">
        <v>0</v>
      </c>
      <c r="D69" s="104">
        <v>0</v>
      </c>
      <c r="E69" s="104">
        <v>0</v>
      </c>
      <c r="F69" s="104">
        <v>0</v>
      </c>
      <c r="G69" s="104">
        <v>0</v>
      </c>
      <c r="H69" s="96" t="s">
        <v>44</v>
      </c>
      <c r="I69" s="115">
        <v>14</v>
      </c>
      <c r="J69" s="99" t="s">
        <v>133</v>
      </c>
      <c r="L69" s="132">
        <v>0.8</v>
      </c>
      <c r="M69" s="132">
        <v>2</v>
      </c>
      <c r="N69" s="132">
        <v>1.42</v>
      </c>
      <c r="O69" s="132"/>
      <c r="T69" s="76" t="s">
        <v>218</v>
      </c>
      <c r="U69" s="80">
        <v>45</v>
      </c>
      <c r="V69" s="76" t="s">
        <v>48</v>
      </c>
    </row>
    <row r="70" spans="2:22" ht="17.399999999999999">
      <c r="B70" s="96" t="s">
        <v>72</v>
      </c>
      <c r="C70" s="108">
        <f t="shared" ref="C70:D70" si="65">C45</f>
        <v>98.214414615058061</v>
      </c>
      <c r="D70" s="108">
        <f t="shared" si="65"/>
        <v>88.52858586791713</v>
      </c>
      <c r="E70" s="108">
        <f t="shared" ref="E70:F70" si="66">E45</f>
        <v>85.886014096770282</v>
      </c>
      <c r="F70" s="108">
        <f t="shared" si="66"/>
        <v>83.466202773045538</v>
      </c>
      <c r="G70" s="108">
        <f t="shared" ref="G70" si="67">G45</f>
        <v>81.240036181390906</v>
      </c>
      <c r="H70" s="96" t="s">
        <v>7</v>
      </c>
      <c r="I70" s="115"/>
      <c r="J70" s="99"/>
      <c r="L70" s="132">
        <v>1</v>
      </c>
      <c r="M70" s="132">
        <v>2</v>
      </c>
      <c r="N70" s="132">
        <v>1.4</v>
      </c>
      <c r="O70" s="132"/>
      <c r="T70" s="76" t="s">
        <v>219</v>
      </c>
      <c r="U70" s="79">
        <f>U67*(1+U68*(U69-20))</f>
        <v>1.9206249999999998</v>
      </c>
      <c r="V70" s="76" t="s">
        <v>215</v>
      </c>
    </row>
    <row r="71" spans="2:22" ht="17.399999999999999">
      <c r="B71" s="96" t="s">
        <v>134</v>
      </c>
      <c r="C71" s="108">
        <f>C19</f>
        <v>30</v>
      </c>
      <c r="D71" s="108">
        <f>D19</f>
        <v>30</v>
      </c>
      <c r="E71" s="108">
        <f>E19</f>
        <v>30</v>
      </c>
      <c r="F71" s="108">
        <f>F19</f>
        <v>30</v>
      </c>
      <c r="G71" s="108">
        <f>G19</f>
        <v>30</v>
      </c>
      <c r="H71" s="96" t="s">
        <v>79</v>
      </c>
      <c r="I71" s="115"/>
      <c r="J71" s="96"/>
      <c r="L71" s="132">
        <v>1.2</v>
      </c>
      <c r="M71" s="132"/>
      <c r="N71" s="132">
        <v>1.04</v>
      </c>
      <c r="O71" s="132"/>
      <c r="T71" s="76" t="s">
        <v>220</v>
      </c>
      <c r="U71" s="81">
        <f>1/(U70/100000000)</f>
        <v>52066384.64041654</v>
      </c>
      <c r="V71" s="76" t="s">
        <v>221</v>
      </c>
    </row>
    <row r="72" spans="2:22" ht="17.399999999999999">
      <c r="B72" s="96" t="s">
        <v>135</v>
      </c>
      <c r="C72" s="108">
        <f t="shared" ref="C72:D72" si="68">ROUNDUP((C67*C68*((C70*180/100-C71)/180))/2,0)</f>
        <v>0</v>
      </c>
      <c r="D72" s="108">
        <f t="shared" si="68"/>
        <v>0</v>
      </c>
      <c r="E72" s="108">
        <f t="shared" ref="E72:F72" si="69">ROUNDUP((E67*E68*((E70*180/100-E71)/180))/2,0)</f>
        <v>0</v>
      </c>
      <c r="F72" s="108">
        <f t="shared" si="69"/>
        <v>0</v>
      </c>
      <c r="G72" s="108">
        <f t="shared" ref="G72" si="70">ROUNDUP((G67*G68*((G70*180/100-G71)/180))/2,0)</f>
        <v>0</v>
      </c>
      <c r="H72" s="96" t="s">
        <v>6</v>
      </c>
      <c r="I72" s="115"/>
      <c r="J72" s="96"/>
      <c r="L72" s="132">
        <v>2</v>
      </c>
      <c r="M72" s="132">
        <v>1.1200000000000001</v>
      </c>
      <c r="N72" s="132">
        <v>0.75</v>
      </c>
      <c r="O72" s="132"/>
      <c r="T72" s="76" t="s">
        <v>222</v>
      </c>
      <c r="U72" s="67">
        <v>1</v>
      </c>
      <c r="V72" s="76" t="s">
        <v>223</v>
      </c>
    </row>
    <row r="73" spans="2:22" ht="17.399999999999999">
      <c r="B73" s="96" t="s">
        <v>136</v>
      </c>
      <c r="C73" s="108">
        <f t="shared" ref="C73:D73" si="71">ROUNDUP((C67*C69*(1-(C70*180/100-C71)/180))/2,0)</f>
        <v>0</v>
      </c>
      <c r="D73" s="108">
        <f t="shared" si="71"/>
        <v>0</v>
      </c>
      <c r="E73" s="108">
        <f t="shared" ref="E73:F73" si="72">ROUNDUP((E67*E69*(1-(E70*180/100-E71)/180))/2,0)</f>
        <v>0</v>
      </c>
      <c r="F73" s="108">
        <f t="shared" si="72"/>
        <v>0</v>
      </c>
      <c r="G73" s="108">
        <f t="shared" ref="G73" si="73">ROUNDUP((G67*G69*(1-(G70*180/100-G71)/180))/2,0)</f>
        <v>0</v>
      </c>
      <c r="H73" s="96" t="s">
        <v>6</v>
      </c>
      <c r="I73" s="115"/>
      <c r="J73" s="96"/>
      <c r="L73" s="132">
        <v>3</v>
      </c>
      <c r="M73" s="132">
        <v>0.71</v>
      </c>
      <c r="N73" s="132">
        <v>0.57999999999999996</v>
      </c>
      <c r="O73" s="132"/>
      <c r="T73" s="76" t="s">
        <v>255</v>
      </c>
      <c r="U73" s="89">
        <v>6126</v>
      </c>
      <c r="V73" s="76" t="s">
        <v>225</v>
      </c>
    </row>
    <row r="74" spans="2:22" ht="17.399999999999999">
      <c r="B74" s="96" t="s">
        <v>69</v>
      </c>
      <c r="C74" s="109">
        <f t="shared" ref="C74:D74" si="74">ROUNDUP(((C67*C68*(((C70*180/100-C71)/180))+(C67*C69*(1-(C70*180/100-C71)/180))))/2,0)</f>
        <v>0</v>
      </c>
      <c r="D74" s="109">
        <f t="shared" si="74"/>
        <v>0</v>
      </c>
      <c r="E74" s="109">
        <f t="shared" ref="E74:F74" si="75">ROUNDUP(((E67*E68*(((E70*180/100-E71)/180))+(E67*E69*(1-(E70*180/100-E71)/180))))/2,0)</f>
        <v>0</v>
      </c>
      <c r="F74" s="109">
        <f t="shared" si="75"/>
        <v>0</v>
      </c>
      <c r="G74" s="109">
        <f t="shared" ref="G74" si="76">ROUNDUP(((G67*G68*(((G70*180/100-G71)/180))+(G67*G69*(1-(G70*180/100-G71)/180))))/2,0)</f>
        <v>0</v>
      </c>
      <c r="H74" s="96" t="s">
        <v>6</v>
      </c>
      <c r="I74" s="115"/>
      <c r="J74" s="96"/>
      <c r="L74" s="132">
        <v>5</v>
      </c>
      <c r="M74" s="132">
        <v>0.43</v>
      </c>
      <c r="N74" s="132">
        <v>0.36</v>
      </c>
      <c r="O74" s="132"/>
      <c r="T74" s="76" t="s">
        <v>280</v>
      </c>
      <c r="U74" s="89">
        <v>2</v>
      </c>
      <c r="V74" s="76" t="s">
        <v>225</v>
      </c>
    </row>
    <row r="75" spans="2:22" ht="17.399999999999999">
      <c r="B75" s="96" t="s">
        <v>298</v>
      </c>
      <c r="C75" s="108">
        <f t="shared" ref="C75:D75" si="77">C66+C72</f>
        <v>0</v>
      </c>
      <c r="D75" s="108">
        <f t="shared" si="77"/>
        <v>0</v>
      </c>
      <c r="E75" s="108">
        <f t="shared" ref="E75:F75" si="78">E66+E72</f>
        <v>0</v>
      </c>
      <c r="F75" s="108">
        <f t="shared" si="78"/>
        <v>0</v>
      </c>
      <c r="G75" s="108">
        <f t="shared" ref="G75" si="79">G66+G72</f>
        <v>0</v>
      </c>
      <c r="H75" s="96" t="s">
        <v>6</v>
      </c>
      <c r="I75" s="115"/>
      <c r="J75" s="96"/>
      <c r="L75" s="132">
        <v>6</v>
      </c>
      <c r="M75" s="132"/>
      <c r="N75" s="132">
        <v>0.34</v>
      </c>
      <c r="O75" s="132">
        <v>0.62</v>
      </c>
      <c r="T75" s="76" t="s">
        <v>276</v>
      </c>
      <c r="U75" s="89">
        <v>60</v>
      </c>
      <c r="V75" s="76" t="s">
        <v>225</v>
      </c>
    </row>
    <row r="76" spans="2:22" ht="17.399999999999999">
      <c r="B76" s="96" t="s">
        <v>299</v>
      </c>
      <c r="C76" s="108">
        <f t="shared" ref="C76:D76" si="80">C73+C64</f>
        <v>0</v>
      </c>
      <c r="D76" s="108">
        <f t="shared" si="80"/>
        <v>0</v>
      </c>
      <c r="E76" s="108">
        <f t="shared" ref="E76:F76" si="81">E73+E64</f>
        <v>0</v>
      </c>
      <c r="F76" s="108">
        <f t="shared" si="81"/>
        <v>0</v>
      </c>
      <c r="G76" s="108">
        <f t="shared" ref="G76" si="82">G73+G64</f>
        <v>0</v>
      </c>
      <c r="H76" s="96" t="s">
        <v>6</v>
      </c>
      <c r="I76" s="115"/>
      <c r="J76" s="96"/>
      <c r="L76" s="132">
        <v>8</v>
      </c>
      <c r="M76" s="132">
        <v>0.3</v>
      </c>
      <c r="N76" s="132">
        <v>0.25</v>
      </c>
      <c r="O76" s="132"/>
      <c r="T76" s="76" t="s">
        <v>275</v>
      </c>
      <c r="U76" s="95">
        <f>U74*U75</f>
        <v>120</v>
      </c>
      <c r="V76" s="76" t="s">
        <v>251</v>
      </c>
    </row>
    <row r="77" spans="2:22" ht="17.399999999999999">
      <c r="B77" s="96" t="s">
        <v>306</v>
      </c>
      <c r="C77" s="109">
        <f t="shared" ref="C77:D77" si="83">ROUNDUP((C57+C66+C74),0)</f>
        <v>0</v>
      </c>
      <c r="D77" s="109">
        <f t="shared" si="83"/>
        <v>0</v>
      </c>
      <c r="E77" s="109">
        <f t="shared" ref="E77:F77" si="84">ROUNDUP((E57+E66+E74),0)</f>
        <v>0</v>
      </c>
      <c r="F77" s="109">
        <f t="shared" si="84"/>
        <v>0</v>
      </c>
      <c r="G77" s="109">
        <f t="shared" ref="G77" si="85">ROUNDUP((G57+G66+G74),0)</f>
        <v>0</v>
      </c>
      <c r="H77" s="96" t="s">
        <v>6</v>
      </c>
      <c r="I77" s="115"/>
      <c r="J77" s="96"/>
      <c r="L77" s="132">
        <v>10</v>
      </c>
      <c r="M77" s="132"/>
      <c r="N77" s="132"/>
      <c r="O77" s="132">
        <v>0.45</v>
      </c>
      <c r="T77" s="76" t="s">
        <v>256</v>
      </c>
      <c r="U77" s="89">
        <v>850</v>
      </c>
      <c r="V77" s="68" t="s">
        <v>252</v>
      </c>
    </row>
    <row r="78" spans="2:22" ht="17.399999999999999">
      <c r="B78" s="96" t="s">
        <v>137</v>
      </c>
      <c r="C78" s="167">
        <v>2</v>
      </c>
      <c r="D78" s="167">
        <v>2</v>
      </c>
      <c r="E78" s="167">
        <v>2</v>
      </c>
      <c r="F78" s="167">
        <v>2</v>
      </c>
      <c r="G78" s="167">
        <v>2</v>
      </c>
      <c r="H78" s="96"/>
      <c r="I78" s="115">
        <v>15</v>
      </c>
      <c r="J78" s="99" t="s">
        <v>305</v>
      </c>
      <c r="L78" s="132">
        <v>15</v>
      </c>
      <c r="M78" s="132"/>
      <c r="N78" s="132"/>
      <c r="O78" s="132">
        <v>0.4</v>
      </c>
      <c r="T78" s="76" t="s">
        <v>491</v>
      </c>
      <c r="U78" s="91">
        <f>U77/U76</f>
        <v>7.083333333333333</v>
      </c>
      <c r="V78" s="68" t="s">
        <v>252</v>
      </c>
    </row>
    <row r="79" spans="2:22" ht="17.399999999999999">
      <c r="B79" s="96" t="s">
        <v>70</v>
      </c>
      <c r="C79" s="110">
        <f t="shared" ref="C79:D79" si="86">C77*C78</f>
        <v>0</v>
      </c>
      <c r="D79" s="110">
        <f t="shared" si="86"/>
        <v>0</v>
      </c>
      <c r="E79" s="110">
        <f t="shared" ref="E79:F79" si="87">E77*E78</f>
        <v>0</v>
      </c>
      <c r="F79" s="110">
        <f t="shared" si="87"/>
        <v>0</v>
      </c>
      <c r="G79" s="110">
        <f t="shared" ref="G79" si="88">G77*G78</f>
        <v>0</v>
      </c>
      <c r="H79" s="96" t="s">
        <v>46</v>
      </c>
      <c r="I79" s="115"/>
      <c r="J79" s="96"/>
      <c r="L79" s="132">
        <v>20</v>
      </c>
      <c r="M79" s="132"/>
      <c r="N79" s="132"/>
      <c r="O79" s="132">
        <v>0.35</v>
      </c>
      <c r="T79" s="76" t="s">
        <v>257</v>
      </c>
      <c r="U79" s="91">
        <f>U70/100000000*(U77^2)/(U76/1000000)*U73/1000</f>
        <v>708.39612265624987</v>
      </c>
      <c r="V79" s="68" t="s">
        <v>253</v>
      </c>
    </row>
    <row r="80" spans="2:22" ht="17.399999999999999">
      <c r="B80" s="96" t="s">
        <v>43</v>
      </c>
      <c r="C80" s="111">
        <v>1950</v>
      </c>
      <c r="D80" s="111">
        <v>1950</v>
      </c>
      <c r="E80" s="111">
        <v>1950</v>
      </c>
      <c r="F80" s="111">
        <v>1950</v>
      </c>
      <c r="G80" s="111">
        <v>1950</v>
      </c>
      <c r="H80" s="96" t="s">
        <v>6</v>
      </c>
      <c r="I80" s="115">
        <v>16</v>
      </c>
      <c r="J80" s="99" t="s">
        <v>117</v>
      </c>
      <c r="L80" s="132">
        <v>30</v>
      </c>
      <c r="M80" s="132"/>
      <c r="N80" s="132"/>
      <c r="O80" s="196">
        <v>0.28939999999999999</v>
      </c>
    </row>
    <row r="81" spans="2:15" ht="17.399999999999999">
      <c r="B81" s="96" t="s">
        <v>303</v>
      </c>
      <c r="C81" s="110">
        <f t="shared" ref="C81:D81" si="89">ROUNDUP(C79/C80*100,0)</f>
        <v>0</v>
      </c>
      <c r="D81" s="110">
        <f t="shared" si="89"/>
        <v>0</v>
      </c>
      <c r="E81" s="110">
        <f t="shared" ref="E81:F81" si="90">ROUNDUP(E79/E80*100,0)</f>
        <v>0</v>
      </c>
      <c r="F81" s="110">
        <f t="shared" si="90"/>
        <v>0</v>
      </c>
      <c r="G81" s="110">
        <f t="shared" ref="G81" si="91">ROUNDUP(G79/G80*100,0)</f>
        <v>0</v>
      </c>
      <c r="H81" s="96" t="s">
        <v>7</v>
      </c>
      <c r="I81" s="115"/>
      <c r="J81" s="99" t="s">
        <v>304</v>
      </c>
      <c r="L81" s="132">
        <v>50</v>
      </c>
      <c r="M81" s="132"/>
      <c r="N81" s="132"/>
      <c r="O81" s="132">
        <v>0.224</v>
      </c>
    </row>
    <row r="82" spans="2:15" ht="17.399999999999999">
      <c r="B82" s="96" t="s">
        <v>138</v>
      </c>
      <c r="C82" s="128">
        <v>9.2999999999999999E-2</v>
      </c>
      <c r="D82" s="128">
        <v>9.2999999999999999E-2</v>
      </c>
      <c r="E82" s="128">
        <v>9.2999999999999999E-2</v>
      </c>
      <c r="F82" s="128">
        <v>9.2999999999999999E-2</v>
      </c>
      <c r="G82" s="128">
        <v>9.2999999999999999E-2</v>
      </c>
      <c r="H82" s="96" t="s">
        <v>58</v>
      </c>
      <c r="I82" s="115">
        <v>17</v>
      </c>
      <c r="J82" s="119" t="s">
        <v>117</v>
      </c>
      <c r="L82" s="132">
        <v>100</v>
      </c>
      <c r="M82" s="132"/>
      <c r="N82" s="132"/>
      <c r="O82" s="132">
        <v>0.161</v>
      </c>
    </row>
    <row r="83" spans="2:15" ht="17.399999999999999">
      <c r="B83" s="96" t="s">
        <v>287</v>
      </c>
      <c r="C83" s="128">
        <v>0.15</v>
      </c>
      <c r="D83" s="128">
        <v>0.15</v>
      </c>
      <c r="E83" s="128">
        <v>0.15</v>
      </c>
      <c r="F83" s="128">
        <v>0.15</v>
      </c>
      <c r="G83" s="128">
        <v>0.15</v>
      </c>
      <c r="H83" s="96" t="s">
        <v>58</v>
      </c>
      <c r="I83" s="115">
        <v>18</v>
      </c>
      <c r="J83" s="119" t="s">
        <v>117</v>
      </c>
      <c r="L83" s="132">
        <v>200</v>
      </c>
      <c r="M83" s="132"/>
      <c r="N83" s="132"/>
      <c r="O83" s="132">
        <v>7.7600000000000002E-2</v>
      </c>
    </row>
    <row r="84" spans="2:15" ht="17.399999999999999">
      <c r="B84" s="96" t="s">
        <v>139</v>
      </c>
      <c r="C84" s="100">
        <f t="shared" ref="C84:D84" si="92">125-C82*C75</f>
        <v>125</v>
      </c>
      <c r="D84" s="100">
        <f t="shared" si="92"/>
        <v>125</v>
      </c>
      <c r="E84" s="100">
        <f t="shared" ref="E84:F84" si="93">125-E82*E75</f>
        <v>125</v>
      </c>
      <c r="F84" s="100">
        <f t="shared" si="93"/>
        <v>125</v>
      </c>
      <c r="G84" s="100">
        <f t="shared" ref="G84" si="94">125-G82*G75</f>
        <v>125</v>
      </c>
      <c r="H84" s="101" t="s">
        <v>59</v>
      </c>
      <c r="I84" s="115"/>
      <c r="J84" s="99" t="s">
        <v>140</v>
      </c>
      <c r="L84" s="132">
        <v>300</v>
      </c>
      <c r="M84" s="132"/>
      <c r="N84" s="132"/>
      <c r="O84" s="132">
        <v>5.2400000000000002E-2</v>
      </c>
    </row>
    <row r="85" spans="2:15" ht="17.399999999999999">
      <c r="B85" s="96" t="s">
        <v>141</v>
      </c>
      <c r="C85" s="121">
        <f t="shared" ref="C85:D85" si="95">125-C83*C76</f>
        <v>125</v>
      </c>
      <c r="D85" s="121">
        <f t="shared" si="95"/>
        <v>125</v>
      </c>
      <c r="E85" s="121">
        <f t="shared" ref="E85:F85" si="96">125-E83*E76</f>
        <v>125</v>
      </c>
      <c r="F85" s="121">
        <f t="shared" si="96"/>
        <v>125</v>
      </c>
      <c r="G85" s="121">
        <f t="shared" ref="G85" si="97">125-G83*G76</f>
        <v>125</v>
      </c>
      <c r="H85" s="101" t="s">
        <v>59</v>
      </c>
      <c r="I85" s="115"/>
      <c r="J85" s="96"/>
    </row>
    <row r="86" spans="2:15" ht="17.399999999999999">
      <c r="B86" s="96" t="s">
        <v>142</v>
      </c>
      <c r="C86" s="121">
        <f t="shared" ref="C86:D86" si="98">C82*C75</f>
        <v>0</v>
      </c>
      <c r="D86" s="121">
        <f t="shared" si="98"/>
        <v>0</v>
      </c>
      <c r="E86" s="121">
        <f t="shared" ref="E86:F86" si="99">E82*E75</f>
        <v>0</v>
      </c>
      <c r="F86" s="121">
        <f t="shared" si="99"/>
        <v>0</v>
      </c>
      <c r="G86" s="121">
        <f t="shared" ref="G86" si="100">G82*G75</f>
        <v>0</v>
      </c>
      <c r="H86" s="101" t="s">
        <v>59</v>
      </c>
      <c r="I86" s="115"/>
      <c r="J86" s="96"/>
      <c r="L86" s="264" t="s">
        <v>478</v>
      </c>
      <c r="M86" s="264"/>
      <c r="N86" s="264"/>
    </row>
    <row r="87" spans="2:15" ht="17.399999999999999">
      <c r="B87" s="96" t="s">
        <v>143</v>
      </c>
      <c r="C87" s="121">
        <f t="shared" ref="C87:D87" si="101">C83*C76</f>
        <v>0</v>
      </c>
      <c r="D87" s="121">
        <f t="shared" si="101"/>
        <v>0</v>
      </c>
      <c r="E87" s="121">
        <f t="shared" ref="E87:F87" si="102">E83*E76</f>
        <v>0</v>
      </c>
      <c r="F87" s="121">
        <f t="shared" si="102"/>
        <v>0</v>
      </c>
      <c r="G87" s="121">
        <f t="shared" ref="G87" si="103">G83*G76</f>
        <v>0</v>
      </c>
      <c r="H87" s="101" t="s">
        <v>59</v>
      </c>
      <c r="I87" s="115"/>
      <c r="J87" s="96"/>
      <c r="L87" s="135" t="s">
        <v>470</v>
      </c>
      <c r="M87" s="135" t="s">
        <v>476</v>
      </c>
      <c r="N87" s="135"/>
    </row>
    <row r="88" spans="2:15" ht="17.399999999999999">
      <c r="B88" s="96" t="s">
        <v>144</v>
      </c>
      <c r="C88" s="128">
        <v>3.2000000000000001E-2</v>
      </c>
      <c r="D88" s="128">
        <v>3.2000000000000001E-2</v>
      </c>
      <c r="E88" s="128">
        <v>3.2000000000000001E-2</v>
      </c>
      <c r="F88" s="128">
        <v>3.2000000000000001E-2</v>
      </c>
      <c r="G88" s="128">
        <v>3.2000000000000001E-2</v>
      </c>
      <c r="H88" s="96" t="s">
        <v>58</v>
      </c>
      <c r="I88" s="115">
        <v>19</v>
      </c>
      <c r="J88" s="96" t="s">
        <v>117</v>
      </c>
      <c r="L88" s="114" t="s">
        <v>468</v>
      </c>
      <c r="M88" s="114">
        <v>183</v>
      </c>
      <c r="N88" s="114" t="s">
        <v>471</v>
      </c>
    </row>
    <row r="89" spans="2:15" ht="17.399999999999999">
      <c r="B89" s="96" t="s">
        <v>145</v>
      </c>
      <c r="C89" s="128">
        <v>5.1999999999999998E-2</v>
      </c>
      <c r="D89" s="128">
        <v>5.1999999999999998E-2</v>
      </c>
      <c r="E89" s="128">
        <v>5.1999999999999998E-2</v>
      </c>
      <c r="F89" s="128">
        <v>5.1999999999999998E-2</v>
      </c>
      <c r="G89" s="128">
        <v>5.1999999999999998E-2</v>
      </c>
      <c r="H89" s="96" t="s">
        <v>58</v>
      </c>
      <c r="I89" s="115">
        <v>20</v>
      </c>
      <c r="J89" s="96" t="s">
        <v>117</v>
      </c>
      <c r="L89" s="114" t="s">
        <v>469</v>
      </c>
      <c r="M89" s="114">
        <v>75</v>
      </c>
      <c r="N89" s="114" t="s">
        <v>471</v>
      </c>
    </row>
    <row r="90" spans="2:15" ht="17.399999999999999">
      <c r="B90" s="96" t="s">
        <v>146</v>
      </c>
      <c r="C90" s="122">
        <f t="shared" ref="C90:D90" si="104">C84-C88*C75</f>
        <v>125</v>
      </c>
      <c r="D90" s="122">
        <f t="shared" si="104"/>
        <v>125</v>
      </c>
      <c r="E90" s="122">
        <f t="shared" ref="E90:F90" si="105">E84-E88*E75</f>
        <v>125</v>
      </c>
      <c r="F90" s="122">
        <f t="shared" si="105"/>
        <v>125</v>
      </c>
      <c r="G90" s="122">
        <f t="shared" ref="G90" si="106">G84-G88*G75</f>
        <v>125</v>
      </c>
      <c r="H90" s="101" t="s">
        <v>59</v>
      </c>
      <c r="I90" s="115"/>
      <c r="J90" s="96" t="s">
        <v>140</v>
      </c>
      <c r="L90" s="114" t="s">
        <v>472</v>
      </c>
      <c r="M90" s="114">
        <v>9</v>
      </c>
      <c r="N90" s="114" t="s">
        <v>471</v>
      </c>
    </row>
    <row r="91" spans="2:15" ht="17.399999999999999">
      <c r="B91" s="96" t="s">
        <v>147</v>
      </c>
      <c r="C91" s="121">
        <f t="shared" ref="C91:D91" si="107">C85-C89*C76</f>
        <v>125</v>
      </c>
      <c r="D91" s="121">
        <f t="shared" si="107"/>
        <v>125</v>
      </c>
      <c r="E91" s="121">
        <f t="shared" ref="E91:F91" si="108">E85-E89*E76</f>
        <v>125</v>
      </c>
      <c r="F91" s="121">
        <f t="shared" si="108"/>
        <v>125</v>
      </c>
      <c r="G91" s="121">
        <f t="shared" ref="G91" si="109">G85-G89*G76</f>
        <v>125</v>
      </c>
      <c r="H91" s="101" t="s">
        <v>59</v>
      </c>
      <c r="I91" s="115"/>
      <c r="J91" s="96"/>
      <c r="L91" s="114" t="s">
        <v>473</v>
      </c>
      <c r="M91" s="114">
        <v>6</v>
      </c>
      <c r="N91" s="114" t="s">
        <v>471</v>
      </c>
    </row>
    <row r="92" spans="2:15" ht="17.399999999999999">
      <c r="B92" s="96" t="s">
        <v>148</v>
      </c>
      <c r="C92" s="121">
        <f t="shared" ref="C92:D92" si="110">C88*C75</f>
        <v>0</v>
      </c>
      <c r="D92" s="121">
        <f t="shared" si="110"/>
        <v>0</v>
      </c>
      <c r="E92" s="121">
        <f t="shared" ref="E92:F92" si="111">E88*E75</f>
        <v>0</v>
      </c>
      <c r="F92" s="121">
        <f t="shared" si="111"/>
        <v>0</v>
      </c>
      <c r="G92" s="121">
        <f t="shared" ref="G92" si="112">G88*G75</f>
        <v>0</v>
      </c>
      <c r="H92" s="101" t="s">
        <v>59</v>
      </c>
      <c r="I92" s="115"/>
      <c r="J92" s="96"/>
      <c r="L92" s="114" t="s">
        <v>474</v>
      </c>
      <c r="M92" s="114">
        <v>12</v>
      </c>
      <c r="N92" s="114" t="s">
        <v>471</v>
      </c>
    </row>
    <row r="93" spans="2:15" ht="17.399999999999999">
      <c r="B93" s="96" t="s">
        <v>149</v>
      </c>
      <c r="C93" s="121">
        <f t="shared" ref="C93:D93" si="113">C89*C76</f>
        <v>0</v>
      </c>
      <c r="D93" s="121">
        <f t="shared" si="113"/>
        <v>0</v>
      </c>
      <c r="E93" s="121">
        <f t="shared" ref="E93:F93" si="114">E89*E76</f>
        <v>0</v>
      </c>
      <c r="F93" s="121">
        <f t="shared" si="114"/>
        <v>0</v>
      </c>
      <c r="G93" s="121">
        <f t="shared" ref="G93" si="115">G89*G76</f>
        <v>0</v>
      </c>
      <c r="H93" s="101" t="s">
        <v>59</v>
      </c>
      <c r="I93" s="115"/>
      <c r="J93" s="96"/>
      <c r="L93" s="114" t="s">
        <v>475</v>
      </c>
      <c r="M93" s="114">
        <v>78.540000000000006</v>
      </c>
      <c r="N93" s="114" t="s">
        <v>471</v>
      </c>
    </row>
    <row r="94" spans="2:15" ht="17.399999999999999">
      <c r="B94" s="96" t="s">
        <v>60</v>
      </c>
      <c r="C94" s="121">
        <v>60</v>
      </c>
      <c r="D94" s="121">
        <v>60</v>
      </c>
      <c r="E94" s="121">
        <v>60</v>
      </c>
      <c r="F94" s="121">
        <v>60</v>
      </c>
      <c r="G94" s="121">
        <v>60</v>
      </c>
      <c r="H94" s="101" t="s">
        <v>59</v>
      </c>
      <c r="I94" s="115"/>
      <c r="J94" s="96" t="s">
        <v>150</v>
      </c>
    </row>
    <row r="95" spans="2:15" ht="17.399999999999999">
      <c r="B95" s="96" t="s">
        <v>61</v>
      </c>
      <c r="C95" s="120">
        <v>8</v>
      </c>
      <c r="D95" s="120">
        <v>8</v>
      </c>
      <c r="E95" s="120">
        <v>8</v>
      </c>
      <c r="F95" s="120">
        <v>8</v>
      </c>
      <c r="G95" s="120">
        <v>8</v>
      </c>
      <c r="H95" s="101" t="s">
        <v>62</v>
      </c>
      <c r="I95" s="115"/>
      <c r="J95" s="96" t="s">
        <v>151</v>
      </c>
    </row>
    <row r="96" spans="2:15" ht="17.399999999999999">
      <c r="B96" s="96" t="s">
        <v>63</v>
      </c>
      <c r="C96" s="106">
        <f t="shared" ref="C96:D96" si="116">C94-(C79/1000*860/C95/60)</f>
        <v>60</v>
      </c>
      <c r="D96" s="106">
        <f t="shared" si="116"/>
        <v>60</v>
      </c>
      <c r="E96" s="106">
        <f t="shared" ref="E96:F96" si="117">E94-(E79/1000*860/E95/60)</f>
        <v>60</v>
      </c>
      <c r="F96" s="106">
        <f t="shared" si="117"/>
        <v>60</v>
      </c>
      <c r="G96" s="106">
        <f t="shared" ref="G96" si="118">G94-(G79/1000*860/G95/60)</f>
        <v>60</v>
      </c>
      <c r="H96" s="101" t="s">
        <v>59</v>
      </c>
      <c r="I96" s="115"/>
      <c r="J96" s="96"/>
    </row>
  </sheetData>
  <mergeCells count="24">
    <mergeCell ref="X3:Z3"/>
    <mergeCell ref="X10:Z10"/>
    <mergeCell ref="X34:Z34"/>
    <mergeCell ref="X42:Z42"/>
    <mergeCell ref="P54:R54"/>
    <mergeCell ref="X21:Z21"/>
    <mergeCell ref="T24:V24"/>
    <mergeCell ref="T45:V45"/>
    <mergeCell ref="P48:R48"/>
    <mergeCell ref="T65:V65"/>
    <mergeCell ref="L65:N65"/>
    <mergeCell ref="L86:N86"/>
    <mergeCell ref="T3:V3"/>
    <mergeCell ref="L3:N3"/>
    <mergeCell ref="L18:N18"/>
    <mergeCell ref="L31:N31"/>
    <mergeCell ref="L44:N44"/>
    <mergeCell ref="P3:R3"/>
    <mergeCell ref="P10:R10"/>
    <mergeCell ref="P17:R17"/>
    <mergeCell ref="L59:N59"/>
    <mergeCell ref="L53:N53"/>
    <mergeCell ref="Q34:R34"/>
    <mergeCell ref="P23:R2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0" workbookViewId="0">
      <selection activeCell="C7" sqref="C7"/>
    </sheetView>
  </sheetViews>
  <sheetFormatPr defaultRowHeight="14.4"/>
  <cols>
    <col min="2" max="2" width="22.19921875" bestFit="1" customWidth="1"/>
    <col min="3" max="3" width="55" customWidth="1"/>
    <col min="4" max="4" width="36.3984375" customWidth="1"/>
  </cols>
  <sheetData>
    <row r="2" spans="2:4" ht="15" thickBot="1"/>
    <row r="3" spans="2:4" ht="16.2" thickBot="1">
      <c r="B3" s="246" t="s">
        <v>590</v>
      </c>
      <c r="C3" s="247" t="s">
        <v>634</v>
      </c>
      <c r="D3" s="247" t="s">
        <v>591</v>
      </c>
    </row>
    <row r="4" spans="2:4" ht="16.2" thickBot="1">
      <c r="B4" s="248" t="s">
        <v>592</v>
      </c>
      <c r="C4" s="246"/>
      <c r="D4" s="246"/>
    </row>
    <row r="5" spans="2:4" ht="15.6">
      <c r="B5" s="249" t="s">
        <v>593</v>
      </c>
      <c r="C5" s="250" t="s">
        <v>635</v>
      </c>
      <c r="D5" s="250"/>
    </row>
    <row r="6" spans="2:4" ht="15.6">
      <c r="B6" s="249" t="s">
        <v>594</v>
      </c>
      <c r="C6" s="250" t="s">
        <v>664</v>
      </c>
      <c r="D6" s="250"/>
    </row>
    <row r="7" spans="2:4" ht="15.6">
      <c r="B7" s="249" t="s">
        <v>595</v>
      </c>
      <c r="C7" s="251" t="s">
        <v>596</v>
      </c>
      <c r="D7" s="251" t="s">
        <v>597</v>
      </c>
    </row>
    <row r="8" spans="2:4" ht="15.6">
      <c r="B8" s="249" t="s">
        <v>598</v>
      </c>
      <c r="C8" s="259" t="s">
        <v>636</v>
      </c>
      <c r="D8" s="260" t="s">
        <v>637</v>
      </c>
    </row>
    <row r="9" spans="2:4" ht="15.6">
      <c r="B9" s="249" t="s">
        <v>599</v>
      </c>
      <c r="C9" s="251" t="s">
        <v>600</v>
      </c>
      <c r="D9" s="251" t="s">
        <v>601</v>
      </c>
    </row>
    <row r="10" spans="2:4" ht="15.6">
      <c r="B10" s="249" t="s">
        <v>602</v>
      </c>
      <c r="C10" s="261" t="s">
        <v>638</v>
      </c>
      <c r="D10" s="252"/>
    </row>
    <row r="11" spans="2:4" ht="15.6">
      <c r="B11" s="249" t="s">
        <v>603</v>
      </c>
      <c r="C11" s="262" t="s">
        <v>639</v>
      </c>
      <c r="D11" s="262" t="s">
        <v>640</v>
      </c>
    </row>
    <row r="12" spans="2:4" ht="15.6">
      <c r="B12" s="249" t="s">
        <v>604</v>
      </c>
      <c r="C12" s="251" t="s">
        <v>605</v>
      </c>
      <c r="D12" s="251"/>
    </row>
    <row r="13" spans="2:4" ht="15.6">
      <c r="B13" s="249" t="s">
        <v>606</v>
      </c>
      <c r="C13" s="251" t="s">
        <v>607</v>
      </c>
      <c r="D13" s="251" t="s">
        <v>608</v>
      </c>
    </row>
    <row r="14" spans="2:4" ht="46.8">
      <c r="B14" s="249" t="s">
        <v>609</v>
      </c>
      <c r="C14" s="252" t="s">
        <v>658</v>
      </c>
      <c r="D14" s="252" t="s">
        <v>659</v>
      </c>
    </row>
    <row r="15" spans="2:4" ht="15.6">
      <c r="B15" s="249" t="s">
        <v>610</v>
      </c>
      <c r="C15" s="253" t="s">
        <v>611</v>
      </c>
      <c r="D15" s="252" t="s">
        <v>612</v>
      </c>
    </row>
    <row r="16" spans="2:4" ht="15.6">
      <c r="B16" s="249" t="s">
        <v>613</v>
      </c>
      <c r="C16" s="251" t="s">
        <v>614</v>
      </c>
      <c r="D16" s="252"/>
    </row>
    <row r="17" spans="2:11" ht="78">
      <c r="B17" s="249" t="s">
        <v>615</v>
      </c>
      <c r="C17" s="252" t="s">
        <v>647</v>
      </c>
      <c r="D17" s="262" t="s">
        <v>648</v>
      </c>
    </row>
    <row r="18" spans="2:11" ht="15.6">
      <c r="B18" s="249" t="s">
        <v>616</v>
      </c>
      <c r="C18" s="252" t="s">
        <v>643</v>
      </c>
      <c r="D18" s="252"/>
      <c r="E18" s="191"/>
      <c r="F18" s="191"/>
      <c r="G18" s="191"/>
      <c r="H18" s="191"/>
      <c r="I18" s="191"/>
      <c r="J18" s="191"/>
      <c r="K18" s="191"/>
    </row>
    <row r="19" spans="2:11" s="194" customFormat="1" ht="46.8">
      <c r="B19" s="249" t="s">
        <v>617</v>
      </c>
      <c r="C19" s="252" t="s">
        <v>646</v>
      </c>
      <c r="D19" s="252" t="s">
        <v>660</v>
      </c>
      <c r="E19" s="193"/>
      <c r="F19" s="193"/>
      <c r="G19" s="193"/>
      <c r="H19" s="193"/>
      <c r="I19" s="193"/>
      <c r="J19" s="193"/>
      <c r="K19" s="193"/>
    </row>
    <row r="20" spans="2:11" ht="15.6">
      <c r="B20" s="249" t="s">
        <v>618</v>
      </c>
      <c r="C20" s="252" t="s">
        <v>614</v>
      </c>
      <c r="D20" s="252"/>
      <c r="E20" s="191"/>
      <c r="F20" s="191"/>
      <c r="G20" s="191"/>
      <c r="H20" s="192"/>
      <c r="I20" s="191"/>
      <c r="J20" s="191"/>
      <c r="K20" s="191"/>
    </row>
    <row r="21" spans="2:11" ht="15.6">
      <c r="B21" s="254" t="s">
        <v>619</v>
      </c>
      <c r="C21" s="252" t="s">
        <v>641</v>
      </c>
      <c r="D21" s="252"/>
      <c r="E21" s="191"/>
      <c r="F21" s="191"/>
      <c r="G21" s="191"/>
      <c r="H21" s="191"/>
      <c r="I21" s="191"/>
      <c r="J21" s="191"/>
      <c r="K21" s="191"/>
    </row>
    <row r="22" spans="2:11" ht="15.6">
      <c r="B22" s="249" t="s">
        <v>620</v>
      </c>
      <c r="C22" s="251"/>
      <c r="D22" s="251"/>
      <c r="E22" s="191"/>
      <c r="F22" s="191"/>
      <c r="G22" s="191"/>
      <c r="H22" s="191"/>
      <c r="I22" s="191"/>
      <c r="J22" s="191"/>
      <c r="K22" s="191"/>
    </row>
    <row r="23" spans="2:11" ht="15.6">
      <c r="B23" s="249" t="s">
        <v>621</v>
      </c>
      <c r="C23" s="251" t="s">
        <v>649</v>
      </c>
      <c r="D23" s="249"/>
      <c r="E23" s="191"/>
      <c r="F23" s="191"/>
      <c r="G23" s="191"/>
      <c r="H23" s="191"/>
      <c r="I23" s="191"/>
      <c r="J23" s="191"/>
      <c r="K23" s="191"/>
    </row>
    <row r="24" spans="2:11" ht="15.6">
      <c r="B24" s="249" t="s">
        <v>622</v>
      </c>
      <c r="C24" s="251" t="s">
        <v>650</v>
      </c>
      <c r="D24" s="249"/>
    </row>
    <row r="25" spans="2:11" ht="15.6">
      <c r="B25" s="249" t="s">
        <v>623</v>
      </c>
      <c r="C25" s="251" t="s">
        <v>651</v>
      </c>
      <c r="D25" s="249"/>
    </row>
    <row r="26" spans="2:11" ht="15.6">
      <c r="B26" s="249" t="s">
        <v>624</v>
      </c>
      <c r="C26" s="251" t="s">
        <v>652</v>
      </c>
      <c r="D26" s="249"/>
    </row>
    <row r="27" spans="2:11" ht="15.6">
      <c r="B27" s="255" t="s">
        <v>625</v>
      </c>
      <c r="C27" s="251" t="s">
        <v>653</v>
      </c>
      <c r="D27" s="249"/>
    </row>
    <row r="28" spans="2:11" ht="15.6">
      <c r="B28" s="255" t="s">
        <v>626</v>
      </c>
      <c r="C28" s="257" t="s">
        <v>654</v>
      </c>
      <c r="D28" s="255"/>
    </row>
    <row r="29" spans="2:11" ht="15.6">
      <c r="B29" s="249" t="s">
        <v>627</v>
      </c>
      <c r="C29" s="251" t="s">
        <v>628</v>
      </c>
      <c r="D29" s="251"/>
    </row>
    <row r="30" spans="2:11" ht="15.6">
      <c r="B30" s="255" t="s">
        <v>629</v>
      </c>
      <c r="C30" s="257" t="s">
        <v>642</v>
      </c>
      <c r="D30" s="255"/>
    </row>
    <row r="31" spans="2:11" ht="15.6">
      <c r="B31" s="255" t="s">
        <v>630</v>
      </c>
      <c r="C31" s="257" t="s">
        <v>614</v>
      </c>
      <c r="D31" s="255"/>
    </row>
    <row r="32" spans="2:11" ht="15.6">
      <c r="B32" s="255" t="s">
        <v>631</v>
      </c>
      <c r="C32" s="257" t="s">
        <v>614</v>
      </c>
      <c r="D32" s="255"/>
    </row>
    <row r="33" spans="2:4" ht="16.2" thickBot="1">
      <c r="B33" s="256" t="s">
        <v>632</v>
      </c>
      <c r="C33" s="258" t="s">
        <v>633</v>
      </c>
      <c r="D33" s="256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J26" sqref="J26"/>
    </sheetView>
  </sheetViews>
  <sheetFormatPr defaultRowHeight="14.4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</cols>
  <sheetData>
    <row r="2" spans="3:7" ht="27.6">
      <c r="C2" s="283" t="s">
        <v>504</v>
      </c>
      <c r="D2" s="284"/>
      <c r="E2" s="284"/>
      <c r="F2" s="284"/>
      <c r="G2" s="285"/>
    </row>
    <row r="3" spans="3:7" ht="21">
      <c r="C3" s="286" t="s">
        <v>505</v>
      </c>
      <c r="D3" s="286"/>
      <c r="E3" s="280" t="s">
        <v>589</v>
      </c>
      <c r="F3" s="281"/>
      <c r="G3" s="282"/>
    </row>
    <row r="4" spans="3:7" ht="21">
      <c r="C4" s="168" t="s">
        <v>506</v>
      </c>
      <c r="D4" s="169" t="s">
        <v>663</v>
      </c>
      <c r="E4" s="130" t="s">
        <v>457</v>
      </c>
      <c r="F4" s="287" t="s">
        <v>655</v>
      </c>
      <c r="G4" s="288"/>
    </row>
    <row r="5" spans="3:7" ht="21">
      <c r="C5" s="170" t="s">
        <v>507</v>
      </c>
      <c r="D5" s="171"/>
      <c r="E5" s="130" t="s">
        <v>458</v>
      </c>
      <c r="F5" s="280" t="s">
        <v>656</v>
      </c>
      <c r="G5" s="282"/>
    </row>
    <row r="6" spans="3:7" ht="21">
      <c r="C6" s="280" t="s">
        <v>508</v>
      </c>
      <c r="D6" s="281"/>
      <c r="E6" s="281"/>
      <c r="F6" s="281"/>
      <c r="G6" s="282"/>
    </row>
    <row r="7" spans="3:7" ht="17.399999999999999" hidden="1">
      <c r="C7" s="172">
        <v>1</v>
      </c>
      <c r="D7" s="69" t="s">
        <v>509</v>
      </c>
      <c r="E7" s="173" t="s">
        <v>509</v>
      </c>
      <c r="F7" s="174">
        <v>100</v>
      </c>
      <c r="G7" s="175" t="s">
        <v>510</v>
      </c>
    </row>
    <row r="8" spans="3:7" ht="16.5" hidden="1" customHeight="1">
      <c r="C8" s="176"/>
      <c r="D8" s="176"/>
      <c r="E8" s="173" t="s">
        <v>511</v>
      </c>
      <c r="F8" s="174">
        <v>1</v>
      </c>
      <c r="G8" s="175" t="s">
        <v>512</v>
      </c>
    </row>
    <row r="9" spans="3:7" ht="20.25" hidden="1" customHeight="1">
      <c r="C9" s="176"/>
      <c r="D9" s="176"/>
      <c r="E9" s="177" t="s">
        <v>513</v>
      </c>
      <c r="F9" s="178">
        <f>(10*10^6)/F8</f>
        <v>10000000</v>
      </c>
      <c r="G9" s="179"/>
    </row>
    <row r="10" spans="3:7" ht="16.5" hidden="1" customHeight="1">
      <c r="C10" s="176"/>
      <c r="D10" s="176"/>
      <c r="E10" s="177" t="s">
        <v>514</v>
      </c>
      <c r="F10" s="178">
        <v>100000</v>
      </c>
      <c r="G10" s="179">
        <v>50000</v>
      </c>
    </row>
    <row r="11" spans="3:7" ht="16.5" hidden="1" customHeight="1">
      <c r="C11" s="176"/>
      <c r="D11" s="176"/>
      <c r="E11" s="177" t="s">
        <v>515</v>
      </c>
      <c r="F11" s="178" t="e">
        <f>$E9/(F10/10)</f>
        <v>#VALUE!</v>
      </c>
      <c r="G11" s="179" t="e">
        <f>$E9/(G10/10)</f>
        <v>#VALUE!</v>
      </c>
    </row>
    <row r="12" spans="3:7" ht="16.5" hidden="1" customHeight="1">
      <c r="C12" s="176"/>
      <c r="D12" s="176"/>
      <c r="E12" s="177" t="s">
        <v>516</v>
      </c>
      <c r="F12" s="178" t="e">
        <f>F11/2</f>
        <v>#VALUE!</v>
      </c>
      <c r="G12" s="179" t="e">
        <f>G11/2</f>
        <v>#VALUE!</v>
      </c>
    </row>
    <row r="13" spans="3:7" ht="16.5" customHeight="1">
      <c r="C13" s="267">
        <v>2</v>
      </c>
      <c r="D13" s="270" t="s">
        <v>517</v>
      </c>
      <c r="E13" s="173" t="s">
        <v>518</v>
      </c>
      <c r="F13" s="174">
        <v>125</v>
      </c>
      <c r="G13" s="69" t="s">
        <v>519</v>
      </c>
    </row>
    <row r="14" spans="3:7" ht="17.399999999999999">
      <c r="C14" s="269"/>
      <c r="D14" s="278"/>
      <c r="E14" s="173" t="s">
        <v>520</v>
      </c>
      <c r="F14" s="183">
        <v>12.5</v>
      </c>
      <c r="G14" s="69" t="s">
        <v>519</v>
      </c>
    </row>
    <row r="15" spans="3:7" ht="17.399999999999999">
      <c r="C15" s="267">
        <v>3</v>
      </c>
      <c r="D15" s="270" t="s">
        <v>521</v>
      </c>
      <c r="E15" s="173" t="s">
        <v>521</v>
      </c>
      <c r="F15" s="174">
        <v>440</v>
      </c>
      <c r="G15" s="69" t="s">
        <v>522</v>
      </c>
    </row>
    <row r="16" spans="3:7" ht="17.399999999999999">
      <c r="C16" s="268"/>
      <c r="D16" s="271"/>
      <c r="E16" s="181" t="s">
        <v>523</v>
      </c>
      <c r="F16" s="174">
        <v>763</v>
      </c>
      <c r="G16" s="69" t="s">
        <v>161</v>
      </c>
    </row>
    <row r="17" spans="3:7" ht="17.399999999999999">
      <c r="C17" s="268"/>
      <c r="D17" s="271"/>
      <c r="E17" s="181" t="s">
        <v>524</v>
      </c>
      <c r="F17" s="174">
        <v>400</v>
      </c>
      <c r="G17" s="69" t="s">
        <v>161</v>
      </c>
    </row>
    <row r="18" spans="3:7" ht="17.399999999999999">
      <c r="C18" s="269"/>
      <c r="D18" s="278"/>
      <c r="E18" s="181" t="s">
        <v>525</v>
      </c>
      <c r="F18" s="174">
        <v>350</v>
      </c>
      <c r="G18" s="69" t="s">
        <v>161</v>
      </c>
    </row>
    <row r="19" spans="3:7" ht="17.399999999999999">
      <c r="C19" s="267">
        <v>4</v>
      </c>
      <c r="D19" s="270" t="s">
        <v>526</v>
      </c>
      <c r="E19" s="173" t="s">
        <v>527</v>
      </c>
      <c r="F19" s="174">
        <v>100</v>
      </c>
      <c r="G19" s="69" t="s">
        <v>528</v>
      </c>
    </row>
    <row r="20" spans="3:7" ht="17.399999999999999">
      <c r="C20" s="269"/>
      <c r="D20" s="278"/>
      <c r="E20" s="181" t="s">
        <v>529</v>
      </c>
      <c r="F20" s="174">
        <v>100</v>
      </c>
      <c r="G20" s="69" t="s">
        <v>164</v>
      </c>
    </row>
    <row r="21" spans="3:7" ht="17.399999999999999">
      <c r="C21" s="267">
        <v>5</v>
      </c>
      <c r="D21" s="270" t="s">
        <v>530</v>
      </c>
      <c r="E21" s="182" t="s">
        <v>531</v>
      </c>
      <c r="F21" s="183">
        <v>6.8</v>
      </c>
      <c r="G21" s="67" t="s">
        <v>532</v>
      </c>
    </row>
    <row r="22" spans="3:7" ht="17.399999999999999">
      <c r="C22" s="268"/>
      <c r="D22" s="271"/>
      <c r="E22" s="182" t="s">
        <v>533</v>
      </c>
      <c r="F22" s="174">
        <v>4</v>
      </c>
      <c r="G22" s="67" t="s">
        <v>534</v>
      </c>
    </row>
    <row r="23" spans="3:7" ht="16.5" customHeight="1">
      <c r="C23" s="268"/>
      <c r="D23" s="271"/>
      <c r="E23" s="182" t="s">
        <v>535</v>
      </c>
      <c r="F23" s="174">
        <v>300</v>
      </c>
      <c r="G23" s="67" t="s">
        <v>536</v>
      </c>
    </row>
    <row r="24" spans="3:7" ht="17.399999999999999">
      <c r="C24" s="268"/>
      <c r="D24" s="271"/>
      <c r="E24" s="182" t="s">
        <v>537</v>
      </c>
      <c r="F24" s="174">
        <v>350</v>
      </c>
      <c r="G24" s="67" t="s">
        <v>164</v>
      </c>
    </row>
    <row r="25" spans="3:7" ht="17.399999999999999">
      <c r="C25" s="268"/>
      <c r="D25" s="271"/>
      <c r="E25" s="184" t="s">
        <v>538</v>
      </c>
      <c r="F25" s="174">
        <f>(3/(F21/F22))*F23</f>
        <v>529.41176470588232</v>
      </c>
      <c r="G25" s="67" t="s">
        <v>164</v>
      </c>
    </row>
    <row r="26" spans="3:7" ht="17.399999999999999">
      <c r="C26" s="268"/>
      <c r="D26" s="271"/>
      <c r="E26" s="184" t="s">
        <v>539</v>
      </c>
      <c r="F26" s="174">
        <f>F25*1.11</f>
        <v>587.64705882352939</v>
      </c>
      <c r="G26" s="67" t="s">
        <v>164</v>
      </c>
    </row>
    <row r="27" spans="3:7" ht="17.399999999999999">
      <c r="C27" s="269"/>
      <c r="D27" s="278"/>
      <c r="E27" s="184" t="s">
        <v>540</v>
      </c>
      <c r="F27" s="174">
        <v>420</v>
      </c>
      <c r="G27" s="67" t="s">
        <v>164</v>
      </c>
    </row>
    <row r="28" spans="3:7" ht="16.5" customHeight="1">
      <c r="C28" s="267">
        <v>6</v>
      </c>
      <c r="D28" s="279" t="s">
        <v>541</v>
      </c>
      <c r="E28" s="184" t="s">
        <v>518</v>
      </c>
      <c r="F28" s="174">
        <v>125</v>
      </c>
      <c r="G28" s="103" t="s">
        <v>542</v>
      </c>
    </row>
    <row r="29" spans="3:7" ht="16.5" customHeight="1">
      <c r="C29" s="269"/>
      <c r="D29" s="278"/>
      <c r="E29" s="184" t="s">
        <v>520</v>
      </c>
      <c r="F29" s="183">
        <v>12.5</v>
      </c>
      <c r="G29" s="103" t="s">
        <v>542</v>
      </c>
    </row>
    <row r="30" spans="3:7" ht="17.399999999999999">
      <c r="C30" s="267">
        <v>7</v>
      </c>
      <c r="D30" s="270" t="s">
        <v>543</v>
      </c>
      <c r="E30" s="184" t="s">
        <v>518</v>
      </c>
      <c r="F30" s="174">
        <v>125</v>
      </c>
      <c r="G30" s="103" t="s">
        <v>542</v>
      </c>
    </row>
    <row r="31" spans="3:7" ht="17.399999999999999">
      <c r="C31" s="269"/>
      <c r="D31" s="278"/>
      <c r="E31" s="184" t="s">
        <v>520</v>
      </c>
      <c r="F31" s="183">
        <v>12.5</v>
      </c>
      <c r="G31" s="103" t="s">
        <v>542</v>
      </c>
    </row>
    <row r="32" spans="3:7" ht="17.399999999999999">
      <c r="C32" s="267">
        <v>8</v>
      </c>
      <c r="D32" s="270" t="s">
        <v>544</v>
      </c>
      <c r="E32" s="184" t="s">
        <v>518</v>
      </c>
      <c r="F32" s="174"/>
      <c r="G32" s="103" t="s">
        <v>545</v>
      </c>
    </row>
    <row r="33" spans="3:8" ht="17.399999999999999">
      <c r="C33" s="269"/>
      <c r="D33" s="278"/>
      <c r="E33" s="184" t="s">
        <v>520</v>
      </c>
      <c r="F33" s="174"/>
      <c r="G33" s="103" t="s">
        <v>545</v>
      </c>
    </row>
    <row r="34" spans="3:8" ht="17.399999999999999">
      <c r="C34" s="267">
        <v>9</v>
      </c>
      <c r="D34" s="270" t="s">
        <v>546</v>
      </c>
      <c r="E34" s="184" t="s">
        <v>547</v>
      </c>
      <c r="F34" s="174">
        <v>42</v>
      </c>
      <c r="G34" s="103" t="s">
        <v>548</v>
      </c>
    </row>
    <row r="35" spans="3:8" ht="17.399999999999999">
      <c r="C35" s="268"/>
      <c r="D35" s="271"/>
      <c r="E35" s="184" t="s">
        <v>549</v>
      </c>
      <c r="F35" s="174">
        <v>500</v>
      </c>
      <c r="G35" s="103" t="s">
        <v>161</v>
      </c>
    </row>
    <row r="36" spans="3:8" ht="17.399999999999999">
      <c r="C36" s="269"/>
      <c r="D36" s="278"/>
      <c r="E36" s="184" t="s">
        <v>550</v>
      </c>
      <c r="F36" s="174">
        <v>400</v>
      </c>
      <c r="G36" s="103" t="s">
        <v>161</v>
      </c>
    </row>
    <row r="37" spans="3:8" ht="17.399999999999999">
      <c r="C37" s="172">
        <v>10</v>
      </c>
      <c r="D37" s="69" t="s">
        <v>551</v>
      </c>
      <c r="E37" s="184" t="s">
        <v>552</v>
      </c>
      <c r="F37" s="195">
        <v>13.5</v>
      </c>
      <c r="G37" s="67" t="s">
        <v>536</v>
      </c>
    </row>
    <row r="38" spans="3:8" ht="17.399999999999999">
      <c r="C38" s="267">
        <v>11</v>
      </c>
      <c r="D38" s="270" t="s">
        <v>553</v>
      </c>
      <c r="E38" s="184" t="s">
        <v>520</v>
      </c>
      <c r="F38" s="174">
        <v>1000</v>
      </c>
      <c r="G38" s="67" t="s">
        <v>545</v>
      </c>
    </row>
    <row r="39" spans="3:8" ht="16.5" customHeight="1">
      <c r="C39" s="268"/>
      <c r="D39" s="271"/>
      <c r="E39" s="184" t="s">
        <v>518</v>
      </c>
      <c r="F39" s="174">
        <v>10000</v>
      </c>
      <c r="G39" s="67" t="s">
        <v>545</v>
      </c>
      <c r="H39" t="s">
        <v>554</v>
      </c>
    </row>
    <row r="40" spans="3:8" ht="17.399999999999999">
      <c r="C40" s="268"/>
      <c r="D40" s="271"/>
      <c r="E40" s="184" t="s">
        <v>555</v>
      </c>
      <c r="F40" s="174">
        <v>8000</v>
      </c>
      <c r="G40" s="67" t="s">
        <v>545</v>
      </c>
    </row>
    <row r="41" spans="3:8" ht="17.399999999999999">
      <c r="C41" s="269"/>
      <c r="D41" s="278"/>
      <c r="E41" s="184" t="s">
        <v>556</v>
      </c>
      <c r="F41" s="180">
        <v>7500</v>
      </c>
      <c r="G41" s="67" t="s">
        <v>545</v>
      </c>
    </row>
    <row r="42" spans="3:8" ht="17.399999999999999">
      <c r="C42" s="185">
        <v>12</v>
      </c>
      <c r="D42" s="186" t="s">
        <v>557</v>
      </c>
      <c r="E42" s="184" t="s">
        <v>557</v>
      </c>
      <c r="F42" s="183">
        <v>5</v>
      </c>
      <c r="G42" s="103" t="s">
        <v>558</v>
      </c>
    </row>
    <row r="43" spans="3:8" ht="16.5" hidden="1" customHeight="1">
      <c r="C43" s="267">
        <v>13</v>
      </c>
      <c r="D43" s="270" t="s">
        <v>559</v>
      </c>
      <c r="E43" s="184" t="s">
        <v>560</v>
      </c>
      <c r="F43" s="184" t="s">
        <v>561</v>
      </c>
      <c r="G43" s="187" t="s">
        <v>562</v>
      </c>
    </row>
    <row r="44" spans="3:8" ht="17.399999999999999">
      <c r="C44" s="268"/>
      <c r="D44" s="271"/>
      <c r="E44" s="184" t="s">
        <v>563</v>
      </c>
      <c r="F44" s="184" t="s">
        <v>564</v>
      </c>
      <c r="G44" s="187" t="s">
        <v>562</v>
      </c>
    </row>
    <row r="45" spans="3:8" ht="17.399999999999999">
      <c r="C45" s="268"/>
      <c r="D45" s="271"/>
      <c r="E45" s="184" t="s">
        <v>565</v>
      </c>
      <c r="F45" s="184" t="s">
        <v>566</v>
      </c>
      <c r="G45" s="187" t="s">
        <v>562</v>
      </c>
    </row>
    <row r="46" spans="3:8" ht="17.399999999999999">
      <c r="C46" s="268"/>
      <c r="D46" s="271"/>
      <c r="E46" s="184" t="s">
        <v>567</v>
      </c>
      <c r="F46" s="184" t="s">
        <v>568</v>
      </c>
      <c r="G46" s="187" t="s">
        <v>562</v>
      </c>
    </row>
    <row r="47" spans="3:8" ht="17.399999999999999">
      <c r="C47" s="268"/>
      <c r="D47" s="271"/>
      <c r="E47" s="184" t="s">
        <v>569</v>
      </c>
      <c r="F47" s="184" t="s">
        <v>570</v>
      </c>
      <c r="G47" s="187" t="s">
        <v>562</v>
      </c>
    </row>
    <row r="48" spans="3:8" ht="17.399999999999999">
      <c r="C48" s="268"/>
      <c r="D48" s="271"/>
      <c r="E48" s="184" t="s">
        <v>571</v>
      </c>
      <c r="F48" s="184" t="s">
        <v>572</v>
      </c>
      <c r="G48" s="187" t="s">
        <v>573</v>
      </c>
    </row>
    <row r="49" spans="3:7" ht="17.399999999999999">
      <c r="C49" s="268"/>
      <c r="D49" s="271"/>
      <c r="E49" s="184" t="s">
        <v>574</v>
      </c>
      <c r="F49" s="184" t="s">
        <v>575</v>
      </c>
      <c r="G49" s="187" t="s">
        <v>562</v>
      </c>
    </row>
    <row r="50" spans="3:7" ht="87">
      <c r="C50" s="268"/>
      <c r="D50" s="271"/>
      <c r="E50" s="184" t="s">
        <v>576</v>
      </c>
      <c r="F50" s="188" t="s">
        <v>577</v>
      </c>
      <c r="G50" s="187" t="s">
        <v>562</v>
      </c>
    </row>
    <row r="51" spans="3:7" ht="17.399999999999999">
      <c r="C51" s="268"/>
      <c r="D51" s="271"/>
      <c r="E51" s="184" t="s">
        <v>578</v>
      </c>
      <c r="F51" s="184" t="s">
        <v>579</v>
      </c>
      <c r="G51" s="187" t="s">
        <v>562</v>
      </c>
    </row>
    <row r="52" spans="3:7" ht="37.5" customHeight="1">
      <c r="C52" s="268"/>
      <c r="D52" s="271"/>
      <c r="E52" s="184" t="s">
        <v>580</v>
      </c>
      <c r="F52" s="189" t="s">
        <v>581</v>
      </c>
      <c r="G52" s="187" t="s">
        <v>562</v>
      </c>
    </row>
    <row r="53" spans="3:7" ht="17.399999999999999">
      <c r="C53" s="268"/>
      <c r="D53" s="271"/>
      <c r="E53" s="184"/>
      <c r="F53" s="189" t="s">
        <v>540</v>
      </c>
      <c r="G53" s="187" t="s">
        <v>562</v>
      </c>
    </row>
    <row r="54" spans="3:7" ht="17.399999999999999">
      <c r="C54" s="268"/>
      <c r="D54" s="271"/>
      <c r="E54" s="184"/>
      <c r="F54" s="189" t="s">
        <v>582</v>
      </c>
      <c r="G54" s="187" t="s">
        <v>562</v>
      </c>
    </row>
    <row r="55" spans="3:7" ht="17.399999999999999">
      <c r="C55" s="269"/>
      <c r="D55" s="271"/>
      <c r="E55" s="184"/>
      <c r="F55" s="189" t="s">
        <v>583</v>
      </c>
      <c r="G55" s="187" t="s">
        <v>562</v>
      </c>
    </row>
    <row r="56" spans="3:7" ht="17.399999999999999">
      <c r="C56" s="172">
        <v>14</v>
      </c>
      <c r="D56" s="190" t="s">
        <v>584</v>
      </c>
      <c r="E56" s="272" t="s">
        <v>585</v>
      </c>
      <c r="F56" s="273"/>
      <c r="G56" s="274"/>
    </row>
    <row r="57" spans="3:7" ht="17.399999999999999">
      <c r="C57" s="172">
        <v>15</v>
      </c>
      <c r="D57" s="190" t="s">
        <v>586</v>
      </c>
      <c r="E57" s="272" t="s">
        <v>587</v>
      </c>
      <c r="F57" s="273"/>
      <c r="G57" s="274"/>
    </row>
    <row r="58" spans="3:7">
      <c r="C58" s="3"/>
      <c r="D58" s="3"/>
      <c r="E58" s="3"/>
      <c r="F58" s="129"/>
      <c r="G58" s="3"/>
    </row>
    <row r="59" spans="3:7" ht="136.19999999999999" customHeight="1">
      <c r="C59" s="131" t="s">
        <v>588</v>
      </c>
      <c r="D59" s="275" t="s">
        <v>657</v>
      </c>
      <c r="E59" s="276"/>
      <c r="F59" s="276"/>
      <c r="G59" s="277"/>
    </row>
    <row r="61" spans="3:7" ht="100.5" customHeight="1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H35" sqref="H35"/>
    </sheetView>
  </sheetViews>
  <sheetFormatPr defaultRowHeight="14.4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/>
    <row r="2" spans="1:22" ht="18" thickBot="1">
      <c r="A2" s="301" t="s">
        <v>330</v>
      </c>
      <c r="B2" s="291" t="s">
        <v>331</v>
      </c>
      <c r="C2" s="291" t="s">
        <v>332</v>
      </c>
      <c r="D2" s="291" t="s">
        <v>333</v>
      </c>
      <c r="E2" s="291" t="s">
        <v>334</v>
      </c>
      <c r="F2" s="293" t="s">
        <v>335</v>
      </c>
      <c r="G2" s="295" t="s">
        <v>336</v>
      </c>
      <c r="H2" s="291" t="s">
        <v>337</v>
      </c>
      <c r="I2" s="295" t="s">
        <v>338</v>
      </c>
      <c r="J2" s="303" t="s">
        <v>339</v>
      </c>
      <c r="K2" s="291" t="s">
        <v>340</v>
      </c>
      <c r="L2" s="293" t="s">
        <v>341</v>
      </c>
      <c r="M2" s="291" t="s">
        <v>342</v>
      </c>
      <c r="N2" s="291" t="s">
        <v>343</v>
      </c>
      <c r="O2" s="293" t="s">
        <v>344</v>
      </c>
      <c r="P2" s="291" t="s">
        <v>345</v>
      </c>
      <c r="Q2" s="291" t="s">
        <v>346</v>
      </c>
      <c r="R2" s="291"/>
      <c r="S2" s="295" t="s">
        <v>347</v>
      </c>
      <c r="T2" s="297" t="s">
        <v>348</v>
      </c>
      <c r="U2" s="299" t="s">
        <v>349</v>
      </c>
      <c r="V2" s="299" t="s">
        <v>350</v>
      </c>
    </row>
    <row r="3" spans="1:22" ht="18" thickBot="1">
      <c r="A3" s="302"/>
      <c r="B3" s="292"/>
      <c r="C3" s="292"/>
      <c r="D3" s="292"/>
      <c r="E3" s="292"/>
      <c r="F3" s="294"/>
      <c r="G3" s="296"/>
      <c r="H3" s="292"/>
      <c r="I3" s="296"/>
      <c r="J3" s="304"/>
      <c r="K3" s="292"/>
      <c r="L3" s="294"/>
      <c r="M3" s="292"/>
      <c r="N3" s="292"/>
      <c r="O3" s="294"/>
      <c r="P3" s="292"/>
      <c r="Q3" s="138" t="s">
        <v>351</v>
      </c>
      <c r="R3" s="138" t="s">
        <v>352</v>
      </c>
      <c r="S3" s="296"/>
      <c r="T3" s="298"/>
      <c r="U3" s="300"/>
      <c r="V3" s="300"/>
    </row>
    <row r="4" spans="1:22" ht="18" thickTop="1">
      <c r="A4" s="139">
        <v>20</v>
      </c>
      <c r="B4" s="140">
        <v>220</v>
      </c>
      <c r="C4" s="141">
        <f t="shared" ref="C4:C47" si="0">ROUNDUP(A4/(B4*0.9)/3^0.5*1000/0.9,0)</f>
        <v>65</v>
      </c>
      <c r="D4" s="141">
        <f t="shared" ref="D4:D47" si="1">ROUNDUP(B4*2^0.5*0.93,0)</f>
        <v>290</v>
      </c>
      <c r="E4" s="141">
        <f t="shared" ref="E4:E47" si="2">ROUNDUP(A4*1000/D4,0)</f>
        <v>69</v>
      </c>
      <c r="F4" s="142">
        <f t="shared" ref="F4:F47" si="3">30.8*100*C4/(1000*10)</f>
        <v>20.02</v>
      </c>
      <c r="G4" s="143">
        <f t="shared" ref="G4:G47" si="4">C4/(H4*I4)</f>
        <v>1.8571428571428572</v>
      </c>
      <c r="H4" s="140">
        <v>35</v>
      </c>
      <c r="I4" s="140">
        <v>1</v>
      </c>
      <c r="J4" s="140">
        <f t="shared" ref="J4:J47" si="5">L4*0.052</f>
        <v>3.9</v>
      </c>
      <c r="K4" s="140">
        <v>16</v>
      </c>
      <c r="L4" s="140">
        <v>75</v>
      </c>
      <c r="M4" s="140" t="s">
        <v>353</v>
      </c>
      <c r="N4" s="140" t="s">
        <v>354</v>
      </c>
      <c r="O4" s="144">
        <f t="shared" ref="O4:O47" si="6">SUM(C4*1.25)</f>
        <v>81.25</v>
      </c>
      <c r="P4" s="140" t="s">
        <v>355</v>
      </c>
      <c r="Q4" s="140" t="s">
        <v>356</v>
      </c>
      <c r="R4" s="140"/>
      <c r="S4" s="145" t="s">
        <v>357</v>
      </c>
      <c r="T4" s="145" t="s">
        <v>358</v>
      </c>
      <c r="U4" s="140" t="s">
        <v>359</v>
      </c>
      <c r="V4" s="146" t="s">
        <v>360</v>
      </c>
    </row>
    <row r="5" spans="1:22" ht="17.399999999999999">
      <c r="A5" s="139">
        <v>20</v>
      </c>
      <c r="B5" s="140">
        <v>380</v>
      </c>
      <c r="C5" s="141">
        <f t="shared" si="0"/>
        <v>38</v>
      </c>
      <c r="D5" s="141">
        <f t="shared" si="1"/>
        <v>500</v>
      </c>
      <c r="E5" s="141">
        <f t="shared" si="2"/>
        <v>40</v>
      </c>
      <c r="F5" s="142">
        <f t="shared" si="3"/>
        <v>11.704000000000001</v>
      </c>
      <c r="G5" s="143">
        <f t="shared" si="4"/>
        <v>1.52</v>
      </c>
      <c r="H5" s="140">
        <v>25</v>
      </c>
      <c r="I5" s="140">
        <v>1</v>
      </c>
      <c r="J5" s="140">
        <f t="shared" si="5"/>
        <v>2.6</v>
      </c>
      <c r="K5" s="140">
        <v>16</v>
      </c>
      <c r="L5" s="140">
        <v>50</v>
      </c>
      <c r="M5" s="140" t="s">
        <v>361</v>
      </c>
      <c r="N5" s="140" t="s">
        <v>362</v>
      </c>
      <c r="O5" s="144">
        <f t="shared" si="6"/>
        <v>47.5</v>
      </c>
      <c r="P5" s="140" t="s">
        <v>363</v>
      </c>
      <c r="Q5" s="140" t="s">
        <v>356</v>
      </c>
      <c r="R5" s="140"/>
      <c r="S5" s="145" t="s">
        <v>357</v>
      </c>
      <c r="T5" s="145" t="s">
        <v>355</v>
      </c>
      <c r="U5" s="140" t="s">
        <v>364</v>
      </c>
      <c r="V5" s="146" t="s">
        <v>360</v>
      </c>
    </row>
    <row r="6" spans="1:22" ht="17.399999999999999">
      <c r="A6" s="139">
        <v>20</v>
      </c>
      <c r="B6" s="140">
        <v>440</v>
      </c>
      <c r="C6" s="141">
        <f t="shared" si="0"/>
        <v>33</v>
      </c>
      <c r="D6" s="141">
        <f t="shared" si="1"/>
        <v>579</v>
      </c>
      <c r="E6" s="141">
        <f t="shared" si="2"/>
        <v>35</v>
      </c>
      <c r="F6" s="142">
        <f t="shared" si="3"/>
        <v>10.164</v>
      </c>
      <c r="G6" s="143">
        <f t="shared" si="4"/>
        <v>1.32</v>
      </c>
      <c r="H6" s="140">
        <v>25</v>
      </c>
      <c r="I6" s="140">
        <v>1</v>
      </c>
      <c r="J6" s="140">
        <f t="shared" si="5"/>
        <v>2.6</v>
      </c>
      <c r="K6" s="140">
        <v>16</v>
      </c>
      <c r="L6" s="140">
        <v>50</v>
      </c>
      <c r="M6" s="140" t="s">
        <v>361</v>
      </c>
      <c r="N6" s="140" t="s">
        <v>362</v>
      </c>
      <c r="O6" s="144">
        <f t="shared" si="6"/>
        <v>41.25</v>
      </c>
      <c r="P6" s="140" t="s">
        <v>363</v>
      </c>
      <c r="Q6" s="140" t="s">
        <v>356</v>
      </c>
      <c r="R6" s="140"/>
      <c r="S6" s="145" t="s">
        <v>357</v>
      </c>
      <c r="T6" s="145" t="s">
        <v>355</v>
      </c>
      <c r="U6" s="140" t="s">
        <v>364</v>
      </c>
      <c r="V6" s="146" t="s">
        <v>360</v>
      </c>
    </row>
    <row r="7" spans="1:22" ht="17.399999999999999">
      <c r="A7" s="139">
        <v>30</v>
      </c>
      <c r="B7" s="140">
        <v>220</v>
      </c>
      <c r="C7" s="141">
        <f t="shared" si="0"/>
        <v>98</v>
      </c>
      <c r="D7" s="141">
        <f t="shared" si="1"/>
        <v>290</v>
      </c>
      <c r="E7" s="141">
        <f t="shared" si="2"/>
        <v>104</v>
      </c>
      <c r="F7" s="142">
        <f t="shared" si="3"/>
        <v>30.184000000000001</v>
      </c>
      <c r="G7" s="143">
        <f t="shared" si="4"/>
        <v>1.96</v>
      </c>
      <c r="H7" s="140">
        <v>50</v>
      </c>
      <c r="I7" s="140">
        <v>1</v>
      </c>
      <c r="J7" s="140">
        <f t="shared" si="5"/>
        <v>6.5</v>
      </c>
      <c r="K7" s="140">
        <v>16</v>
      </c>
      <c r="L7" s="140">
        <v>125</v>
      </c>
      <c r="M7" s="140" t="s">
        <v>365</v>
      </c>
      <c r="N7" s="140" t="s">
        <v>366</v>
      </c>
      <c r="O7" s="144">
        <f t="shared" si="6"/>
        <v>122.5</v>
      </c>
      <c r="P7" s="140" t="s">
        <v>367</v>
      </c>
      <c r="Q7" s="140" t="s">
        <v>356</v>
      </c>
      <c r="R7" s="147" t="s">
        <v>360</v>
      </c>
      <c r="S7" s="145" t="s">
        <v>357</v>
      </c>
      <c r="T7" s="145" t="s">
        <v>368</v>
      </c>
      <c r="U7" s="140" t="s">
        <v>364</v>
      </c>
      <c r="V7" s="146" t="s">
        <v>360</v>
      </c>
    </row>
    <row r="8" spans="1:22" ht="17.399999999999999">
      <c r="A8" s="139">
        <v>30</v>
      </c>
      <c r="B8" s="140">
        <v>380</v>
      </c>
      <c r="C8" s="141">
        <f t="shared" si="0"/>
        <v>57</v>
      </c>
      <c r="D8" s="141">
        <f t="shared" si="1"/>
        <v>500</v>
      </c>
      <c r="E8" s="141">
        <f t="shared" si="2"/>
        <v>60</v>
      </c>
      <c r="F8" s="142">
        <f t="shared" si="3"/>
        <v>17.556000000000001</v>
      </c>
      <c r="G8" s="143">
        <f t="shared" si="4"/>
        <v>1.6285714285714286</v>
      </c>
      <c r="H8" s="140">
        <v>35</v>
      </c>
      <c r="I8" s="140">
        <v>1</v>
      </c>
      <c r="J8" s="140">
        <f t="shared" si="5"/>
        <v>3.9</v>
      </c>
      <c r="K8" s="140">
        <v>16</v>
      </c>
      <c r="L8" s="140">
        <v>75</v>
      </c>
      <c r="M8" s="140" t="s">
        <v>353</v>
      </c>
      <c r="N8" s="140" t="s">
        <v>354</v>
      </c>
      <c r="O8" s="144">
        <f t="shared" si="6"/>
        <v>71.25</v>
      </c>
      <c r="P8" s="140" t="s">
        <v>355</v>
      </c>
      <c r="Q8" s="140" t="s">
        <v>356</v>
      </c>
      <c r="R8" s="147" t="s">
        <v>360</v>
      </c>
      <c r="S8" s="145" t="s">
        <v>357</v>
      </c>
      <c r="T8" s="145" t="s">
        <v>355</v>
      </c>
      <c r="U8" s="140" t="s">
        <v>364</v>
      </c>
      <c r="V8" s="146" t="s">
        <v>360</v>
      </c>
    </row>
    <row r="9" spans="1:22" ht="17.399999999999999">
      <c r="A9" s="139">
        <v>30</v>
      </c>
      <c r="B9" s="140">
        <v>440</v>
      </c>
      <c r="C9" s="141">
        <f t="shared" si="0"/>
        <v>49</v>
      </c>
      <c r="D9" s="141">
        <f t="shared" si="1"/>
        <v>579</v>
      </c>
      <c r="E9" s="141">
        <f t="shared" si="2"/>
        <v>52</v>
      </c>
      <c r="F9" s="142">
        <f t="shared" si="3"/>
        <v>15.092000000000001</v>
      </c>
      <c r="G9" s="143">
        <f t="shared" si="4"/>
        <v>1.4</v>
      </c>
      <c r="H9" s="140">
        <v>35</v>
      </c>
      <c r="I9" s="140">
        <v>1</v>
      </c>
      <c r="J9" s="140">
        <f t="shared" si="5"/>
        <v>3.9</v>
      </c>
      <c r="K9" s="140">
        <v>16</v>
      </c>
      <c r="L9" s="140">
        <v>75</v>
      </c>
      <c r="M9" s="140" t="s">
        <v>353</v>
      </c>
      <c r="N9" s="140" t="s">
        <v>354</v>
      </c>
      <c r="O9" s="144">
        <f t="shared" si="6"/>
        <v>61.25</v>
      </c>
      <c r="P9" s="140" t="s">
        <v>355</v>
      </c>
      <c r="Q9" s="140" t="s">
        <v>356</v>
      </c>
      <c r="R9" s="147" t="s">
        <v>360</v>
      </c>
      <c r="S9" s="145" t="s">
        <v>357</v>
      </c>
      <c r="T9" s="145" t="s">
        <v>355</v>
      </c>
      <c r="U9" s="140" t="s">
        <v>364</v>
      </c>
      <c r="V9" s="146" t="s">
        <v>360</v>
      </c>
    </row>
    <row r="10" spans="1:22" ht="17.399999999999999">
      <c r="A10" s="139">
        <v>50</v>
      </c>
      <c r="B10" s="140">
        <v>220</v>
      </c>
      <c r="C10" s="141">
        <f t="shared" si="0"/>
        <v>162</v>
      </c>
      <c r="D10" s="141">
        <f t="shared" si="1"/>
        <v>290</v>
      </c>
      <c r="E10" s="141">
        <f t="shared" si="2"/>
        <v>173</v>
      </c>
      <c r="F10" s="142">
        <f t="shared" si="3"/>
        <v>49.896000000000001</v>
      </c>
      <c r="G10" s="143">
        <f t="shared" si="4"/>
        <v>2.3142857142857145</v>
      </c>
      <c r="H10" s="140">
        <v>70</v>
      </c>
      <c r="I10" s="140">
        <v>1</v>
      </c>
      <c r="J10" s="140">
        <f t="shared" si="5"/>
        <v>10.4</v>
      </c>
      <c r="K10" s="140">
        <v>16</v>
      </c>
      <c r="L10" s="140">
        <v>200</v>
      </c>
      <c r="M10" s="140" t="s">
        <v>369</v>
      </c>
      <c r="N10" s="140" t="s">
        <v>370</v>
      </c>
      <c r="O10" s="144">
        <f t="shared" si="6"/>
        <v>202.5</v>
      </c>
      <c r="P10" s="140" t="s">
        <v>371</v>
      </c>
      <c r="Q10" s="140" t="s">
        <v>372</v>
      </c>
      <c r="R10" s="147" t="s">
        <v>360</v>
      </c>
      <c r="S10" s="145" t="s">
        <v>373</v>
      </c>
      <c r="T10" s="145" t="s">
        <v>374</v>
      </c>
      <c r="U10" s="289" t="s">
        <v>375</v>
      </c>
      <c r="V10" s="290"/>
    </row>
    <row r="11" spans="1:22" ht="17.399999999999999">
      <c r="A11" s="139">
        <v>50</v>
      </c>
      <c r="B11" s="140">
        <v>380</v>
      </c>
      <c r="C11" s="141">
        <f t="shared" si="0"/>
        <v>94</v>
      </c>
      <c r="D11" s="141">
        <f t="shared" si="1"/>
        <v>500</v>
      </c>
      <c r="E11" s="141">
        <f t="shared" si="2"/>
        <v>100</v>
      </c>
      <c r="F11" s="142">
        <f t="shared" si="3"/>
        <v>28.952000000000002</v>
      </c>
      <c r="G11" s="143">
        <f t="shared" si="4"/>
        <v>1.3428571428571427</v>
      </c>
      <c r="H11" s="140">
        <v>70</v>
      </c>
      <c r="I11" s="140">
        <v>1</v>
      </c>
      <c r="J11" s="140">
        <f t="shared" si="5"/>
        <v>6.5</v>
      </c>
      <c r="K11" s="140">
        <v>16</v>
      </c>
      <c r="L11" s="140">
        <v>125</v>
      </c>
      <c r="M11" s="140" t="s">
        <v>376</v>
      </c>
      <c r="N11" s="140" t="s">
        <v>366</v>
      </c>
      <c r="O11" s="144">
        <f t="shared" si="6"/>
        <v>117.5</v>
      </c>
      <c r="P11" s="140" t="s">
        <v>367</v>
      </c>
      <c r="Q11" s="140" t="s">
        <v>356</v>
      </c>
      <c r="R11" s="147" t="s">
        <v>360</v>
      </c>
      <c r="S11" s="145" t="s">
        <v>357</v>
      </c>
      <c r="T11" s="145" t="s">
        <v>368</v>
      </c>
      <c r="U11" s="140" t="s">
        <v>364</v>
      </c>
      <c r="V11" s="146" t="s">
        <v>360</v>
      </c>
    </row>
    <row r="12" spans="1:22" ht="17.399999999999999">
      <c r="A12" s="139">
        <v>50</v>
      </c>
      <c r="B12" s="140">
        <v>440</v>
      </c>
      <c r="C12" s="141">
        <f t="shared" si="0"/>
        <v>81</v>
      </c>
      <c r="D12" s="141">
        <f t="shared" si="1"/>
        <v>579</v>
      </c>
      <c r="E12" s="141">
        <f t="shared" si="2"/>
        <v>87</v>
      </c>
      <c r="F12" s="142">
        <f t="shared" si="3"/>
        <v>24.948</v>
      </c>
      <c r="G12" s="143">
        <f t="shared" si="4"/>
        <v>1.1571428571428573</v>
      </c>
      <c r="H12" s="140">
        <v>70</v>
      </c>
      <c r="I12" s="140">
        <v>1</v>
      </c>
      <c r="J12" s="140">
        <f t="shared" si="5"/>
        <v>5.2</v>
      </c>
      <c r="K12" s="140">
        <v>16</v>
      </c>
      <c r="L12" s="140">
        <v>100</v>
      </c>
      <c r="M12" s="140" t="s">
        <v>376</v>
      </c>
      <c r="N12" s="140" t="s">
        <v>366</v>
      </c>
      <c r="O12" s="144">
        <f t="shared" si="6"/>
        <v>101.25</v>
      </c>
      <c r="P12" s="140" t="s">
        <v>367</v>
      </c>
      <c r="Q12" s="140" t="s">
        <v>356</v>
      </c>
      <c r="R12" s="147" t="s">
        <v>360</v>
      </c>
      <c r="S12" s="145" t="s">
        <v>357</v>
      </c>
      <c r="T12" s="145" t="s">
        <v>368</v>
      </c>
      <c r="U12" s="140" t="s">
        <v>364</v>
      </c>
      <c r="V12" s="146" t="s">
        <v>360</v>
      </c>
    </row>
    <row r="13" spans="1:22" ht="17.399999999999999">
      <c r="A13" s="139">
        <v>75</v>
      </c>
      <c r="B13" s="140">
        <v>220</v>
      </c>
      <c r="C13" s="141">
        <f t="shared" si="0"/>
        <v>243</v>
      </c>
      <c r="D13" s="141">
        <f t="shared" si="1"/>
        <v>290</v>
      </c>
      <c r="E13" s="141">
        <f t="shared" si="2"/>
        <v>259</v>
      </c>
      <c r="F13" s="142">
        <f t="shared" si="3"/>
        <v>74.843999999999994</v>
      </c>
      <c r="G13" s="143">
        <f t="shared" si="4"/>
        <v>1.7357142857142858</v>
      </c>
      <c r="H13" s="140">
        <v>70</v>
      </c>
      <c r="I13" s="140">
        <v>2</v>
      </c>
      <c r="J13" s="140">
        <f t="shared" si="5"/>
        <v>15.6</v>
      </c>
      <c r="K13" s="140">
        <v>16</v>
      </c>
      <c r="L13" s="140">
        <v>300</v>
      </c>
      <c r="M13" s="140" t="s">
        <v>377</v>
      </c>
      <c r="N13" s="140" t="s">
        <v>378</v>
      </c>
      <c r="O13" s="144">
        <f t="shared" si="6"/>
        <v>303.75</v>
      </c>
      <c r="P13" s="140" t="s">
        <v>379</v>
      </c>
      <c r="Q13" s="140" t="s">
        <v>372</v>
      </c>
      <c r="R13" s="147" t="s">
        <v>360</v>
      </c>
      <c r="S13" s="145" t="s">
        <v>380</v>
      </c>
      <c r="T13" s="145" t="s">
        <v>379</v>
      </c>
      <c r="U13" s="289" t="s">
        <v>375</v>
      </c>
      <c r="V13" s="290"/>
    </row>
    <row r="14" spans="1:22" ht="17.399999999999999">
      <c r="A14" s="139">
        <v>75</v>
      </c>
      <c r="B14" s="140">
        <v>380</v>
      </c>
      <c r="C14" s="141">
        <f t="shared" si="0"/>
        <v>141</v>
      </c>
      <c r="D14" s="141">
        <f t="shared" si="1"/>
        <v>500</v>
      </c>
      <c r="E14" s="141">
        <f t="shared" si="2"/>
        <v>150</v>
      </c>
      <c r="F14" s="142">
        <f t="shared" si="3"/>
        <v>43.427999999999997</v>
      </c>
      <c r="G14" s="143">
        <f t="shared" si="4"/>
        <v>2.0142857142857142</v>
      </c>
      <c r="H14" s="140">
        <v>70</v>
      </c>
      <c r="I14" s="140">
        <v>1</v>
      </c>
      <c r="J14" s="140">
        <f t="shared" si="5"/>
        <v>9.1</v>
      </c>
      <c r="K14" s="140">
        <v>16</v>
      </c>
      <c r="L14" s="140">
        <v>175</v>
      </c>
      <c r="M14" s="140" t="s">
        <v>369</v>
      </c>
      <c r="N14" s="140" t="s">
        <v>370</v>
      </c>
      <c r="O14" s="144">
        <f t="shared" si="6"/>
        <v>176.25</v>
      </c>
      <c r="P14" s="140" t="s">
        <v>371</v>
      </c>
      <c r="Q14" s="140" t="s">
        <v>372</v>
      </c>
      <c r="R14" s="147" t="s">
        <v>360</v>
      </c>
      <c r="S14" s="145" t="s">
        <v>380</v>
      </c>
      <c r="T14" s="145" t="s">
        <v>371</v>
      </c>
      <c r="U14" s="289" t="s">
        <v>375</v>
      </c>
      <c r="V14" s="290"/>
    </row>
    <row r="15" spans="1:22" ht="17.399999999999999">
      <c r="A15" s="139">
        <v>75</v>
      </c>
      <c r="B15" s="140">
        <v>440</v>
      </c>
      <c r="C15" s="141">
        <f t="shared" si="0"/>
        <v>122</v>
      </c>
      <c r="D15" s="141">
        <f t="shared" si="1"/>
        <v>579</v>
      </c>
      <c r="E15" s="141">
        <f t="shared" si="2"/>
        <v>130</v>
      </c>
      <c r="F15" s="142">
        <f t="shared" si="3"/>
        <v>37.576000000000001</v>
      </c>
      <c r="G15" s="143">
        <f t="shared" si="4"/>
        <v>1.7428571428571429</v>
      </c>
      <c r="H15" s="140">
        <v>70</v>
      </c>
      <c r="I15" s="140">
        <v>1</v>
      </c>
      <c r="J15" s="140">
        <f t="shared" si="5"/>
        <v>7.8</v>
      </c>
      <c r="K15" s="140">
        <v>16</v>
      </c>
      <c r="L15" s="140">
        <v>150</v>
      </c>
      <c r="M15" s="140" t="s">
        <v>369</v>
      </c>
      <c r="N15" s="140" t="s">
        <v>370</v>
      </c>
      <c r="O15" s="144">
        <f t="shared" si="6"/>
        <v>152.5</v>
      </c>
      <c r="P15" s="140" t="s">
        <v>371</v>
      </c>
      <c r="Q15" s="140" t="s">
        <v>372</v>
      </c>
      <c r="R15" s="147" t="s">
        <v>360</v>
      </c>
      <c r="S15" s="145" t="s">
        <v>380</v>
      </c>
      <c r="T15" s="145" t="s">
        <v>371</v>
      </c>
      <c r="U15" s="289" t="s">
        <v>375</v>
      </c>
      <c r="V15" s="290"/>
    </row>
    <row r="16" spans="1:22" ht="17.399999999999999">
      <c r="A16" s="139">
        <v>100</v>
      </c>
      <c r="B16" s="140">
        <v>380</v>
      </c>
      <c r="C16" s="141">
        <f t="shared" si="0"/>
        <v>188</v>
      </c>
      <c r="D16" s="141">
        <f t="shared" si="1"/>
        <v>500</v>
      </c>
      <c r="E16" s="141">
        <f t="shared" si="2"/>
        <v>200</v>
      </c>
      <c r="F16" s="142">
        <f t="shared" si="3"/>
        <v>57.904000000000003</v>
      </c>
      <c r="G16" s="143">
        <f t="shared" si="4"/>
        <v>1.9789473684210526</v>
      </c>
      <c r="H16" s="140">
        <v>95</v>
      </c>
      <c r="I16" s="140">
        <v>1</v>
      </c>
      <c r="J16" s="140">
        <f t="shared" si="5"/>
        <v>10.4</v>
      </c>
      <c r="K16" s="140">
        <v>16</v>
      </c>
      <c r="L16" s="140">
        <v>200</v>
      </c>
      <c r="M16" s="140" t="s">
        <v>369</v>
      </c>
      <c r="N16" s="140" t="s">
        <v>381</v>
      </c>
      <c r="O16" s="144">
        <f t="shared" si="6"/>
        <v>235</v>
      </c>
      <c r="P16" s="140" t="s">
        <v>382</v>
      </c>
      <c r="Q16" s="140" t="s">
        <v>372</v>
      </c>
      <c r="R16" s="147" t="s">
        <v>360</v>
      </c>
      <c r="S16" s="145" t="s">
        <v>380</v>
      </c>
      <c r="T16" s="145" t="s">
        <v>379</v>
      </c>
      <c r="U16" s="289" t="s">
        <v>375</v>
      </c>
      <c r="V16" s="290"/>
    </row>
    <row r="17" spans="1:22" ht="17.399999999999999">
      <c r="A17" s="139">
        <v>100</v>
      </c>
      <c r="B17" s="140">
        <v>440</v>
      </c>
      <c r="C17" s="141">
        <f t="shared" si="0"/>
        <v>162</v>
      </c>
      <c r="D17" s="141">
        <f t="shared" si="1"/>
        <v>579</v>
      </c>
      <c r="E17" s="141">
        <f t="shared" si="2"/>
        <v>173</v>
      </c>
      <c r="F17" s="142">
        <f t="shared" si="3"/>
        <v>49.896000000000001</v>
      </c>
      <c r="G17" s="143">
        <f t="shared" si="4"/>
        <v>1.7052631578947368</v>
      </c>
      <c r="H17" s="140">
        <v>95</v>
      </c>
      <c r="I17" s="140">
        <v>1</v>
      </c>
      <c r="J17" s="140">
        <f t="shared" si="5"/>
        <v>10.4</v>
      </c>
      <c r="K17" s="140">
        <v>16</v>
      </c>
      <c r="L17" s="140">
        <v>200</v>
      </c>
      <c r="M17" s="140" t="s">
        <v>369</v>
      </c>
      <c r="N17" s="140" t="s">
        <v>381</v>
      </c>
      <c r="O17" s="144">
        <f t="shared" si="6"/>
        <v>202.5</v>
      </c>
      <c r="P17" s="140" t="s">
        <v>382</v>
      </c>
      <c r="Q17" s="140" t="s">
        <v>372</v>
      </c>
      <c r="R17" s="147" t="s">
        <v>360</v>
      </c>
      <c r="S17" s="145" t="s">
        <v>380</v>
      </c>
      <c r="T17" s="145" t="s">
        <v>379</v>
      </c>
      <c r="U17" s="289" t="s">
        <v>375</v>
      </c>
      <c r="V17" s="290"/>
    </row>
    <row r="18" spans="1:22" ht="17.399999999999999">
      <c r="A18" s="139">
        <v>125</v>
      </c>
      <c r="B18" s="140">
        <v>380</v>
      </c>
      <c r="C18" s="141">
        <f t="shared" si="0"/>
        <v>235</v>
      </c>
      <c r="D18" s="141">
        <f t="shared" si="1"/>
        <v>500</v>
      </c>
      <c r="E18" s="141">
        <f t="shared" si="2"/>
        <v>250</v>
      </c>
      <c r="F18" s="142">
        <f t="shared" si="3"/>
        <v>72.38</v>
      </c>
      <c r="G18" s="143">
        <f t="shared" si="4"/>
        <v>1.6785714285714286</v>
      </c>
      <c r="H18" s="140">
        <v>70</v>
      </c>
      <c r="I18" s="140">
        <v>2</v>
      </c>
      <c r="J18" s="140">
        <f t="shared" si="5"/>
        <v>13</v>
      </c>
      <c r="K18" s="140">
        <v>16</v>
      </c>
      <c r="L18" s="140">
        <v>250</v>
      </c>
      <c r="M18" s="140" t="s">
        <v>377</v>
      </c>
      <c r="N18" s="140" t="s">
        <v>378</v>
      </c>
      <c r="O18" s="144">
        <f t="shared" si="6"/>
        <v>293.75</v>
      </c>
      <c r="P18" s="140" t="s">
        <v>379</v>
      </c>
      <c r="Q18" s="140" t="s">
        <v>372</v>
      </c>
      <c r="R18" s="147" t="s">
        <v>360</v>
      </c>
      <c r="S18" s="145" t="s">
        <v>383</v>
      </c>
      <c r="T18" s="145" t="s">
        <v>379</v>
      </c>
      <c r="U18" s="289" t="s">
        <v>375</v>
      </c>
      <c r="V18" s="290"/>
    </row>
    <row r="19" spans="1:22" ht="17.399999999999999">
      <c r="A19" s="139">
        <v>125</v>
      </c>
      <c r="B19" s="140">
        <v>440</v>
      </c>
      <c r="C19" s="141">
        <f t="shared" si="0"/>
        <v>203</v>
      </c>
      <c r="D19" s="141">
        <f t="shared" si="1"/>
        <v>579</v>
      </c>
      <c r="E19" s="141">
        <f t="shared" si="2"/>
        <v>216</v>
      </c>
      <c r="F19" s="142">
        <f t="shared" si="3"/>
        <v>62.524000000000001</v>
      </c>
      <c r="G19" s="143">
        <f t="shared" si="4"/>
        <v>1.45</v>
      </c>
      <c r="H19" s="140">
        <v>70</v>
      </c>
      <c r="I19" s="140">
        <v>2</v>
      </c>
      <c r="J19" s="140">
        <f t="shared" si="5"/>
        <v>13</v>
      </c>
      <c r="K19" s="140">
        <v>16</v>
      </c>
      <c r="L19" s="140">
        <v>250</v>
      </c>
      <c r="M19" s="140" t="s">
        <v>384</v>
      </c>
      <c r="N19" s="140" t="s">
        <v>381</v>
      </c>
      <c r="O19" s="144">
        <f t="shared" si="6"/>
        <v>253.75</v>
      </c>
      <c r="P19" s="140" t="s">
        <v>379</v>
      </c>
      <c r="Q19" s="140" t="s">
        <v>372</v>
      </c>
      <c r="R19" s="147" t="s">
        <v>360</v>
      </c>
      <c r="S19" s="145" t="s">
        <v>383</v>
      </c>
      <c r="T19" s="145" t="s">
        <v>379</v>
      </c>
      <c r="U19" s="289" t="s">
        <v>375</v>
      </c>
      <c r="V19" s="290"/>
    </row>
    <row r="20" spans="1:22" ht="17.399999999999999">
      <c r="A20" s="139">
        <v>150</v>
      </c>
      <c r="B20" s="140">
        <v>380</v>
      </c>
      <c r="C20" s="141">
        <f t="shared" si="0"/>
        <v>282</v>
      </c>
      <c r="D20" s="141">
        <f t="shared" si="1"/>
        <v>500</v>
      </c>
      <c r="E20" s="141">
        <f t="shared" si="2"/>
        <v>300</v>
      </c>
      <c r="F20" s="142">
        <f t="shared" si="3"/>
        <v>86.855999999999995</v>
      </c>
      <c r="G20" s="143">
        <f t="shared" si="4"/>
        <v>2.0142857142857142</v>
      </c>
      <c r="H20" s="140">
        <v>70</v>
      </c>
      <c r="I20" s="140">
        <v>2</v>
      </c>
      <c r="J20" s="140">
        <f t="shared" si="5"/>
        <v>15.6</v>
      </c>
      <c r="K20" s="140">
        <v>25</v>
      </c>
      <c r="L20" s="140">
        <v>300</v>
      </c>
      <c r="M20" s="140" t="s">
        <v>377</v>
      </c>
      <c r="N20" s="140" t="s">
        <v>378</v>
      </c>
      <c r="O20" s="144">
        <f t="shared" si="6"/>
        <v>352.5</v>
      </c>
      <c r="P20" s="140" t="s">
        <v>385</v>
      </c>
      <c r="Q20" s="140" t="s">
        <v>372</v>
      </c>
      <c r="R20" s="147" t="s">
        <v>360</v>
      </c>
      <c r="S20" s="145" t="s">
        <v>383</v>
      </c>
      <c r="T20" s="145" t="s">
        <v>385</v>
      </c>
      <c r="U20" s="289" t="s">
        <v>375</v>
      </c>
      <c r="V20" s="290"/>
    </row>
    <row r="21" spans="1:22" ht="17.399999999999999">
      <c r="A21" s="139">
        <v>150</v>
      </c>
      <c r="B21" s="140">
        <v>440</v>
      </c>
      <c r="C21" s="141">
        <f t="shared" si="0"/>
        <v>243</v>
      </c>
      <c r="D21" s="141">
        <f t="shared" si="1"/>
        <v>579</v>
      </c>
      <c r="E21" s="141">
        <f t="shared" si="2"/>
        <v>260</v>
      </c>
      <c r="F21" s="142">
        <f t="shared" si="3"/>
        <v>74.843999999999994</v>
      </c>
      <c r="G21" s="143">
        <f t="shared" si="4"/>
        <v>1.7357142857142858</v>
      </c>
      <c r="H21" s="140">
        <v>70</v>
      </c>
      <c r="I21" s="140">
        <v>2</v>
      </c>
      <c r="J21" s="140">
        <f t="shared" si="5"/>
        <v>15.6</v>
      </c>
      <c r="K21" s="140">
        <v>25</v>
      </c>
      <c r="L21" s="140">
        <v>300</v>
      </c>
      <c r="M21" s="140" t="s">
        <v>377</v>
      </c>
      <c r="N21" s="140" t="s">
        <v>378</v>
      </c>
      <c r="O21" s="144">
        <f t="shared" si="6"/>
        <v>303.75</v>
      </c>
      <c r="P21" s="140" t="s">
        <v>379</v>
      </c>
      <c r="Q21" s="140" t="s">
        <v>372</v>
      </c>
      <c r="R21" s="147" t="s">
        <v>360</v>
      </c>
      <c r="S21" s="145" t="s">
        <v>383</v>
      </c>
      <c r="T21" s="145" t="s">
        <v>385</v>
      </c>
      <c r="U21" s="289" t="s">
        <v>375</v>
      </c>
      <c r="V21" s="290"/>
    </row>
    <row r="22" spans="1:22" ht="17.399999999999999">
      <c r="A22" s="139">
        <v>200</v>
      </c>
      <c r="B22" s="140">
        <v>380</v>
      </c>
      <c r="C22" s="141">
        <f t="shared" si="0"/>
        <v>376</v>
      </c>
      <c r="D22" s="141">
        <f t="shared" si="1"/>
        <v>500</v>
      </c>
      <c r="E22" s="141">
        <f t="shared" si="2"/>
        <v>400</v>
      </c>
      <c r="F22" s="142">
        <f t="shared" si="3"/>
        <v>115.80800000000001</v>
      </c>
      <c r="G22" s="143">
        <f t="shared" si="4"/>
        <v>1.9789473684210526</v>
      </c>
      <c r="H22" s="140">
        <v>95</v>
      </c>
      <c r="I22" s="140">
        <v>2</v>
      </c>
      <c r="J22" s="140">
        <f t="shared" si="5"/>
        <v>20.8</v>
      </c>
      <c r="K22" s="140">
        <v>25</v>
      </c>
      <c r="L22" s="140">
        <v>400</v>
      </c>
      <c r="M22" s="140" t="s">
        <v>386</v>
      </c>
      <c r="N22" s="140" t="s">
        <v>378</v>
      </c>
      <c r="O22" s="144">
        <f t="shared" si="6"/>
        <v>470</v>
      </c>
      <c r="P22" s="140" t="s">
        <v>387</v>
      </c>
      <c r="Q22" s="140" t="s">
        <v>388</v>
      </c>
      <c r="R22" s="147" t="s">
        <v>360</v>
      </c>
      <c r="S22" s="145" t="s">
        <v>383</v>
      </c>
      <c r="T22" s="145" t="s">
        <v>387</v>
      </c>
      <c r="U22" s="289" t="s">
        <v>375</v>
      </c>
      <c r="V22" s="290"/>
    </row>
    <row r="23" spans="1:22" ht="17.399999999999999">
      <c r="A23" s="139">
        <v>200</v>
      </c>
      <c r="B23" s="140">
        <v>440</v>
      </c>
      <c r="C23" s="141">
        <f t="shared" si="0"/>
        <v>324</v>
      </c>
      <c r="D23" s="141">
        <f t="shared" si="1"/>
        <v>579</v>
      </c>
      <c r="E23" s="141">
        <f t="shared" si="2"/>
        <v>346</v>
      </c>
      <c r="F23" s="142">
        <f t="shared" si="3"/>
        <v>99.792000000000002</v>
      </c>
      <c r="G23" s="143">
        <f t="shared" si="4"/>
        <v>1.7052631578947368</v>
      </c>
      <c r="H23" s="140">
        <v>95</v>
      </c>
      <c r="I23" s="140">
        <v>2</v>
      </c>
      <c r="J23" s="140">
        <f t="shared" si="5"/>
        <v>20.8</v>
      </c>
      <c r="K23" s="140">
        <v>25</v>
      </c>
      <c r="L23" s="140">
        <v>400</v>
      </c>
      <c r="M23" s="140" t="s">
        <v>386</v>
      </c>
      <c r="N23" s="140" t="s">
        <v>378</v>
      </c>
      <c r="O23" s="144">
        <f t="shared" si="6"/>
        <v>405</v>
      </c>
      <c r="P23" s="140" t="s">
        <v>385</v>
      </c>
      <c r="Q23" s="140" t="s">
        <v>388</v>
      </c>
      <c r="R23" s="147" t="s">
        <v>360</v>
      </c>
      <c r="S23" s="145" t="s">
        <v>383</v>
      </c>
      <c r="T23" s="145" t="s">
        <v>387</v>
      </c>
      <c r="U23" s="289" t="s">
        <v>375</v>
      </c>
      <c r="V23" s="290"/>
    </row>
    <row r="24" spans="1:22" ht="17.399999999999999">
      <c r="A24" s="139">
        <v>250</v>
      </c>
      <c r="B24" s="140">
        <v>380</v>
      </c>
      <c r="C24" s="141">
        <f t="shared" si="0"/>
        <v>469</v>
      </c>
      <c r="D24" s="141">
        <f t="shared" si="1"/>
        <v>500</v>
      </c>
      <c r="E24" s="141">
        <f t="shared" si="2"/>
        <v>500</v>
      </c>
      <c r="F24" s="142">
        <f t="shared" si="3"/>
        <v>144.452</v>
      </c>
      <c r="G24" s="143">
        <f t="shared" si="4"/>
        <v>1.9541666666666666</v>
      </c>
      <c r="H24" s="140">
        <v>120</v>
      </c>
      <c r="I24" s="140">
        <v>2</v>
      </c>
      <c r="J24" s="140">
        <f t="shared" si="5"/>
        <v>26</v>
      </c>
      <c r="K24" s="140">
        <v>35</v>
      </c>
      <c r="L24" s="140">
        <v>500</v>
      </c>
      <c r="M24" s="140" t="s">
        <v>389</v>
      </c>
      <c r="N24" s="140" t="s">
        <v>390</v>
      </c>
      <c r="O24" s="144">
        <f t="shared" si="6"/>
        <v>586.25</v>
      </c>
      <c r="P24" s="140" t="s">
        <v>391</v>
      </c>
      <c r="Q24" s="140" t="s">
        <v>388</v>
      </c>
      <c r="R24" s="147" t="s">
        <v>360</v>
      </c>
      <c r="S24" s="145" t="s">
        <v>392</v>
      </c>
      <c r="T24" s="145" t="s">
        <v>391</v>
      </c>
      <c r="U24" s="289" t="s">
        <v>375</v>
      </c>
      <c r="V24" s="290"/>
    </row>
    <row r="25" spans="1:22" ht="17.399999999999999">
      <c r="A25" s="139">
        <v>250</v>
      </c>
      <c r="B25" s="140">
        <v>440</v>
      </c>
      <c r="C25" s="141">
        <f t="shared" si="0"/>
        <v>405</v>
      </c>
      <c r="D25" s="141">
        <f t="shared" si="1"/>
        <v>579</v>
      </c>
      <c r="E25" s="141">
        <f t="shared" si="2"/>
        <v>432</v>
      </c>
      <c r="F25" s="142">
        <f t="shared" si="3"/>
        <v>124.74</v>
      </c>
      <c r="G25" s="143">
        <f t="shared" si="4"/>
        <v>1.6875</v>
      </c>
      <c r="H25" s="140">
        <v>120</v>
      </c>
      <c r="I25" s="140">
        <v>2</v>
      </c>
      <c r="J25" s="140">
        <f t="shared" si="5"/>
        <v>26</v>
      </c>
      <c r="K25" s="140">
        <v>35</v>
      </c>
      <c r="L25" s="140">
        <v>500</v>
      </c>
      <c r="M25" s="140" t="s">
        <v>386</v>
      </c>
      <c r="N25" s="140" t="s">
        <v>393</v>
      </c>
      <c r="O25" s="144">
        <f t="shared" si="6"/>
        <v>506.25</v>
      </c>
      <c r="P25" s="140" t="s">
        <v>387</v>
      </c>
      <c r="Q25" s="140" t="s">
        <v>388</v>
      </c>
      <c r="R25" s="147" t="s">
        <v>360</v>
      </c>
      <c r="S25" s="145" t="s">
        <v>392</v>
      </c>
      <c r="T25" s="145" t="s">
        <v>391</v>
      </c>
      <c r="U25" s="289" t="s">
        <v>375</v>
      </c>
      <c r="V25" s="290"/>
    </row>
    <row r="26" spans="1:22" ht="17.399999999999999">
      <c r="A26" s="139">
        <v>300</v>
      </c>
      <c r="B26" s="140">
        <v>380</v>
      </c>
      <c r="C26" s="141">
        <f t="shared" si="0"/>
        <v>563</v>
      </c>
      <c r="D26" s="141">
        <f t="shared" si="1"/>
        <v>500</v>
      </c>
      <c r="E26" s="141">
        <f t="shared" si="2"/>
        <v>600</v>
      </c>
      <c r="F26" s="142">
        <f t="shared" si="3"/>
        <v>173.404</v>
      </c>
      <c r="G26" s="143">
        <f t="shared" si="4"/>
        <v>1.8766666666666667</v>
      </c>
      <c r="H26" s="140">
        <v>150</v>
      </c>
      <c r="I26" s="140">
        <v>2</v>
      </c>
      <c r="J26" s="140">
        <f t="shared" si="5"/>
        <v>32.76</v>
      </c>
      <c r="K26" s="140">
        <v>35</v>
      </c>
      <c r="L26" s="140">
        <v>630</v>
      </c>
      <c r="M26" s="140" t="s">
        <v>394</v>
      </c>
      <c r="N26" s="140" t="s">
        <v>390</v>
      </c>
      <c r="O26" s="144">
        <f t="shared" si="6"/>
        <v>703.75</v>
      </c>
      <c r="P26" s="140" t="s">
        <v>395</v>
      </c>
      <c r="Q26" s="140" t="s">
        <v>388</v>
      </c>
      <c r="R26" s="147" t="s">
        <v>360</v>
      </c>
      <c r="S26" s="145" t="s">
        <v>392</v>
      </c>
      <c r="T26" s="145" t="s">
        <v>395</v>
      </c>
      <c r="U26" s="289" t="s">
        <v>375</v>
      </c>
      <c r="V26" s="290"/>
    </row>
    <row r="27" spans="1:22" ht="17.399999999999999">
      <c r="A27" s="139">
        <v>300</v>
      </c>
      <c r="B27" s="140">
        <v>440</v>
      </c>
      <c r="C27" s="141">
        <f t="shared" si="0"/>
        <v>486</v>
      </c>
      <c r="D27" s="141">
        <f t="shared" si="1"/>
        <v>579</v>
      </c>
      <c r="E27" s="141">
        <f t="shared" si="2"/>
        <v>519</v>
      </c>
      <c r="F27" s="142">
        <f t="shared" si="3"/>
        <v>149.68799999999999</v>
      </c>
      <c r="G27" s="143">
        <f t="shared" si="4"/>
        <v>1.62</v>
      </c>
      <c r="H27" s="140">
        <v>150</v>
      </c>
      <c r="I27" s="140">
        <v>2</v>
      </c>
      <c r="J27" s="140">
        <f t="shared" si="5"/>
        <v>32.76</v>
      </c>
      <c r="K27" s="140">
        <v>35</v>
      </c>
      <c r="L27" s="140">
        <v>630</v>
      </c>
      <c r="M27" s="140" t="s">
        <v>394</v>
      </c>
      <c r="N27" s="140" t="s">
        <v>390</v>
      </c>
      <c r="O27" s="144">
        <f t="shared" si="6"/>
        <v>607.5</v>
      </c>
      <c r="P27" s="140" t="s">
        <v>391</v>
      </c>
      <c r="Q27" s="140" t="s">
        <v>388</v>
      </c>
      <c r="R27" s="147" t="s">
        <v>360</v>
      </c>
      <c r="S27" s="145" t="s">
        <v>392</v>
      </c>
      <c r="T27" s="145" t="s">
        <v>395</v>
      </c>
      <c r="U27" s="289" t="s">
        <v>375</v>
      </c>
      <c r="V27" s="290"/>
    </row>
    <row r="28" spans="1:22" ht="17.399999999999999">
      <c r="A28" s="139">
        <v>350</v>
      </c>
      <c r="B28" s="140">
        <v>440</v>
      </c>
      <c r="C28" s="141">
        <f t="shared" si="0"/>
        <v>567</v>
      </c>
      <c r="D28" s="141">
        <f t="shared" si="1"/>
        <v>579</v>
      </c>
      <c r="E28" s="141">
        <f t="shared" si="2"/>
        <v>605</v>
      </c>
      <c r="F28" s="142">
        <f t="shared" si="3"/>
        <v>174.636</v>
      </c>
      <c r="G28" s="143">
        <f t="shared" si="4"/>
        <v>1.89</v>
      </c>
      <c r="H28" s="140">
        <v>150</v>
      </c>
      <c r="I28" s="140">
        <v>2</v>
      </c>
      <c r="J28" s="140">
        <f t="shared" si="5"/>
        <v>36.4</v>
      </c>
      <c r="K28" s="140">
        <v>50</v>
      </c>
      <c r="L28" s="140">
        <v>700</v>
      </c>
      <c r="M28" s="140" t="s">
        <v>396</v>
      </c>
      <c r="N28" s="140" t="s">
        <v>397</v>
      </c>
      <c r="O28" s="144">
        <f t="shared" si="6"/>
        <v>708.75</v>
      </c>
      <c r="P28" s="140" t="s">
        <v>395</v>
      </c>
      <c r="Q28" s="140" t="s">
        <v>388</v>
      </c>
      <c r="R28" s="147" t="s">
        <v>360</v>
      </c>
      <c r="S28" s="145" t="s">
        <v>392</v>
      </c>
      <c r="T28" s="145" t="s">
        <v>395</v>
      </c>
      <c r="U28" s="289" t="s">
        <v>375</v>
      </c>
      <c r="V28" s="290"/>
    </row>
    <row r="29" spans="1:22" ht="17.399999999999999">
      <c r="A29" s="139">
        <v>400</v>
      </c>
      <c r="B29" s="140">
        <v>440</v>
      </c>
      <c r="C29" s="141">
        <f t="shared" si="0"/>
        <v>648</v>
      </c>
      <c r="D29" s="141">
        <f t="shared" si="1"/>
        <v>579</v>
      </c>
      <c r="E29" s="141">
        <f t="shared" si="2"/>
        <v>691</v>
      </c>
      <c r="F29" s="142">
        <f t="shared" si="3"/>
        <v>199.584</v>
      </c>
      <c r="G29" s="143">
        <f t="shared" si="4"/>
        <v>2.16</v>
      </c>
      <c r="H29" s="140">
        <v>150</v>
      </c>
      <c r="I29" s="140">
        <v>2</v>
      </c>
      <c r="J29" s="140">
        <f t="shared" si="5"/>
        <v>41.6</v>
      </c>
      <c r="K29" s="140">
        <v>50</v>
      </c>
      <c r="L29" s="140">
        <v>800</v>
      </c>
      <c r="M29" s="140" t="s">
        <v>396</v>
      </c>
      <c r="N29" s="140" t="s">
        <v>397</v>
      </c>
      <c r="O29" s="144">
        <f t="shared" si="6"/>
        <v>810</v>
      </c>
      <c r="P29" s="140" t="s">
        <v>395</v>
      </c>
      <c r="Q29" s="140" t="s">
        <v>398</v>
      </c>
      <c r="R29" s="147" t="s">
        <v>360</v>
      </c>
      <c r="S29" s="145" t="s">
        <v>392</v>
      </c>
      <c r="T29" s="145" t="s">
        <v>399</v>
      </c>
      <c r="U29" s="289" t="s">
        <v>375</v>
      </c>
      <c r="V29" s="290"/>
    </row>
    <row r="30" spans="1:22" ht="17.399999999999999">
      <c r="A30" s="139">
        <v>450</v>
      </c>
      <c r="B30" s="140">
        <v>440</v>
      </c>
      <c r="C30" s="141">
        <f t="shared" si="0"/>
        <v>729</v>
      </c>
      <c r="D30" s="141">
        <f t="shared" si="1"/>
        <v>579</v>
      </c>
      <c r="E30" s="141">
        <f t="shared" si="2"/>
        <v>778</v>
      </c>
      <c r="F30" s="142"/>
      <c r="G30" s="143">
        <f t="shared" si="4"/>
        <v>1.9702702702702704</v>
      </c>
      <c r="H30" s="140">
        <v>185</v>
      </c>
      <c r="I30" s="140">
        <v>2</v>
      </c>
      <c r="J30" s="140">
        <f t="shared" si="5"/>
        <v>41.6</v>
      </c>
      <c r="K30" s="140">
        <v>50</v>
      </c>
      <c r="L30" s="140">
        <v>800</v>
      </c>
      <c r="M30" s="140" t="s">
        <v>396</v>
      </c>
      <c r="N30" s="140" t="s">
        <v>400</v>
      </c>
      <c r="O30" s="144">
        <f t="shared" si="6"/>
        <v>911.25</v>
      </c>
      <c r="P30" s="140" t="s">
        <v>401</v>
      </c>
      <c r="Q30" s="140" t="s">
        <v>398</v>
      </c>
      <c r="R30" s="147" t="s">
        <v>360</v>
      </c>
      <c r="S30" s="145" t="s">
        <v>392</v>
      </c>
      <c r="T30" s="145" t="s">
        <v>399</v>
      </c>
      <c r="U30" s="289" t="s">
        <v>375</v>
      </c>
      <c r="V30" s="290"/>
    </row>
    <row r="31" spans="1:22" ht="17.399999999999999">
      <c r="A31" s="139">
        <v>500</v>
      </c>
      <c r="B31" s="140">
        <v>440</v>
      </c>
      <c r="C31" s="141">
        <f t="shared" si="0"/>
        <v>810</v>
      </c>
      <c r="D31" s="141">
        <f t="shared" si="1"/>
        <v>579</v>
      </c>
      <c r="E31" s="141">
        <f t="shared" si="2"/>
        <v>864</v>
      </c>
      <c r="F31" s="142">
        <f t="shared" si="3"/>
        <v>249.48</v>
      </c>
      <c r="G31" s="143">
        <f t="shared" si="4"/>
        <v>2.189189189189189</v>
      </c>
      <c r="H31" s="140">
        <v>185</v>
      </c>
      <c r="I31" s="140">
        <v>2</v>
      </c>
      <c r="J31" s="140">
        <f t="shared" si="5"/>
        <v>52</v>
      </c>
      <c r="K31" s="140">
        <v>70</v>
      </c>
      <c r="L31" s="140">
        <v>1000</v>
      </c>
      <c r="M31" s="140" t="s">
        <v>402</v>
      </c>
      <c r="N31" s="140" t="s">
        <v>403</v>
      </c>
      <c r="O31" s="144">
        <f t="shared" si="6"/>
        <v>1012.5</v>
      </c>
      <c r="P31" s="140" t="s">
        <v>399</v>
      </c>
      <c r="Q31" s="140" t="s">
        <v>398</v>
      </c>
      <c r="R31" s="147" t="s">
        <v>360</v>
      </c>
      <c r="S31" s="145" t="s">
        <v>404</v>
      </c>
      <c r="T31" s="145" t="s">
        <v>405</v>
      </c>
      <c r="U31" s="289" t="s">
        <v>375</v>
      </c>
      <c r="V31" s="290"/>
    </row>
    <row r="32" spans="1:22" ht="17.399999999999999">
      <c r="A32" s="139">
        <v>600</v>
      </c>
      <c r="B32" s="140">
        <v>460</v>
      </c>
      <c r="C32" s="141">
        <f t="shared" si="0"/>
        <v>930</v>
      </c>
      <c r="D32" s="141">
        <f t="shared" si="1"/>
        <v>606</v>
      </c>
      <c r="E32" s="141">
        <f t="shared" si="2"/>
        <v>991</v>
      </c>
      <c r="F32" s="142">
        <f t="shared" si="3"/>
        <v>286.44</v>
      </c>
      <c r="G32" s="143">
        <f t="shared" si="4"/>
        <v>1.6756756756756757</v>
      </c>
      <c r="H32" s="140">
        <v>185</v>
      </c>
      <c r="I32" s="140">
        <v>3</v>
      </c>
      <c r="J32" s="140">
        <f t="shared" si="5"/>
        <v>62.4</v>
      </c>
      <c r="K32" s="140">
        <v>70</v>
      </c>
      <c r="L32" s="140">
        <v>1200</v>
      </c>
      <c r="M32" s="140" t="s">
        <v>406</v>
      </c>
      <c r="N32" s="140" t="s">
        <v>403</v>
      </c>
      <c r="O32" s="144">
        <f t="shared" si="6"/>
        <v>1162.5</v>
      </c>
      <c r="P32" s="140" t="s">
        <v>407</v>
      </c>
      <c r="Q32" s="140" t="s">
        <v>398</v>
      </c>
      <c r="R32" s="147" t="s">
        <v>360</v>
      </c>
      <c r="S32" s="145" t="s">
        <v>408</v>
      </c>
      <c r="T32" s="145" t="s">
        <v>405</v>
      </c>
      <c r="U32" s="140" t="s">
        <v>409</v>
      </c>
      <c r="V32" s="148" t="s">
        <v>410</v>
      </c>
    </row>
    <row r="33" spans="1:22" ht="17.399999999999999">
      <c r="A33" s="139">
        <v>700</v>
      </c>
      <c r="B33" s="140">
        <v>460</v>
      </c>
      <c r="C33" s="141">
        <f t="shared" si="0"/>
        <v>1085</v>
      </c>
      <c r="D33" s="141">
        <f t="shared" si="1"/>
        <v>606</v>
      </c>
      <c r="E33" s="141">
        <f t="shared" si="2"/>
        <v>1156</v>
      </c>
      <c r="F33" s="142">
        <f t="shared" si="3"/>
        <v>334.18</v>
      </c>
      <c r="G33" s="143">
        <f t="shared" si="4"/>
        <v>1.4662162162162162</v>
      </c>
      <c r="H33" s="140">
        <v>185</v>
      </c>
      <c r="I33" s="140">
        <v>4</v>
      </c>
      <c r="J33" s="140">
        <f t="shared" si="5"/>
        <v>65</v>
      </c>
      <c r="K33" s="140">
        <v>70</v>
      </c>
      <c r="L33" s="140">
        <v>1250</v>
      </c>
      <c r="M33" s="140" t="s">
        <v>411</v>
      </c>
      <c r="N33" s="140" t="s">
        <v>412</v>
      </c>
      <c r="O33" s="144">
        <f t="shared" si="6"/>
        <v>1356.25</v>
      </c>
      <c r="P33" s="147" t="s">
        <v>413</v>
      </c>
      <c r="Q33" s="140" t="s">
        <v>414</v>
      </c>
      <c r="R33" s="147" t="s">
        <v>413</v>
      </c>
      <c r="S33" s="145" t="s">
        <v>415</v>
      </c>
      <c r="T33" s="145" t="s">
        <v>416</v>
      </c>
      <c r="U33" s="140" t="s">
        <v>417</v>
      </c>
      <c r="V33" s="148" t="s">
        <v>418</v>
      </c>
    </row>
    <row r="34" spans="1:22" ht="17.399999999999999">
      <c r="A34" s="139">
        <v>750</v>
      </c>
      <c r="B34" s="140">
        <v>460</v>
      </c>
      <c r="C34" s="141">
        <f t="shared" si="0"/>
        <v>1163</v>
      </c>
      <c r="D34" s="141">
        <f t="shared" si="1"/>
        <v>606</v>
      </c>
      <c r="E34" s="141">
        <f t="shared" si="2"/>
        <v>1238</v>
      </c>
      <c r="F34" s="142">
        <f t="shared" si="3"/>
        <v>358.20400000000001</v>
      </c>
      <c r="G34" s="143">
        <f t="shared" si="4"/>
        <v>1.5716216216216217</v>
      </c>
      <c r="H34" s="140">
        <v>185</v>
      </c>
      <c r="I34" s="140">
        <v>4</v>
      </c>
      <c r="J34" s="140">
        <f t="shared" si="5"/>
        <v>65</v>
      </c>
      <c r="K34" s="140">
        <v>70</v>
      </c>
      <c r="L34" s="140">
        <v>1250</v>
      </c>
      <c r="M34" s="140" t="s">
        <v>411</v>
      </c>
      <c r="N34" s="140" t="s">
        <v>412</v>
      </c>
      <c r="O34" s="144">
        <f t="shared" si="6"/>
        <v>1453.75</v>
      </c>
      <c r="P34" s="147" t="s">
        <v>413</v>
      </c>
      <c r="Q34" s="140" t="s">
        <v>414</v>
      </c>
      <c r="R34" s="147" t="s">
        <v>413</v>
      </c>
      <c r="S34" s="145" t="s">
        <v>415</v>
      </c>
      <c r="T34" s="145" t="s">
        <v>419</v>
      </c>
      <c r="U34" s="140" t="s">
        <v>417</v>
      </c>
      <c r="V34" s="148" t="s">
        <v>418</v>
      </c>
    </row>
    <row r="35" spans="1:22" ht="17.399999999999999">
      <c r="A35" s="139">
        <v>800</v>
      </c>
      <c r="B35" s="140">
        <v>460</v>
      </c>
      <c r="C35" s="141">
        <f t="shared" si="0"/>
        <v>1240</v>
      </c>
      <c r="D35" s="141">
        <f t="shared" si="1"/>
        <v>606</v>
      </c>
      <c r="E35" s="141">
        <f t="shared" si="2"/>
        <v>1321</v>
      </c>
      <c r="F35" s="142">
        <f t="shared" si="3"/>
        <v>381.92</v>
      </c>
      <c r="G35" s="143">
        <f t="shared" si="4"/>
        <v>1.6756756756756757</v>
      </c>
      <c r="H35" s="140">
        <v>185</v>
      </c>
      <c r="I35" s="140">
        <v>4</v>
      </c>
      <c r="J35" s="140">
        <f t="shared" si="5"/>
        <v>83.2</v>
      </c>
      <c r="K35" s="140">
        <v>95</v>
      </c>
      <c r="L35" s="140">
        <v>1600</v>
      </c>
      <c r="M35" s="140" t="s">
        <v>420</v>
      </c>
      <c r="N35" s="140" t="s">
        <v>421</v>
      </c>
      <c r="O35" s="144">
        <f t="shared" si="6"/>
        <v>1550</v>
      </c>
      <c r="P35" s="147" t="s">
        <v>413</v>
      </c>
      <c r="Q35" s="140" t="s">
        <v>414</v>
      </c>
      <c r="R35" s="147" t="s">
        <v>413</v>
      </c>
      <c r="S35" s="145" t="s">
        <v>415</v>
      </c>
      <c r="T35" s="145" t="s">
        <v>419</v>
      </c>
      <c r="U35" s="140" t="s">
        <v>417</v>
      </c>
      <c r="V35" s="148" t="s">
        <v>418</v>
      </c>
    </row>
    <row r="36" spans="1:22" ht="17.399999999999999">
      <c r="A36" s="139">
        <v>1000</v>
      </c>
      <c r="B36" s="140">
        <v>460</v>
      </c>
      <c r="C36" s="141">
        <f t="shared" si="0"/>
        <v>1550</v>
      </c>
      <c r="D36" s="141">
        <f t="shared" si="1"/>
        <v>606</v>
      </c>
      <c r="E36" s="141">
        <f t="shared" si="2"/>
        <v>1651</v>
      </c>
      <c r="F36" s="142">
        <f t="shared" si="3"/>
        <v>477.4</v>
      </c>
      <c r="G36" s="143">
        <f t="shared" si="4"/>
        <v>1.6145833333333333</v>
      </c>
      <c r="H36" s="140">
        <v>240</v>
      </c>
      <c r="I36" s="140">
        <v>4</v>
      </c>
      <c r="J36" s="140">
        <f t="shared" si="5"/>
        <v>104</v>
      </c>
      <c r="K36" s="140">
        <v>120</v>
      </c>
      <c r="L36" s="140">
        <v>2000</v>
      </c>
      <c r="M36" s="140" t="s">
        <v>422</v>
      </c>
      <c r="N36" s="140" t="s">
        <v>423</v>
      </c>
      <c r="O36" s="144">
        <f t="shared" si="6"/>
        <v>1937.5</v>
      </c>
      <c r="P36" s="147" t="s">
        <v>413</v>
      </c>
      <c r="Q36" s="140" t="s">
        <v>424</v>
      </c>
      <c r="R36" s="140" t="s">
        <v>425</v>
      </c>
      <c r="S36" s="145" t="s">
        <v>415</v>
      </c>
      <c r="T36" s="145" t="s">
        <v>426</v>
      </c>
      <c r="U36" s="140" t="s">
        <v>417</v>
      </c>
      <c r="V36" s="148" t="s">
        <v>418</v>
      </c>
    </row>
    <row r="37" spans="1:22" ht="17.399999999999999">
      <c r="A37" s="139">
        <v>1200</v>
      </c>
      <c r="B37" s="140">
        <v>460</v>
      </c>
      <c r="C37" s="141">
        <f t="shared" si="0"/>
        <v>1860</v>
      </c>
      <c r="D37" s="141">
        <f t="shared" si="1"/>
        <v>606</v>
      </c>
      <c r="E37" s="141">
        <f t="shared" si="2"/>
        <v>1981</v>
      </c>
      <c r="F37" s="142">
        <f t="shared" si="3"/>
        <v>572.88</v>
      </c>
      <c r="G37" s="143">
        <f t="shared" si="4"/>
        <v>1.55</v>
      </c>
      <c r="H37" s="140">
        <v>300</v>
      </c>
      <c r="I37" s="140">
        <v>4</v>
      </c>
      <c r="J37" s="140">
        <f t="shared" si="5"/>
        <v>130</v>
      </c>
      <c r="K37" s="140">
        <v>150</v>
      </c>
      <c r="L37" s="140">
        <v>2500</v>
      </c>
      <c r="M37" s="140" t="s">
        <v>427</v>
      </c>
      <c r="N37" s="140" t="s">
        <v>428</v>
      </c>
      <c r="O37" s="144">
        <f t="shared" si="6"/>
        <v>2325</v>
      </c>
      <c r="P37" s="147" t="s">
        <v>413</v>
      </c>
      <c r="Q37" s="140"/>
      <c r="R37" s="140" t="s">
        <v>425</v>
      </c>
      <c r="S37" s="145" t="s">
        <v>415</v>
      </c>
      <c r="T37" s="145" t="s">
        <v>426</v>
      </c>
      <c r="U37" s="140" t="s">
        <v>417</v>
      </c>
      <c r="V37" s="148" t="s">
        <v>429</v>
      </c>
    </row>
    <row r="38" spans="1:22" ht="17.399999999999999">
      <c r="A38" s="139">
        <v>1250</v>
      </c>
      <c r="B38" s="140">
        <v>460</v>
      </c>
      <c r="C38" s="141">
        <f t="shared" si="0"/>
        <v>1937</v>
      </c>
      <c r="D38" s="141">
        <f t="shared" si="1"/>
        <v>606</v>
      </c>
      <c r="E38" s="141">
        <f t="shared" si="2"/>
        <v>2063</v>
      </c>
      <c r="F38" s="142">
        <f t="shared" si="3"/>
        <v>596.596</v>
      </c>
      <c r="G38" s="143">
        <f t="shared" si="4"/>
        <v>1.6141666666666667</v>
      </c>
      <c r="H38" s="140">
        <v>300</v>
      </c>
      <c r="I38" s="140">
        <v>4</v>
      </c>
      <c r="J38" s="140">
        <f t="shared" si="5"/>
        <v>130</v>
      </c>
      <c r="K38" s="140">
        <v>150</v>
      </c>
      <c r="L38" s="140">
        <v>2500</v>
      </c>
      <c r="M38" s="140" t="s">
        <v>430</v>
      </c>
      <c r="N38" s="140" t="s">
        <v>431</v>
      </c>
      <c r="O38" s="144">
        <f t="shared" si="6"/>
        <v>2421.25</v>
      </c>
      <c r="P38" s="147" t="s">
        <v>432</v>
      </c>
      <c r="Q38" s="140"/>
      <c r="R38" s="140" t="s">
        <v>433</v>
      </c>
      <c r="S38" s="145" t="s">
        <v>434</v>
      </c>
      <c r="T38" s="145" t="s">
        <v>435</v>
      </c>
      <c r="U38" s="140" t="s">
        <v>436</v>
      </c>
      <c r="V38" s="148" t="s">
        <v>429</v>
      </c>
    </row>
    <row r="39" spans="1:22" ht="17.399999999999999">
      <c r="A39" s="139">
        <v>1500</v>
      </c>
      <c r="B39" s="140">
        <v>460</v>
      </c>
      <c r="C39" s="141">
        <f t="shared" si="0"/>
        <v>2325</v>
      </c>
      <c r="D39" s="141">
        <f t="shared" si="1"/>
        <v>606</v>
      </c>
      <c r="E39" s="141">
        <f t="shared" si="2"/>
        <v>2476</v>
      </c>
      <c r="F39" s="142">
        <f t="shared" si="3"/>
        <v>716.1</v>
      </c>
      <c r="G39" s="143">
        <f t="shared" si="4"/>
        <v>1.55</v>
      </c>
      <c r="H39" s="140">
        <v>300</v>
      </c>
      <c r="I39" s="140">
        <v>5</v>
      </c>
      <c r="J39" s="140">
        <f t="shared" si="5"/>
        <v>130</v>
      </c>
      <c r="K39" s="140">
        <v>150</v>
      </c>
      <c r="L39" s="140">
        <v>2500</v>
      </c>
      <c r="M39" s="140" t="s">
        <v>430</v>
      </c>
      <c r="N39" s="140" t="s">
        <v>431</v>
      </c>
      <c r="O39" s="144">
        <f t="shared" si="6"/>
        <v>2906.25</v>
      </c>
      <c r="P39" s="147" t="s">
        <v>432</v>
      </c>
      <c r="Q39" s="140" t="s">
        <v>437</v>
      </c>
      <c r="R39" s="140" t="s">
        <v>433</v>
      </c>
      <c r="S39" s="145" t="s">
        <v>434</v>
      </c>
      <c r="T39" s="145" t="s">
        <v>438</v>
      </c>
      <c r="U39" s="140" t="s">
        <v>417</v>
      </c>
      <c r="V39" s="148" t="s">
        <v>439</v>
      </c>
    </row>
    <row r="40" spans="1:22" ht="17.399999999999999">
      <c r="A40" s="139">
        <v>1500</v>
      </c>
      <c r="B40" s="140">
        <v>650</v>
      </c>
      <c r="C40" s="141">
        <f t="shared" si="0"/>
        <v>1645</v>
      </c>
      <c r="D40" s="141">
        <f t="shared" si="1"/>
        <v>855</v>
      </c>
      <c r="E40" s="141">
        <f t="shared" si="2"/>
        <v>1755</v>
      </c>
      <c r="F40" s="142">
        <f t="shared" si="3"/>
        <v>506.66</v>
      </c>
      <c r="G40" s="143">
        <f t="shared" si="4"/>
        <v>1.7135416666666667</v>
      </c>
      <c r="H40" s="140">
        <v>240</v>
      </c>
      <c r="I40" s="140">
        <v>4</v>
      </c>
      <c r="J40" s="140">
        <f t="shared" si="5"/>
        <v>104</v>
      </c>
      <c r="K40" s="140">
        <v>120</v>
      </c>
      <c r="L40" s="140">
        <v>2000</v>
      </c>
      <c r="M40" s="140" t="s">
        <v>422</v>
      </c>
      <c r="N40" s="140" t="s">
        <v>423</v>
      </c>
      <c r="O40" s="144">
        <f t="shared" si="6"/>
        <v>2056.25</v>
      </c>
      <c r="P40" s="147" t="s">
        <v>413</v>
      </c>
      <c r="Q40" s="140"/>
      <c r="R40" s="140" t="s">
        <v>425</v>
      </c>
      <c r="S40" s="145" t="s">
        <v>415</v>
      </c>
      <c r="T40" s="145" t="s">
        <v>426</v>
      </c>
      <c r="U40" s="140" t="s">
        <v>417</v>
      </c>
      <c r="V40" s="148" t="s">
        <v>439</v>
      </c>
    </row>
    <row r="41" spans="1:22" ht="17.399999999999999">
      <c r="A41" s="139">
        <v>1600</v>
      </c>
      <c r="B41" s="140">
        <v>690</v>
      </c>
      <c r="C41" s="141">
        <f>ROUNDUP(A41/(B41*0.9)/3^0.5*1000/0.9,0)</f>
        <v>1653</v>
      </c>
      <c r="D41" s="141">
        <f>ROUNDUP(B41*2^0.5*0.93,0)</f>
        <v>908</v>
      </c>
      <c r="E41" s="141">
        <f>ROUNDUP(A41*1000/D41,0)</f>
        <v>1763</v>
      </c>
      <c r="F41" s="142">
        <f>30.8*100*C41/(1000*10)</f>
        <v>509.12400000000002</v>
      </c>
      <c r="G41" s="143">
        <f>C41/(H41*I41)</f>
        <v>1.721875</v>
      </c>
      <c r="H41" s="140">
        <v>240</v>
      </c>
      <c r="I41" s="140">
        <v>4</v>
      </c>
      <c r="J41" s="140">
        <f>L41*0.052</f>
        <v>104</v>
      </c>
      <c r="K41" s="140">
        <v>120</v>
      </c>
      <c r="L41" s="140">
        <v>2000</v>
      </c>
      <c r="M41" s="140" t="s">
        <v>422</v>
      </c>
      <c r="N41" s="140" t="s">
        <v>423</v>
      </c>
      <c r="O41" s="144">
        <f>SUM(C41*1.25)</f>
        <v>2066.25</v>
      </c>
      <c r="P41" s="147" t="s">
        <v>360</v>
      </c>
      <c r="Q41" s="140"/>
      <c r="R41" s="140" t="s">
        <v>425</v>
      </c>
      <c r="S41" s="145" t="s">
        <v>415</v>
      </c>
      <c r="T41" s="145" t="s">
        <v>426</v>
      </c>
      <c r="U41" s="140" t="s">
        <v>409</v>
      </c>
      <c r="V41" s="148" t="s">
        <v>492</v>
      </c>
    </row>
    <row r="42" spans="1:22" ht="17.399999999999999">
      <c r="A42" s="139">
        <v>2000</v>
      </c>
      <c r="B42" s="140">
        <v>460</v>
      </c>
      <c r="C42" s="141">
        <f t="shared" si="0"/>
        <v>3100</v>
      </c>
      <c r="D42" s="141">
        <f t="shared" si="1"/>
        <v>606</v>
      </c>
      <c r="E42" s="141">
        <f t="shared" si="2"/>
        <v>3301</v>
      </c>
      <c r="F42" s="142">
        <f t="shared" si="3"/>
        <v>954.8</v>
      </c>
      <c r="G42" s="143">
        <f t="shared" si="4"/>
        <v>1.2916666666666667</v>
      </c>
      <c r="H42" s="140">
        <v>400</v>
      </c>
      <c r="I42" s="140">
        <v>6</v>
      </c>
      <c r="J42" s="140">
        <f t="shared" si="5"/>
        <v>166.4</v>
      </c>
      <c r="K42" s="140">
        <v>185</v>
      </c>
      <c r="L42" s="140">
        <v>3200</v>
      </c>
      <c r="M42" s="140" t="s">
        <v>440</v>
      </c>
      <c r="N42" s="140" t="s">
        <v>441</v>
      </c>
      <c r="O42" s="144">
        <f t="shared" si="6"/>
        <v>3875</v>
      </c>
      <c r="P42" s="147" t="s">
        <v>413</v>
      </c>
      <c r="Q42" s="140" t="s">
        <v>442</v>
      </c>
      <c r="R42" s="140" t="s">
        <v>443</v>
      </c>
      <c r="S42" s="145" t="s">
        <v>415</v>
      </c>
      <c r="T42" s="145" t="s">
        <v>444</v>
      </c>
      <c r="U42" s="140" t="s">
        <v>417</v>
      </c>
      <c r="V42" s="148" t="s">
        <v>445</v>
      </c>
    </row>
    <row r="43" spans="1:22" ht="17.399999999999999">
      <c r="A43" s="139">
        <v>2000</v>
      </c>
      <c r="B43" s="140">
        <v>650</v>
      </c>
      <c r="C43" s="141">
        <f t="shared" si="0"/>
        <v>2194</v>
      </c>
      <c r="D43" s="141">
        <f t="shared" si="1"/>
        <v>855</v>
      </c>
      <c r="E43" s="141">
        <f t="shared" si="2"/>
        <v>2340</v>
      </c>
      <c r="F43" s="142">
        <f t="shared" si="3"/>
        <v>675.75199999999995</v>
      </c>
      <c r="G43" s="143">
        <f t="shared" si="4"/>
        <v>1.4626666666666666</v>
      </c>
      <c r="H43" s="140">
        <v>300</v>
      </c>
      <c r="I43" s="140">
        <v>5</v>
      </c>
      <c r="J43" s="140">
        <f t="shared" si="5"/>
        <v>130</v>
      </c>
      <c r="K43" s="140">
        <v>150</v>
      </c>
      <c r="L43" s="140">
        <v>2500</v>
      </c>
      <c r="M43" s="140" t="s">
        <v>427</v>
      </c>
      <c r="N43" s="140" t="s">
        <v>428</v>
      </c>
      <c r="O43" s="144">
        <f t="shared" si="6"/>
        <v>2742.5</v>
      </c>
      <c r="P43" s="147" t="s">
        <v>413</v>
      </c>
      <c r="Q43" s="140" t="s">
        <v>446</v>
      </c>
      <c r="R43" s="140" t="s">
        <v>425</v>
      </c>
      <c r="S43" s="145" t="s">
        <v>415</v>
      </c>
      <c r="T43" s="145" t="s">
        <v>438</v>
      </c>
      <c r="U43" s="140" t="s">
        <v>417</v>
      </c>
      <c r="V43" s="148" t="s">
        <v>439</v>
      </c>
    </row>
    <row r="44" spans="1:22" ht="17.399999999999999">
      <c r="A44" s="139">
        <v>2500</v>
      </c>
      <c r="B44" s="140">
        <v>460</v>
      </c>
      <c r="C44" s="141">
        <f t="shared" si="0"/>
        <v>3874</v>
      </c>
      <c r="D44" s="141">
        <f t="shared" si="1"/>
        <v>606</v>
      </c>
      <c r="E44" s="141">
        <f t="shared" si="2"/>
        <v>4126</v>
      </c>
      <c r="F44" s="142">
        <f t="shared" si="3"/>
        <v>1193.192</v>
      </c>
      <c r="G44" s="143">
        <f t="shared" si="4"/>
        <v>1.6141666666666667</v>
      </c>
      <c r="H44" s="140">
        <v>400</v>
      </c>
      <c r="I44" s="140">
        <v>6</v>
      </c>
      <c r="J44" s="140">
        <f t="shared" si="5"/>
        <v>208</v>
      </c>
      <c r="K44" s="140">
        <v>240</v>
      </c>
      <c r="L44" s="140">
        <v>4000</v>
      </c>
      <c r="M44" s="140" t="s">
        <v>447</v>
      </c>
      <c r="N44" s="140" t="s">
        <v>441</v>
      </c>
      <c r="O44" s="144">
        <f t="shared" si="6"/>
        <v>4842.5</v>
      </c>
      <c r="P44" s="147" t="s">
        <v>413</v>
      </c>
      <c r="Q44" s="140" t="s">
        <v>442</v>
      </c>
      <c r="R44" s="140" t="s">
        <v>443</v>
      </c>
      <c r="S44" s="145" t="s">
        <v>415</v>
      </c>
      <c r="T44" s="145" t="s">
        <v>448</v>
      </c>
      <c r="U44" s="140" t="s">
        <v>417</v>
      </c>
      <c r="V44" s="148" t="s">
        <v>445</v>
      </c>
    </row>
    <row r="45" spans="1:22" ht="17.399999999999999">
      <c r="A45" s="149">
        <v>2500</v>
      </c>
      <c r="B45" s="140">
        <v>650</v>
      </c>
      <c r="C45" s="141">
        <f t="shared" si="0"/>
        <v>2742</v>
      </c>
      <c r="D45" s="141">
        <f t="shared" si="1"/>
        <v>855</v>
      </c>
      <c r="E45" s="141">
        <f t="shared" si="2"/>
        <v>2924</v>
      </c>
      <c r="F45" s="150"/>
      <c r="G45" s="143">
        <f t="shared" si="4"/>
        <v>1.1425000000000001</v>
      </c>
      <c r="H45" s="140">
        <v>400</v>
      </c>
      <c r="I45" s="140">
        <v>6</v>
      </c>
      <c r="J45" s="140">
        <f t="shared" si="5"/>
        <v>166.4</v>
      </c>
      <c r="K45" s="140">
        <v>185</v>
      </c>
      <c r="L45" s="140">
        <v>3200</v>
      </c>
      <c r="M45" s="140" t="s">
        <v>440</v>
      </c>
      <c r="N45" s="140" t="s">
        <v>441</v>
      </c>
      <c r="O45" s="144">
        <f t="shared" si="6"/>
        <v>3427.5</v>
      </c>
      <c r="P45" s="147" t="s">
        <v>413</v>
      </c>
      <c r="Q45" s="140" t="s">
        <v>442</v>
      </c>
      <c r="R45" s="140" t="s">
        <v>443</v>
      </c>
      <c r="S45" s="145" t="s">
        <v>415</v>
      </c>
      <c r="T45" s="145" t="s">
        <v>444</v>
      </c>
      <c r="U45" s="140" t="s">
        <v>417</v>
      </c>
      <c r="V45" s="148" t="s">
        <v>445</v>
      </c>
    </row>
    <row r="46" spans="1:22" ht="17.399999999999999">
      <c r="A46" s="149">
        <v>3000</v>
      </c>
      <c r="B46" s="151">
        <v>460</v>
      </c>
      <c r="C46" s="152">
        <f>ROUNDUP(A46/(B46*0.9)/3^0.5*1000/0.9,0)</f>
        <v>4649</v>
      </c>
      <c r="D46" s="152">
        <f t="shared" si="1"/>
        <v>606</v>
      </c>
      <c r="E46" s="152">
        <f t="shared" si="2"/>
        <v>4951</v>
      </c>
      <c r="F46" s="150">
        <f>30.8*100*C46/(1000*10)</f>
        <v>1431.8920000000001</v>
      </c>
      <c r="G46" s="153">
        <f t="shared" si="4"/>
        <v>1.5496666666666667</v>
      </c>
      <c r="H46" s="151">
        <v>500</v>
      </c>
      <c r="I46" s="151">
        <v>6</v>
      </c>
      <c r="J46" s="151">
        <f t="shared" si="5"/>
        <v>208</v>
      </c>
      <c r="K46" s="151">
        <v>240</v>
      </c>
      <c r="L46" s="151">
        <v>4000</v>
      </c>
      <c r="M46" s="151" t="s">
        <v>447</v>
      </c>
      <c r="N46" s="151" t="s">
        <v>441</v>
      </c>
      <c r="O46" s="154">
        <f t="shared" si="6"/>
        <v>5811.25</v>
      </c>
      <c r="P46" s="155" t="s">
        <v>413</v>
      </c>
      <c r="Q46" s="151" t="s">
        <v>442</v>
      </c>
      <c r="R46" s="151" t="s">
        <v>443</v>
      </c>
      <c r="S46" s="145" t="s">
        <v>415</v>
      </c>
      <c r="T46" s="156" t="s">
        <v>449</v>
      </c>
      <c r="U46" s="151" t="s">
        <v>436</v>
      </c>
      <c r="V46" s="157" t="s">
        <v>450</v>
      </c>
    </row>
    <row r="47" spans="1:22" ht="18" thickBot="1">
      <c r="A47" s="158">
        <v>3000</v>
      </c>
      <c r="B47" s="159">
        <v>650</v>
      </c>
      <c r="C47" s="160">
        <f t="shared" si="0"/>
        <v>3290</v>
      </c>
      <c r="D47" s="160">
        <f t="shared" si="1"/>
        <v>855</v>
      </c>
      <c r="E47" s="160">
        <f t="shared" si="2"/>
        <v>3509</v>
      </c>
      <c r="F47" s="161">
        <f t="shared" si="3"/>
        <v>1013.32</v>
      </c>
      <c r="G47" s="162">
        <f t="shared" si="4"/>
        <v>1.3708333333333333</v>
      </c>
      <c r="H47" s="159">
        <v>400</v>
      </c>
      <c r="I47" s="159">
        <v>6</v>
      </c>
      <c r="J47" s="159">
        <f t="shared" si="5"/>
        <v>166.4</v>
      </c>
      <c r="K47" s="159">
        <v>185</v>
      </c>
      <c r="L47" s="159">
        <v>3200</v>
      </c>
      <c r="M47" s="159" t="s">
        <v>451</v>
      </c>
      <c r="N47" s="159" t="s">
        <v>452</v>
      </c>
      <c r="O47" s="163">
        <f t="shared" si="6"/>
        <v>4112.5</v>
      </c>
      <c r="P47" s="164" t="s">
        <v>453</v>
      </c>
      <c r="Q47" s="159" t="s">
        <v>442</v>
      </c>
      <c r="R47" s="159" t="s">
        <v>454</v>
      </c>
      <c r="S47" s="165" t="s">
        <v>455</v>
      </c>
      <c r="T47" s="159" t="s">
        <v>456</v>
      </c>
      <c r="U47" s="159" t="s">
        <v>409</v>
      </c>
      <c r="V47" s="166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/>
    <row r="2" spans="2:20" ht="18" thickBot="1">
      <c r="B2" s="305" t="s">
        <v>189</v>
      </c>
      <c r="C2" s="307" t="s">
        <v>190</v>
      </c>
      <c r="D2" s="307"/>
      <c r="E2" s="307"/>
      <c r="F2" s="307"/>
      <c r="G2" s="307"/>
      <c r="H2" s="307"/>
      <c r="I2" s="307"/>
      <c r="J2" s="307"/>
      <c r="K2" s="307"/>
      <c r="L2" s="308" t="s">
        <v>191</v>
      </c>
      <c r="M2" s="308"/>
      <c r="N2" s="308"/>
      <c r="O2" s="309" t="s">
        <v>192</v>
      </c>
      <c r="P2" s="309"/>
      <c r="Q2" s="309"/>
      <c r="R2" s="310" t="s">
        <v>193</v>
      </c>
      <c r="S2" s="310"/>
      <c r="T2" s="311"/>
    </row>
    <row r="3" spans="2:20" ht="17.399999999999999">
      <c r="B3" s="306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2021-07-08T04:46:15Z</dcterms:modified>
</cp:coreProperties>
</file>