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84" windowWidth="14268" windowHeight="12972" tabRatio="821" activeTab="1"/>
  </bookViews>
  <sheets>
    <sheet name="직병렬공진 동작점설계" sheetId="44" r:id="rId1"/>
    <sheet name="직렬 인덕터 설계" sheetId="45" r:id="rId2"/>
    <sheet name="설계 결과표" sheetId="28" r:id="rId3"/>
    <sheet name="SW 요청자료" sheetId="29" r:id="rId4"/>
    <sheet name="시운전데이터 및 매칭확인" sheetId="43" r:id="rId5"/>
    <sheet name="입력정류부" sheetId="40" r:id="rId6"/>
  </sheets>
  <calcPr calcId="145621"/>
</workbook>
</file>

<file path=xl/calcChain.xml><?xml version="1.0" encoding="utf-8"?>
<calcChain xmlns="http://schemas.openxmlformats.org/spreadsheetml/2006/main">
  <c r="M13" i="45" l="1"/>
  <c r="J13" i="45"/>
  <c r="G13" i="45"/>
  <c r="M8" i="45"/>
  <c r="M9" i="45" s="1"/>
  <c r="M11" i="45" s="1"/>
  <c r="J8" i="45"/>
  <c r="J9" i="45" s="1"/>
  <c r="J11" i="45" s="1"/>
  <c r="G8" i="45"/>
  <c r="G9" i="45" s="1"/>
  <c r="G11" i="45" s="1"/>
  <c r="K26" i="44" l="1"/>
  <c r="K25" i="44"/>
  <c r="K24" i="44"/>
  <c r="K27" i="44" l="1"/>
  <c r="S72" i="44" l="1"/>
  <c r="S74" i="44" s="1"/>
  <c r="E72" i="44"/>
  <c r="D72" i="44"/>
  <c r="C72" i="44"/>
  <c r="S66" i="44"/>
  <c r="S67" i="44" s="1"/>
  <c r="W55" i="44"/>
  <c r="O53" i="44"/>
  <c r="O56" i="44" s="1"/>
  <c r="O58" i="44" s="1"/>
  <c r="W48" i="44"/>
  <c r="O48" i="44"/>
  <c r="S47" i="44"/>
  <c r="S46" i="44"/>
  <c r="E44" i="44"/>
  <c r="D44" i="44"/>
  <c r="C44" i="44"/>
  <c r="W41" i="44"/>
  <c r="E37" i="44"/>
  <c r="D37" i="44"/>
  <c r="C37" i="44"/>
  <c r="W36" i="44"/>
  <c r="W35" i="44"/>
  <c r="O34" i="44"/>
  <c r="W30" i="44"/>
  <c r="O30" i="44"/>
  <c r="S27" i="44"/>
  <c r="S31" i="44" s="1"/>
  <c r="S34" i="44" s="1"/>
  <c r="S36" i="44" s="1"/>
  <c r="S38" i="44" s="1"/>
  <c r="W26" i="44"/>
  <c r="O26" i="44"/>
  <c r="O38" i="44" s="1"/>
  <c r="O39" i="44" s="1"/>
  <c r="O40" i="44" s="1"/>
  <c r="W22" i="44"/>
  <c r="O19" i="44"/>
  <c r="E16" i="44"/>
  <c r="E18" i="44" s="1"/>
  <c r="E21" i="44" s="1"/>
  <c r="D16" i="44"/>
  <c r="D18" i="44" s="1"/>
  <c r="D21" i="44" s="1"/>
  <c r="C16" i="44"/>
  <c r="C18" i="44" s="1"/>
  <c r="C21" i="44" s="1"/>
  <c r="C59" i="44" s="1"/>
  <c r="W15" i="44"/>
  <c r="W16" i="44" s="1"/>
  <c r="W17" i="44" s="1"/>
  <c r="O13" i="44"/>
  <c r="C11" i="44"/>
  <c r="E10" i="44"/>
  <c r="D10" i="44"/>
  <c r="D11" i="44" s="1"/>
  <c r="C10" i="44"/>
  <c r="C41" i="44" s="1"/>
  <c r="C26" i="44" s="1"/>
  <c r="W8" i="44"/>
  <c r="S8" i="44"/>
  <c r="S9" i="44" s="1"/>
  <c r="O8" i="44"/>
  <c r="E6" i="44"/>
  <c r="E8" i="44" s="1"/>
  <c r="D6" i="44"/>
  <c r="D8" i="44" s="1"/>
  <c r="C6" i="44"/>
  <c r="C8" i="44" s="1"/>
  <c r="S12" i="44" l="1"/>
  <c r="S15" i="44" s="1"/>
  <c r="S17" i="44" s="1"/>
  <c r="S19" i="44" s="1"/>
  <c r="O41" i="44"/>
  <c r="O42" i="44" s="1"/>
  <c r="D41" i="44"/>
  <c r="D26" i="44" s="1"/>
  <c r="S50" i="44"/>
  <c r="S53" i="44" s="1"/>
  <c r="S56" i="44" s="1"/>
  <c r="S58" i="44" s="1"/>
  <c r="C23" i="44"/>
  <c r="C24" i="44" s="1"/>
  <c r="C28" i="44" s="1"/>
  <c r="E23" i="44"/>
  <c r="E24" i="44" s="1"/>
  <c r="E22" i="44"/>
  <c r="E59" i="44"/>
  <c r="E11" i="44"/>
  <c r="E41" i="44"/>
  <c r="E26" i="44" s="1"/>
  <c r="S20" i="44"/>
  <c r="C64" i="44"/>
  <c r="C67" i="44" s="1"/>
  <c r="C65" i="44"/>
  <c r="C58" i="44"/>
  <c r="D59" i="44"/>
  <c r="D23" i="44"/>
  <c r="D24" i="44" s="1"/>
  <c r="D22" i="44"/>
  <c r="C22" i="44"/>
  <c r="S39" i="44"/>
  <c r="S75" i="44"/>
  <c r="S28" i="44"/>
  <c r="O35" i="44"/>
  <c r="S59" i="44" l="1"/>
  <c r="C25" i="44"/>
  <c r="D28" i="44"/>
  <c r="D25" i="44"/>
  <c r="D64" i="44"/>
  <c r="D67" i="44" s="1"/>
  <c r="D65" i="44"/>
  <c r="D58" i="44"/>
  <c r="E65" i="44"/>
  <c r="E58" i="44"/>
  <c r="E64" i="44"/>
  <c r="E67" i="44" s="1"/>
  <c r="C32" i="44"/>
  <c r="C36" i="44" s="1"/>
  <c r="C29" i="44"/>
  <c r="C30" i="44"/>
  <c r="C48" i="44"/>
  <c r="E28" i="44"/>
  <c r="E25" i="44"/>
  <c r="C31" i="44" l="1"/>
  <c r="C33" i="44"/>
  <c r="C43" i="44" s="1"/>
  <c r="C46" i="44" s="1"/>
  <c r="C71" i="44" s="1"/>
  <c r="C34" i="44"/>
  <c r="C35" i="44"/>
  <c r="C38" i="44" s="1"/>
  <c r="C55" i="44"/>
  <c r="C49" i="44"/>
  <c r="C50" i="44" s="1"/>
  <c r="C51" i="44" s="1"/>
  <c r="C47" i="44"/>
  <c r="C45" i="44"/>
  <c r="E48" i="44"/>
  <c r="E32" i="44"/>
  <c r="E36" i="44" s="1"/>
  <c r="E29" i="44"/>
  <c r="E45" i="44"/>
  <c r="E30" i="44"/>
  <c r="D30" i="44"/>
  <c r="D48" i="44"/>
  <c r="D32" i="44"/>
  <c r="D36" i="44" s="1"/>
  <c r="D29" i="44"/>
  <c r="D31" i="44" l="1"/>
  <c r="E35" i="44"/>
  <c r="E38" i="44" s="1"/>
  <c r="D33" i="44"/>
  <c r="D43" i="44" s="1"/>
  <c r="D46" i="44" s="1"/>
  <c r="D71" i="44" s="1"/>
  <c r="D34" i="44"/>
  <c r="E47" i="44"/>
  <c r="E49" i="44"/>
  <c r="E50" i="44" s="1"/>
  <c r="E51" i="44" s="1"/>
  <c r="E55" i="44"/>
  <c r="C60" i="44"/>
  <c r="C68" i="44"/>
  <c r="E31" i="44"/>
  <c r="D49" i="44"/>
  <c r="D50" i="44" s="1"/>
  <c r="D51" i="44" s="1"/>
  <c r="D55" i="44"/>
  <c r="D47" i="44"/>
  <c r="D35" i="44"/>
  <c r="D38" i="44" s="1"/>
  <c r="D45" i="44"/>
  <c r="E34" i="44"/>
  <c r="E33" i="44"/>
  <c r="E43" i="44" s="1"/>
  <c r="E46" i="44" s="1"/>
  <c r="E71" i="44" s="1"/>
  <c r="D68" i="44" l="1"/>
  <c r="D60" i="44"/>
  <c r="E68" i="44"/>
  <c r="E60" i="44"/>
  <c r="C73" i="44"/>
  <c r="C76" i="44" s="1"/>
  <c r="C75" i="44"/>
  <c r="C78" i="44" s="1"/>
  <c r="C80" i="44" s="1"/>
  <c r="C74" i="44"/>
  <c r="C77" i="44" s="1"/>
  <c r="C82" i="44" l="1"/>
  <c r="C97" i="44"/>
  <c r="D75" i="44"/>
  <c r="D78" i="44" s="1"/>
  <c r="D80" i="44" s="1"/>
  <c r="D74" i="44"/>
  <c r="D77" i="44" s="1"/>
  <c r="D73" i="44"/>
  <c r="D76" i="44" s="1"/>
  <c r="C94" i="44"/>
  <c r="C88" i="44"/>
  <c r="C86" i="44"/>
  <c r="C92" i="44" s="1"/>
  <c r="E75" i="44"/>
  <c r="E78" i="44" s="1"/>
  <c r="E80" i="44" s="1"/>
  <c r="E74" i="44"/>
  <c r="E77" i="44" s="1"/>
  <c r="E73" i="44"/>
  <c r="E76" i="44" s="1"/>
  <c r="C93" i="44"/>
  <c r="C87" i="44"/>
  <c r="C85" i="44"/>
  <c r="C91" i="44" s="1"/>
  <c r="D94" i="44" l="1"/>
  <c r="D88" i="44"/>
  <c r="D86" i="44"/>
  <c r="D92" i="44" s="1"/>
  <c r="D82" i="44"/>
  <c r="D97" i="44"/>
  <c r="E85" i="44"/>
  <c r="E91" i="44" s="1"/>
  <c r="E93" i="44"/>
  <c r="E87" i="44"/>
  <c r="E86" i="44"/>
  <c r="E92" i="44" s="1"/>
  <c r="E94" i="44"/>
  <c r="E88" i="44"/>
  <c r="E97" i="44"/>
  <c r="E82" i="44"/>
  <c r="D85" i="44"/>
  <c r="D91" i="44" s="1"/>
  <c r="D93" i="44"/>
  <c r="D87" i="44"/>
  <c r="AD3" i="43" l="1"/>
  <c r="Z3" i="43"/>
  <c r="L3" i="43"/>
  <c r="AB3" i="43" s="1"/>
  <c r="M3" i="43" l="1"/>
  <c r="T3" i="43" s="1"/>
  <c r="S3" i="43"/>
  <c r="AA3" i="43" l="1"/>
  <c r="O3" i="43"/>
  <c r="V3" i="43"/>
  <c r="N3" i="43"/>
  <c r="Q3" i="43"/>
  <c r="R3" i="43" s="1"/>
  <c r="U3" i="43" l="1"/>
  <c r="W3" i="43"/>
  <c r="X3" i="43" s="1"/>
  <c r="AC3" i="43"/>
  <c r="J47" i="40" l="1"/>
  <c r="D47" i="40"/>
  <c r="E47" i="40" s="1"/>
  <c r="C47" i="40"/>
  <c r="O47" i="40" s="1"/>
  <c r="O46" i="40"/>
  <c r="J46" i="40"/>
  <c r="E46" i="40"/>
  <c r="D46" i="40"/>
  <c r="C46" i="40"/>
  <c r="G46" i="40" s="1"/>
  <c r="O45" i="40"/>
  <c r="J45" i="40"/>
  <c r="D45" i="40"/>
  <c r="E45" i="40" s="1"/>
  <c r="C45" i="40"/>
  <c r="G45" i="40" s="1"/>
  <c r="O44" i="40"/>
  <c r="J44" i="40"/>
  <c r="G44" i="40"/>
  <c r="F44" i="40"/>
  <c r="D44" i="40"/>
  <c r="E44" i="40" s="1"/>
  <c r="C44" i="40"/>
  <c r="O43" i="40"/>
  <c r="J43" i="40"/>
  <c r="G43" i="40"/>
  <c r="F43" i="40"/>
  <c r="E43" i="40"/>
  <c r="D43" i="40"/>
  <c r="C43" i="40"/>
  <c r="O42" i="40"/>
  <c r="J42" i="40"/>
  <c r="G42" i="40"/>
  <c r="F42" i="40"/>
  <c r="D42" i="40"/>
  <c r="E42" i="40" s="1"/>
  <c r="C42" i="40"/>
  <c r="J41" i="40"/>
  <c r="D41" i="40"/>
  <c r="E41" i="40" s="1"/>
  <c r="C41" i="40"/>
  <c r="O41" i="40" s="1"/>
  <c r="J40" i="40"/>
  <c r="D40" i="40"/>
  <c r="E40" i="40" s="1"/>
  <c r="C40" i="40"/>
  <c r="O40" i="40" s="1"/>
  <c r="O39" i="40"/>
  <c r="J39" i="40"/>
  <c r="D39" i="40"/>
  <c r="E39" i="40" s="1"/>
  <c r="C39" i="40"/>
  <c r="G39" i="40" s="1"/>
  <c r="O38" i="40"/>
  <c r="J38" i="40"/>
  <c r="D38" i="40"/>
  <c r="E38" i="40" s="1"/>
  <c r="C38" i="40"/>
  <c r="G38" i="40" s="1"/>
  <c r="O37" i="40"/>
  <c r="J37" i="40"/>
  <c r="G37" i="40"/>
  <c r="D37" i="40"/>
  <c r="E37" i="40" s="1"/>
  <c r="C37" i="40"/>
  <c r="F37" i="40" s="1"/>
  <c r="O36" i="40"/>
  <c r="J36" i="40"/>
  <c r="G36" i="40"/>
  <c r="F36" i="40"/>
  <c r="E36" i="40"/>
  <c r="D36" i="40"/>
  <c r="C36" i="40"/>
  <c r="O35" i="40"/>
  <c r="J35" i="40"/>
  <c r="G35" i="40"/>
  <c r="F35" i="40"/>
  <c r="E35" i="40"/>
  <c r="D35" i="40"/>
  <c r="C35" i="40"/>
  <c r="J34" i="40"/>
  <c r="G34" i="40"/>
  <c r="F34" i="40"/>
  <c r="D34" i="40"/>
  <c r="E34" i="40" s="1"/>
  <c r="C34" i="40"/>
  <c r="O34" i="40" s="1"/>
  <c r="J33" i="40"/>
  <c r="D33" i="40"/>
  <c r="E33" i="40" s="1"/>
  <c r="C33" i="40"/>
  <c r="O33" i="40" s="1"/>
  <c r="J32" i="40"/>
  <c r="D32" i="40"/>
  <c r="E32" i="40" s="1"/>
  <c r="C32" i="40"/>
  <c r="O32" i="40" s="1"/>
  <c r="O31" i="40"/>
  <c r="J31" i="40"/>
  <c r="D31" i="40"/>
  <c r="E31" i="40" s="1"/>
  <c r="C31" i="40"/>
  <c r="G31" i="40" s="1"/>
  <c r="O30" i="40"/>
  <c r="J30" i="40"/>
  <c r="D30" i="40"/>
  <c r="E30" i="40" s="1"/>
  <c r="C30" i="40"/>
  <c r="G30" i="40" s="1"/>
  <c r="O29" i="40"/>
  <c r="J29" i="40"/>
  <c r="G29" i="40"/>
  <c r="F29" i="40"/>
  <c r="E29" i="40"/>
  <c r="D29" i="40"/>
  <c r="C29" i="40"/>
  <c r="O28" i="40"/>
  <c r="J28" i="40"/>
  <c r="G28" i="40"/>
  <c r="F28" i="40"/>
  <c r="E28" i="40"/>
  <c r="D28" i="40"/>
  <c r="C28" i="40"/>
  <c r="J27" i="40"/>
  <c r="G27" i="40"/>
  <c r="F27" i="40"/>
  <c r="D27" i="40"/>
  <c r="E27" i="40" s="1"/>
  <c r="C27" i="40"/>
  <c r="O27" i="40" s="1"/>
  <c r="J26" i="40"/>
  <c r="D26" i="40"/>
  <c r="E26" i="40" s="1"/>
  <c r="C26" i="40"/>
  <c r="O26" i="40" s="1"/>
  <c r="J25" i="40"/>
  <c r="D25" i="40"/>
  <c r="E25" i="40" s="1"/>
  <c r="C25" i="40"/>
  <c r="O25" i="40" s="1"/>
  <c r="O24" i="40"/>
  <c r="J24" i="40"/>
  <c r="D24" i="40"/>
  <c r="E24" i="40" s="1"/>
  <c r="C24" i="40"/>
  <c r="G24" i="40" s="1"/>
  <c r="O23" i="40"/>
  <c r="J23" i="40"/>
  <c r="D23" i="40"/>
  <c r="E23" i="40" s="1"/>
  <c r="C23" i="40"/>
  <c r="G23" i="40" s="1"/>
  <c r="O22" i="40"/>
  <c r="J22" i="40"/>
  <c r="G22" i="40"/>
  <c r="D22" i="40"/>
  <c r="E22" i="40" s="1"/>
  <c r="C22" i="40"/>
  <c r="F22" i="40" s="1"/>
  <c r="O21" i="40"/>
  <c r="J21" i="40"/>
  <c r="G21" i="40"/>
  <c r="F21" i="40"/>
  <c r="E21" i="40"/>
  <c r="D21" i="40"/>
  <c r="C21" i="40"/>
  <c r="O20" i="40"/>
  <c r="J20" i="40"/>
  <c r="G20" i="40"/>
  <c r="F20" i="40"/>
  <c r="E20" i="40"/>
  <c r="D20" i="40"/>
  <c r="C20" i="40"/>
  <c r="J19" i="40"/>
  <c r="G19" i="40"/>
  <c r="F19" i="40"/>
  <c r="D19" i="40"/>
  <c r="E19" i="40" s="1"/>
  <c r="C19" i="40"/>
  <c r="O19" i="40" s="1"/>
  <c r="J18" i="40"/>
  <c r="D18" i="40"/>
  <c r="E18" i="40" s="1"/>
  <c r="C18" i="40"/>
  <c r="O18" i="40" s="1"/>
  <c r="J17" i="40"/>
  <c r="D17" i="40"/>
  <c r="E17" i="40" s="1"/>
  <c r="C17" i="40"/>
  <c r="O17" i="40" s="1"/>
  <c r="O16" i="40"/>
  <c r="J16" i="40"/>
  <c r="D16" i="40"/>
  <c r="E16" i="40" s="1"/>
  <c r="C16" i="40"/>
  <c r="G16" i="40" s="1"/>
  <c r="O15" i="40"/>
  <c r="J15" i="40"/>
  <c r="D15" i="40"/>
  <c r="E15" i="40" s="1"/>
  <c r="C15" i="40"/>
  <c r="G15" i="40" s="1"/>
  <c r="O14" i="40"/>
  <c r="J14" i="40"/>
  <c r="G14" i="40"/>
  <c r="F14" i="40"/>
  <c r="E14" i="40"/>
  <c r="D14" i="40"/>
  <c r="C14" i="40"/>
  <c r="O13" i="40"/>
  <c r="J13" i="40"/>
  <c r="G13" i="40"/>
  <c r="F13" i="40"/>
  <c r="E13" i="40"/>
  <c r="D13" i="40"/>
  <c r="C13" i="40"/>
  <c r="O12" i="40"/>
  <c r="J12" i="40"/>
  <c r="G12" i="40"/>
  <c r="F12" i="40"/>
  <c r="E12" i="40"/>
  <c r="D12" i="40"/>
  <c r="C12" i="40"/>
  <c r="J11" i="40"/>
  <c r="G11" i="40"/>
  <c r="F11" i="40"/>
  <c r="D11" i="40"/>
  <c r="E11" i="40" s="1"/>
  <c r="C11" i="40"/>
  <c r="O11" i="40" s="1"/>
  <c r="J10" i="40"/>
  <c r="D10" i="40"/>
  <c r="E10" i="40" s="1"/>
  <c r="C10" i="40"/>
  <c r="O10" i="40" s="1"/>
  <c r="J9" i="40"/>
  <c r="D9" i="40"/>
  <c r="E9" i="40" s="1"/>
  <c r="C9" i="40"/>
  <c r="O9" i="40" s="1"/>
  <c r="O8" i="40"/>
  <c r="J8" i="40"/>
  <c r="D8" i="40"/>
  <c r="E8" i="40" s="1"/>
  <c r="C8" i="40"/>
  <c r="G8" i="40" s="1"/>
  <c r="O7" i="40"/>
  <c r="J7" i="40"/>
  <c r="D7" i="40"/>
  <c r="E7" i="40" s="1"/>
  <c r="C7" i="40"/>
  <c r="G7" i="40" s="1"/>
  <c r="O6" i="40"/>
  <c r="J6" i="40"/>
  <c r="G6" i="40"/>
  <c r="F6" i="40"/>
  <c r="E6" i="40"/>
  <c r="D6" i="40"/>
  <c r="C6" i="40"/>
  <c r="O5" i="40"/>
  <c r="J5" i="40"/>
  <c r="G5" i="40"/>
  <c r="F5" i="40"/>
  <c r="E5" i="40"/>
  <c r="D5" i="40"/>
  <c r="C5" i="40"/>
  <c r="O4" i="40"/>
  <c r="J4" i="40"/>
  <c r="G4" i="40"/>
  <c r="F4" i="40"/>
  <c r="E4" i="40"/>
  <c r="D4" i="40"/>
  <c r="C4" i="40"/>
  <c r="F33" i="40" l="1"/>
  <c r="F41" i="40"/>
  <c r="F10" i="40"/>
  <c r="G10" i="40"/>
  <c r="G18" i="40"/>
  <c r="F25" i="40"/>
  <c r="F32" i="40"/>
  <c r="G33" i="40"/>
  <c r="F40" i="40"/>
  <c r="G41" i="40"/>
  <c r="F47" i="40"/>
  <c r="F17" i="40"/>
  <c r="F8" i="40"/>
  <c r="G9" i="40"/>
  <c r="F16" i="40"/>
  <c r="G17" i="40"/>
  <c r="F24" i="40"/>
  <c r="G25" i="40"/>
  <c r="F31" i="40"/>
  <c r="G32" i="40"/>
  <c r="F39" i="40"/>
  <c r="G40" i="40"/>
  <c r="F46" i="40"/>
  <c r="G47" i="40"/>
  <c r="F18" i="40"/>
  <c r="F26" i="40"/>
  <c r="F9" i="40"/>
  <c r="G26" i="40"/>
  <c r="F7" i="40"/>
  <c r="F15" i="40"/>
  <c r="F23" i="40"/>
  <c r="F38" i="40"/>
  <c r="E45" i="29" l="1"/>
  <c r="E26" i="29"/>
  <c r="E27" i="29" s="1"/>
  <c r="E10" i="29"/>
  <c r="F12" i="29"/>
  <c r="F13" i="29"/>
  <c r="E12" i="29"/>
  <c r="E13" i="29" s="1"/>
</calcChain>
</file>

<file path=xl/sharedStrings.xml><?xml version="1.0" encoding="utf-8"?>
<sst xmlns="http://schemas.openxmlformats.org/spreadsheetml/2006/main" count="1363" uniqueCount="717">
  <si>
    <t>V</t>
    <phoneticPr fontId="7" type="noConversion"/>
  </si>
  <si>
    <t>A</t>
    <phoneticPr fontId="7" type="noConversion"/>
  </si>
  <si>
    <t>%</t>
    <phoneticPr fontId="7" type="noConversion"/>
  </si>
  <si>
    <t>내부직경</t>
    <phoneticPr fontId="7" type="noConversion"/>
  </si>
  <si>
    <t>mm</t>
    <phoneticPr fontId="7" type="noConversion"/>
  </si>
  <si>
    <t>uH</t>
    <phoneticPr fontId="7" type="noConversion"/>
  </si>
  <si>
    <t>uH</t>
  </si>
  <si>
    <t>uF</t>
  </si>
  <si>
    <t>kW</t>
    <phoneticPr fontId="7" type="noConversion"/>
  </si>
  <si>
    <t>uF</t>
    <phoneticPr fontId="7" type="noConversion"/>
  </si>
  <si>
    <t>kHz</t>
    <phoneticPr fontId="7" type="noConversion"/>
  </si>
  <si>
    <t>직렬 인덕턴스 계산 공식</t>
    <phoneticPr fontId="7" type="noConversion"/>
  </si>
  <si>
    <t>고객사</t>
    <phoneticPr fontId="8" type="noConversion"/>
  </si>
  <si>
    <t>비고</t>
    <phoneticPr fontId="8" type="noConversion"/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</si>
  <si>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</si>
  <si>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</si>
  <si>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</si>
  <si>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</si>
  <si>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</si>
  <si>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</si>
  <si>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</si>
  <si>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</si>
  <si>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전류센싱 C/T</t>
    <phoneticPr fontId="8" type="noConversion"/>
  </si>
  <si>
    <t>DC BLOCKING CAP</t>
    <phoneticPr fontId="8" type="noConversion"/>
  </si>
  <si>
    <t>사용안함</t>
    <phoneticPr fontId="8" type="noConversion"/>
  </si>
  <si>
    <t xml:space="preserve">코일 </t>
    <phoneticPr fontId="8" type="noConversion"/>
  </si>
  <si>
    <t>코일 연결 구조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</si>
  <si>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</si>
  <si>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</si>
  <si>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</si>
  <si>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코일전류</t>
    <phoneticPr fontId="7" type="noConversion"/>
  </si>
  <si>
    <t>제어방식</t>
    <phoneticPr fontId="8" type="noConversion"/>
  </si>
  <si>
    <t>메인 컨트롤 보드</t>
    <phoneticPr fontId="7" type="noConversion"/>
  </si>
  <si>
    <t>확장(익스펜션) 보드</t>
    <phoneticPr fontId="7" type="noConversion"/>
  </si>
  <si>
    <t>모듈 컨트롤 보드</t>
    <phoneticPr fontId="7" type="noConversion"/>
  </si>
  <si>
    <t>게이트 드라이버 보드</t>
    <phoneticPr fontId="7" type="noConversion"/>
  </si>
  <si>
    <t>사용 재료</t>
    <phoneticPr fontId="8" type="noConversion"/>
  </si>
  <si>
    <t>타프피치 동</t>
    <phoneticPr fontId="8" type="noConversion"/>
  </si>
  <si>
    <t>Tesla</t>
    <phoneticPr fontId="7" type="noConversion"/>
  </si>
  <si>
    <t>중족단면적</t>
    <phoneticPr fontId="7" type="noConversion"/>
  </si>
  <si>
    <t>도체의 온도저항계수</t>
    <phoneticPr fontId="7" type="noConversion"/>
  </si>
  <si>
    <t>at 20℃</t>
    <phoneticPr fontId="7" type="noConversion"/>
  </si>
  <si>
    <t>도체의 온도</t>
    <phoneticPr fontId="7" type="noConversion"/>
  </si>
  <si>
    <t>℃</t>
  </si>
  <si>
    <t>VDC (동작: RUN 중)</t>
    <phoneticPr fontId="7" type="noConversion"/>
  </si>
  <si>
    <t xml:space="preserve">도체의 산출저항 </t>
    <phoneticPr fontId="7" type="noConversion"/>
  </si>
  <si>
    <t>주파수</t>
    <phoneticPr fontId="7" type="noConversion"/>
  </si>
  <si>
    <t>공진주파수</t>
    <phoneticPr fontId="7" type="noConversion"/>
  </si>
  <si>
    <t>배선길이</t>
    <phoneticPr fontId="7" type="noConversion"/>
  </si>
  <si>
    <t xml:space="preserve">두께 : 부스바 </t>
    <phoneticPr fontId="7" type="noConversion"/>
  </si>
  <si>
    <t>Min(스킨뎁스,두께)</t>
    <phoneticPr fontId="7" type="noConversion"/>
  </si>
  <si>
    <t>콘덴서</t>
    <phoneticPr fontId="7" type="noConversion"/>
  </si>
  <si>
    <t>DC LINK CAP RIPPLE Voltage</t>
    <phoneticPr fontId="7" type="noConversion"/>
  </si>
  <si>
    <t>단면적</t>
    <phoneticPr fontId="7" type="noConversion"/>
  </si>
  <si>
    <t>mmSQ당 전류</t>
    <phoneticPr fontId="7" type="noConversion"/>
  </si>
  <si>
    <t>nF</t>
    <phoneticPr fontId="8" type="noConversion"/>
  </si>
  <si>
    <t>C스너버 보드당 C갯수</t>
    <phoneticPr fontId="8" type="noConversion"/>
  </si>
  <si>
    <t>개</t>
    <phoneticPr fontId="8" type="noConversion"/>
  </si>
  <si>
    <t>인버터 출력전류</t>
    <phoneticPr fontId="8" type="noConversion"/>
  </si>
  <si>
    <t>Arms</t>
    <phoneticPr fontId="8" type="noConversion"/>
  </si>
  <si>
    <t>가로(외곽)</t>
    <phoneticPr fontId="7" type="noConversion"/>
  </si>
  <si>
    <t>작성일시</t>
    <phoneticPr fontId="9" type="noConversion"/>
  </si>
  <si>
    <t>요청 일시</t>
  </si>
  <si>
    <t>시운전일시</t>
    <phoneticPr fontId="9" type="noConversion"/>
  </si>
  <si>
    <t>납품 일시</t>
  </si>
  <si>
    <t>PROGRAM SPECIFICATION</t>
    <phoneticPr fontId="9" type="noConversion"/>
  </si>
  <si>
    <t>CLOCK</t>
    <phoneticPr fontId="9" type="noConversion"/>
  </si>
  <si>
    <t>CLOCK</t>
    <phoneticPr fontId="9" type="noConversion"/>
  </si>
  <si>
    <t>M</t>
    <phoneticPr fontId="9" type="noConversion"/>
  </si>
  <si>
    <t>SCALE</t>
    <phoneticPr fontId="9" type="noConversion"/>
  </si>
  <si>
    <t>분주</t>
    <phoneticPr fontId="9" type="noConversion"/>
  </si>
  <si>
    <t>ECAP_CLOCK_10HZ</t>
    <phoneticPr fontId="9" type="noConversion"/>
  </si>
  <si>
    <t>FREQUENCY</t>
    <phoneticPr fontId="9" type="noConversion"/>
  </si>
  <si>
    <t>PERIOD</t>
    <phoneticPr fontId="9" type="noConversion"/>
  </si>
  <si>
    <t>HALF PERIOD</t>
    <phoneticPr fontId="9" type="noConversion"/>
  </si>
  <si>
    <t>POWER</t>
    <phoneticPr fontId="9" type="noConversion"/>
  </si>
  <si>
    <t>MAXIMUM</t>
    <phoneticPr fontId="9" type="noConversion"/>
  </si>
  <si>
    <t>kW</t>
    <phoneticPr fontId="9" type="noConversion"/>
  </si>
  <si>
    <t>MINIMUM</t>
    <phoneticPr fontId="9" type="noConversion"/>
  </si>
  <si>
    <t>INPUT VOLTAGE</t>
    <phoneticPr fontId="9" type="noConversion"/>
  </si>
  <si>
    <t>VAC</t>
    <phoneticPr fontId="9" type="noConversion"/>
  </si>
  <si>
    <t>Vo MAX</t>
    <phoneticPr fontId="9" type="noConversion"/>
  </si>
  <si>
    <t>V</t>
    <phoneticPr fontId="9" type="noConversion"/>
  </si>
  <si>
    <t>INRUSH Voltage</t>
    <phoneticPr fontId="9" type="noConversion"/>
  </si>
  <si>
    <t>UVP</t>
    <phoneticPr fontId="9" type="noConversion"/>
  </si>
  <si>
    <t>V</t>
    <phoneticPr fontId="9" type="noConversion"/>
  </si>
  <si>
    <t>전류 센싱</t>
    <phoneticPr fontId="9" type="noConversion"/>
  </si>
  <si>
    <t>SHUNT</t>
    <phoneticPr fontId="9" type="noConversion"/>
  </si>
  <si>
    <t>A/50mV</t>
    <phoneticPr fontId="9" type="noConversion"/>
  </si>
  <si>
    <t>Io OCP</t>
    <phoneticPr fontId="9" type="noConversion"/>
  </si>
  <si>
    <t>A</t>
    <phoneticPr fontId="9" type="noConversion"/>
  </si>
  <si>
    <t>공진 전류 센싱
(한 모듈 기준)</t>
    <phoneticPr fontId="9" type="noConversion"/>
  </si>
  <si>
    <t>RESISTOR</t>
    <phoneticPr fontId="9" type="noConversion"/>
  </si>
  <si>
    <t>Ω</t>
    <phoneticPr fontId="9" type="noConversion"/>
  </si>
  <si>
    <t>PARALLEL</t>
    <phoneticPr fontId="9" type="noConversion"/>
  </si>
  <si>
    <t>개수</t>
    <phoneticPr fontId="9" type="noConversion"/>
  </si>
  <si>
    <t>CT</t>
    <phoneticPr fontId="9" type="noConversion"/>
  </si>
  <si>
    <t>:1</t>
    <phoneticPr fontId="9" type="noConversion"/>
  </si>
  <si>
    <t>실제 CURRENT</t>
    <phoneticPr fontId="9" type="noConversion"/>
  </si>
  <si>
    <t>IR RMS</t>
    <phoneticPr fontId="9" type="noConversion"/>
  </si>
  <si>
    <t>IR AVG(LCD)</t>
    <phoneticPr fontId="9" type="noConversion"/>
  </si>
  <si>
    <t>IR OCP</t>
    <phoneticPr fontId="9" type="noConversion"/>
  </si>
  <si>
    <t>AD REF
(4 ~ 20mA)</t>
    <phoneticPr fontId="9" type="noConversion"/>
  </si>
  <si>
    <t xml:space="preserve">kW </t>
    <phoneticPr fontId="9" type="noConversion"/>
  </si>
  <si>
    <t>MINIMUM</t>
    <phoneticPr fontId="9" type="noConversion"/>
  </si>
  <si>
    <t>DA POWER</t>
    <phoneticPr fontId="9" type="noConversion"/>
  </si>
  <si>
    <t>DA FREQUENCY</t>
    <phoneticPr fontId="9" type="noConversion"/>
  </si>
  <si>
    <t>Hz</t>
    <phoneticPr fontId="9" type="noConversion"/>
  </si>
  <si>
    <t>공진 CAP</t>
    <phoneticPr fontId="9" type="noConversion"/>
  </si>
  <si>
    <t>RESONANT_CAP</t>
    <phoneticPr fontId="9" type="noConversion"/>
  </si>
  <si>
    <t xml:space="preserve">uF </t>
    <phoneticPr fontId="9" type="noConversion"/>
  </si>
  <si>
    <t>VOLTAGE</t>
    <phoneticPr fontId="9" type="noConversion"/>
  </si>
  <si>
    <t>SET_Vr</t>
    <phoneticPr fontId="9" type="noConversion"/>
  </si>
  <si>
    <t>M/T</t>
    <phoneticPr fontId="9" type="noConversion"/>
  </si>
  <si>
    <t>SET_TURN_RATIO</t>
  </si>
  <si>
    <t>동작 주파수</t>
    <phoneticPr fontId="9" type="noConversion"/>
  </si>
  <si>
    <t>START FREQUENCY</t>
    <phoneticPr fontId="9" type="noConversion"/>
  </si>
  <si>
    <t>PWM FREQUENCY</t>
    <phoneticPr fontId="9" type="noConversion"/>
  </si>
  <si>
    <t>MODULE 수량</t>
    <phoneticPr fontId="9" type="noConversion"/>
  </si>
  <si>
    <t>EA</t>
    <phoneticPr fontId="9" type="noConversion"/>
  </si>
  <si>
    <t>DEAD TIME</t>
    <phoneticPr fontId="9" type="noConversion"/>
  </si>
  <si>
    <t xml:space="preserve">uS </t>
    <phoneticPr fontId="9" type="noConversion"/>
  </si>
  <si>
    <t>분주 주파수</t>
    <phoneticPr fontId="9" type="noConversion"/>
  </si>
  <si>
    <t>SET DEAD TIME</t>
    <phoneticPr fontId="9" type="noConversion"/>
  </si>
  <si>
    <t>COUNT</t>
    <phoneticPr fontId="9" type="noConversion"/>
  </si>
  <si>
    <t>EXT FAULT</t>
    <phoneticPr fontId="9" type="noConversion"/>
  </si>
  <si>
    <t>FLT1</t>
    <phoneticPr fontId="9" type="noConversion"/>
  </si>
  <si>
    <t>DOOR</t>
    <phoneticPr fontId="9" type="noConversion"/>
  </si>
  <si>
    <t>○</t>
    <phoneticPr fontId="9" type="noConversion"/>
  </si>
  <si>
    <t>FLT2</t>
  </si>
  <si>
    <t>OPP</t>
    <phoneticPr fontId="9" type="noConversion"/>
  </si>
  <si>
    <t>FLT3</t>
  </si>
  <si>
    <t>OTP</t>
    <phoneticPr fontId="9" type="noConversion"/>
  </si>
  <si>
    <t>FLT4</t>
  </si>
  <si>
    <t>FLOW</t>
    <phoneticPr fontId="9" type="noConversion"/>
  </si>
  <si>
    <t>FLT5</t>
  </si>
  <si>
    <t>MA/CB AUX</t>
    <phoneticPr fontId="9" type="noConversion"/>
  </si>
  <si>
    <t>FLT6</t>
  </si>
  <si>
    <t>OVGR</t>
    <phoneticPr fontId="9" type="noConversion"/>
  </si>
  <si>
    <t>FLT7</t>
  </si>
  <si>
    <t>WATER LEAK</t>
    <phoneticPr fontId="9" type="noConversion"/>
  </si>
  <si>
    <t>FLT10</t>
    <phoneticPr fontId="9" type="noConversion"/>
  </si>
  <si>
    <t>COIL TOUCH</t>
    <phoneticPr fontId="9" type="noConversion"/>
  </si>
  <si>
    <t>IIN OCP</t>
    <phoneticPr fontId="9" type="noConversion"/>
  </si>
  <si>
    <t>MD FAULT</t>
    <phoneticPr fontId="9" type="noConversion"/>
  </si>
  <si>
    <t>CONTROL MODE</t>
    <phoneticPr fontId="9" type="noConversion"/>
  </si>
  <si>
    <t>PSPWM</t>
    <phoneticPr fontId="9" type="noConversion"/>
  </si>
  <si>
    <t>공진회로</t>
    <phoneticPr fontId="9" type="noConversion"/>
  </si>
  <si>
    <t>직병렬 공진회로</t>
    <phoneticPr fontId="9" type="noConversion"/>
  </si>
  <si>
    <t>특이 사항</t>
    <phoneticPr fontId="9" type="noConversion"/>
  </si>
  <si>
    <t>양쪽 출력이 서로 반대 방향의 회전이 되어야 함.(시계 방향, 반 시계 방향)</t>
  </si>
  <si>
    <t>직렬 인덕터 설계 결과</t>
    <phoneticPr fontId="7" type="noConversion"/>
  </si>
  <si>
    <t>인버터 모듈(1모듈기준)</t>
    <phoneticPr fontId="8" type="noConversion"/>
  </si>
  <si>
    <t>DC LINK CAPACITOR(1모듈기준)</t>
    <phoneticPr fontId="8" type="noConversion"/>
  </si>
  <si>
    <t>공진 CAP 전류</t>
    <phoneticPr fontId="8" type="noConversion"/>
  </si>
  <si>
    <t>PSPWM</t>
    <phoneticPr fontId="8" type="noConversion"/>
  </si>
  <si>
    <t>IH_EXPANSION_BOARD_V1.5</t>
    <phoneticPr fontId="7" type="noConversion"/>
  </si>
  <si>
    <t>IH MODULE CONTROL BOARD V1.3</t>
    <phoneticPr fontId="7" type="noConversion"/>
  </si>
  <si>
    <t>직렬 인덕터</t>
    <phoneticPr fontId="8" type="noConversion"/>
  </si>
  <si>
    <t>,300:1 , 2병렬</t>
    <phoneticPr fontId="8" type="noConversion"/>
  </si>
  <si>
    <t>공진 CAP 모듈 연결 방식 및 수량</t>
    <phoneticPr fontId="7" type="noConversion"/>
  </si>
  <si>
    <t>공진 CAP</t>
    <phoneticPr fontId="8" type="noConversion"/>
  </si>
  <si>
    <t>공진 CAP 구조(1모듈 기준)</t>
    <phoneticPr fontId="8" type="noConversion"/>
  </si>
  <si>
    <t>cm^2</t>
    <phoneticPr fontId="7" type="noConversion"/>
  </si>
  <si>
    <t>직렬 인덕터 설계 시트 참조</t>
    <phoneticPr fontId="7" type="noConversion"/>
  </si>
  <si>
    <t>IH PROGRAM SETTING VALUE_Digital</t>
    <phoneticPr fontId="8" type="noConversion"/>
  </si>
  <si>
    <t xml:space="preserve">PROJECT </t>
    <phoneticPr fontId="8" type="noConversion"/>
  </si>
  <si>
    <t xml:space="preserve">전장품 PL 참조 </t>
    <phoneticPr fontId="7" type="noConversion"/>
  </si>
  <si>
    <t>mm^2</t>
    <phoneticPr fontId="7" type="noConversion"/>
  </si>
  <si>
    <t>[Ωm×10E-8]</t>
    <phoneticPr fontId="7" type="noConversion"/>
  </si>
  <si>
    <t>Skin Depth</t>
    <phoneticPr fontId="7" type="noConversion"/>
  </si>
  <si>
    <t>[mm]</t>
    <phoneticPr fontId="8" type="noConversion"/>
  </si>
  <si>
    <t>[mmSQ]</t>
    <phoneticPr fontId="8" type="noConversion"/>
  </si>
  <si>
    <t xml:space="preserve">저항 및 크로우바 회로 적용 </t>
    <phoneticPr fontId="8" type="noConversion"/>
  </si>
  <si>
    <t>2000A</t>
    <phoneticPr fontId="8" type="noConversion"/>
  </si>
  <si>
    <t>Po</t>
    <phoneticPr fontId="7" type="noConversion"/>
  </si>
  <si>
    <t>Vin(입력선전압)</t>
    <phoneticPr fontId="7" type="noConversion"/>
  </si>
  <si>
    <t>역율</t>
    <phoneticPr fontId="7" type="noConversion"/>
  </si>
  <si>
    <t>입력선전류</t>
    <phoneticPr fontId="7" type="noConversion"/>
  </si>
  <si>
    <t>Current Density</t>
    <phoneticPr fontId="7" type="noConversion"/>
  </si>
  <si>
    <t>입력선 단면적</t>
    <phoneticPr fontId="7" type="noConversion"/>
  </si>
  <si>
    <t>Vdc</t>
    <phoneticPr fontId="7" type="noConversion"/>
  </si>
  <si>
    <t>Idc</t>
    <phoneticPr fontId="7" type="noConversion"/>
  </si>
  <si>
    <t>인버터 관련</t>
    <phoneticPr fontId="7" type="noConversion"/>
  </si>
  <si>
    <t>C</t>
    <phoneticPr fontId="7" type="noConversion"/>
  </si>
  <si>
    <t>Fr</t>
    <phoneticPr fontId="7" type="noConversion"/>
  </si>
  <si>
    <t>Q</t>
    <phoneticPr fontId="7" type="noConversion"/>
  </si>
  <si>
    <t>Fs</t>
    <phoneticPr fontId="7" type="noConversion"/>
  </si>
  <si>
    <t>Zl</t>
    <phoneticPr fontId="7" type="noConversion"/>
  </si>
  <si>
    <t>R</t>
    <phoneticPr fontId="7" type="noConversion"/>
  </si>
  <si>
    <t>Irmax at R</t>
    <phoneticPr fontId="7" type="noConversion"/>
  </si>
  <si>
    <t>COS(Phase MIN)</t>
    <phoneticPr fontId="7" type="noConversion"/>
  </si>
  <si>
    <t>Qsw-cap</t>
    <phoneticPr fontId="7" type="noConversion"/>
  </si>
  <si>
    <t>HB/FB</t>
    <phoneticPr fontId="7" type="noConversion"/>
  </si>
  <si>
    <t xml:space="preserve">Vac max </t>
    <phoneticPr fontId="7" type="noConversion"/>
  </si>
  <si>
    <t>Turn Ratio</t>
    <phoneticPr fontId="7" type="noConversion"/>
  </si>
  <si>
    <t>Duty</t>
    <phoneticPr fontId="7" type="noConversion"/>
  </si>
  <si>
    <t>Ir primary</t>
    <phoneticPr fontId="7" type="noConversion"/>
  </si>
  <si>
    <t>Ir avg</t>
    <phoneticPr fontId="7" type="noConversion"/>
  </si>
  <si>
    <t>Ir avg DC</t>
    <phoneticPr fontId="7" type="noConversion"/>
  </si>
  <si>
    <t>Ir avg DC/Idc</t>
    <phoneticPr fontId="7" type="noConversion"/>
  </si>
  <si>
    <t>A/㎟</t>
    <phoneticPr fontId="7" type="noConversion"/>
  </si>
  <si>
    <t>㎟</t>
  </si>
  <si>
    <t>°</t>
    <phoneticPr fontId="7" type="noConversion"/>
  </si>
  <si>
    <t>mΩ</t>
    <phoneticPr fontId="7" type="noConversion"/>
  </si>
  <si>
    <t>:1</t>
    <phoneticPr fontId="7" type="noConversion"/>
  </si>
  <si>
    <t>L(등가 L값)</t>
    <phoneticPr fontId="7" type="noConversion"/>
  </si>
  <si>
    <t>코일(CT1차)</t>
    <phoneticPr fontId="7" type="noConversion"/>
  </si>
  <si>
    <t>직렬인덕터 L</t>
    <phoneticPr fontId="7" type="noConversion"/>
  </si>
  <si>
    <t>Ws</t>
    <phoneticPr fontId="7" type="noConversion"/>
  </si>
  <si>
    <t>직렬인덕터L/코일L</t>
    <phoneticPr fontId="7" type="noConversion"/>
  </si>
  <si>
    <t>V coil L</t>
    <phoneticPr fontId="7" type="noConversion"/>
  </si>
  <si>
    <t>V coil R</t>
    <phoneticPr fontId="7" type="noConversion"/>
  </si>
  <si>
    <t>I cap</t>
    <phoneticPr fontId="7" type="noConversion"/>
  </si>
  <si>
    <t>I coil/ Ir primary</t>
    <phoneticPr fontId="7" type="noConversion"/>
  </si>
  <si>
    <t>V coil Voltage</t>
    <phoneticPr fontId="7" type="noConversion"/>
  </si>
  <si>
    <t>Vcap Voltage</t>
    <phoneticPr fontId="7" type="noConversion"/>
  </si>
  <si>
    <t>Req(등가)</t>
    <phoneticPr fontId="7" type="noConversion"/>
  </si>
  <si>
    <t>직렬인덕터 Voltage</t>
    <phoneticPr fontId="7" type="noConversion"/>
  </si>
  <si>
    <t>Phase MIN_Vout/Ir</t>
    <phoneticPr fontId="7" type="noConversion"/>
  </si>
  <si>
    <t>최대 Req(인버터출력 기준)</t>
    <phoneticPr fontId="7" type="noConversion"/>
  </si>
  <si>
    <t>IGBT 발열량 계산(기초)</t>
    <phoneticPr fontId="7" type="noConversion"/>
  </si>
  <si>
    <t>IGBT 병렬 수량</t>
    <phoneticPr fontId="7" type="noConversion"/>
  </si>
  <si>
    <t>IGBT IC RMS전류</t>
    <phoneticPr fontId="7" type="noConversion"/>
  </si>
  <si>
    <t>Total Gate Charge</t>
    <phoneticPr fontId="7" type="noConversion"/>
  </si>
  <si>
    <t>게이트 전압</t>
    <phoneticPr fontId="7" type="noConversion"/>
  </si>
  <si>
    <t>게이트 구동손실</t>
    <phoneticPr fontId="7" type="noConversion"/>
  </si>
  <si>
    <t>Switching Frequency</t>
    <phoneticPr fontId="7" type="noConversion"/>
  </si>
  <si>
    <t>Switching Current(peak)</t>
    <phoneticPr fontId="7" type="noConversion"/>
  </si>
  <si>
    <t>Off Switching Energy</t>
    <phoneticPr fontId="7" type="noConversion"/>
  </si>
  <si>
    <t>On Switching Energy(ZVS)</t>
    <phoneticPr fontId="7" type="noConversion"/>
  </si>
  <si>
    <t>Diode 역방향 회복 Energy(ZVS)</t>
    <phoneticPr fontId="7" type="noConversion"/>
  </si>
  <si>
    <t>IGBT Switching Loss/Device</t>
    <phoneticPr fontId="7" type="noConversion"/>
  </si>
  <si>
    <t>Diode 역방향 회복 손실(ZVS)</t>
    <phoneticPr fontId="7" type="noConversion"/>
  </si>
  <si>
    <t>스너버 손실 비율</t>
  </si>
  <si>
    <t>IGBT Switching Loss/Device_스너버손실비율 포함</t>
    <phoneticPr fontId="7" type="noConversion"/>
  </si>
  <si>
    <t>IC 평균전류</t>
    <phoneticPr fontId="7" type="noConversion"/>
  </si>
  <si>
    <t>IGBT VCE Saturation</t>
    <phoneticPr fontId="7" type="noConversion"/>
  </si>
  <si>
    <t>Diode Vf</t>
    <phoneticPr fontId="7" type="noConversion"/>
  </si>
  <si>
    <t>위상지연각</t>
    <phoneticPr fontId="7" type="noConversion"/>
  </si>
  <si>
    <t>IGBT Conduction Loss</t>
    <phoneticPr fontId="7" type="noConversion"/>
  </si>
  <si>
    <t>Diode Conduction Loss</t>
    <phoneticPr fontId="7" type="noConversion"/>
  </si>
  <si>
    <t>Conduction Loss/Device</t>
    <phoneticPr fontId="7" type="noConversion"/>
  </si>
  <si>
    <t>IGBT Loss (Total)</t>
    <phoneticPr fontId="7" type="noConversion"/>
  </si>
  <si>
    <t>Diode Loss (Total)</t>
    <phoneticPr fontId="7" type="noConversion"/>
  </si>
  <si>
    <t>Total Loss/Module</t>
    <phoneticPr fontId="7" type="noConversion"/>
  </si>
  <si>
    <t>모듈 Package 당 IGBT(switching device)수량</t>
    <phoneticPr fontId="7" type="noConversion"/>
  </si>
  <si>
    <t>Total Solid Device Loss</t>
    <phoneticPr fontId="7" type="noConversion"/>
  </si>
  <si>
    <t>Ptot / IGBT CASE</t>
    <phoneticPr fontId="7" type="noConversion"/>
  </si>
  <si>
    <t>Loss %</t>
    <phoneticPr fontId="7" type="noConversion"/>
  </si>
  <si>
    <t>열저항(Junction-Case)-IGBT</t>
    <phoneticPr fontId="7" type="noConversion"/>
  </si>
  <si>
    <t>열저항(Junction-Case)-Diode</t>
    <phoneticPr fontId="7" type="noConversion"/>
  </si>
  <si>
    <t>Case온도(IGBT,Tj=125℃기준)</t>
    <phoneticPr fontId="7" type="noConversion"/>
  </si>
  <si>
    <t>Case온도(Diode,Tj=125℃기준)</t>
    <phoneticPr fontId="7" type="noConversion"/>
  </si>
  <si>
    <t>Case온도- IGBT  온도차</t>
    <phoneticPr fontId="7" type="noConversion"/>
  </si>
  <si>
    <t>Case온도- Diode 온도차</t>
    <phoneticPr fontId="7" type="noConversion"/>
  </si>
  <si>
    <t>열저항(Case-Heatsink)-IGBT(lPaste = 1 W/(m·K)기준)</t>
    <phoneticPr fontId="7" type="noConversion"/>
  </si>
  <si>
    <t>열저항(Case-Heatsink)-Diode(lPaste = 1 W/(m·K)기준)</t>
    <phoneticPr fontId="7" type="noConversion"/>
  </si>
  <si>
    <t>Heatsink온도-IGBT바닥면 중심</t>
    <phoneticPr fontId="7" type="noConversion"/>
  </si>
  <si>
    <t>Heatsink온도-Diode바닥면 중심</t>
    <phoneticPr fontId="7" type="noConversion"/>
  </si>
  <si>
    <t>Heatsink온도-케이스간 온도차-IGBT</t>
    <phoneticPr fontId="7" type="noConversion"/>
  </si>
  <si>
    <t>Heatsink온도-케이스간 온도차-Diode</t>
    <phoneticPr fontId="7" type="noConversion"/>
  </si>
  <si>
    <t>냉각수 출수 온도</t>
    <phoneticPr fontId="7" type="noConversion"/>
  </si>
  <si>
    <t>냉각수 유량</t>
    <phoneticPr fontId="7" type="noConversion"/>
  </si>
  <si>
    <t>냉각수 입수 온도 최대</t>
    <phoneticPr fontId="7" type="noConversion"/>
  </si>
  <si>
    <t>EA</t>
    <phoneticPr fontId="7" type="noConversion"/>
  </si>
  <si>
    <t>uC</t>
    <phoneticPr fontId="7" type="noConversion"/>
  </si>
  <si>
    <t>W</t>
    <phoneticPr fontId="7" type="noConversion"/>
  </si>
  <si>
    <t>mJ</t>
    <phoneticPr fontId="7" type="noConversion"/>
  </si>
  <si>
    <t>VDC</t>
    <phoneticPr fontId="7" type="noConversion"/>
  </si>
  <si>
    <t>W MAX</t>
    <phoneticPr fontId="7" type="noConversion"/>
  </si>
  <si>
    <t>K/W</t>
    <phoneticPr fontId="7" type="noConversion"/>
  </si>
  <si>
    <t>℃</t>
    <phoneticPr fontId="7" type="noConversion"/>
  </si>
  <si>
    <t>lpm</t>
    <phoneticPr fontId="7" type="noConversion"/>
  </si>
  <si>
    <t>IGBT 병렬 연결 수량</t>
    <phoneticPr fontId="7" type="noConversion"/>
  </si>
  <si>
    <t>IGBT 1EA 당 흐르는 IC RMS 전류</t>
    <phoneticPr fontId="7" type="noConversion"/>
  </si>
  <si>
    <t>DATA SHEET 확인</t>
    <phoneticPr fontId="7" type="noConversion"/>
  </si>
  <si>
    <t>게이트드라이버 전위차(예를 들어 +15V,-10V 일때는 25V)</t>
    <phoneticPr fontId="7" type="noConversion"/>
  </si>
  <si>
    <t>파형 및 LCD 확인</t>
    <phoneticPr fontId="7" type="noConversion"/>
  </si>
  <si>
    <t>DATA SHEET 확인(Switching Current 에 해당하는 Off Switching Energy)</t>
    <phoneticPr fontId="7" type="noConversion"/>
  </si>
  <si>
    <t>스너버 없으면 100%, 스너버 최소 손실비율(55% 감소)</t>
    <phoneticPr fontId="7" type="noConversion"/>
  </si>
  <si>
    <t>DATA SHEET 확인(IC 평균전류에 해당하는 Vce saturation 확인)</t>
    <phoneticPr fontId="7" type="noConversion"/>
  </si>
  <si>
    <t>SINGLE 모듈: 1, DUAL 모듈: 2(62mm package)</t>
    <phoneticPr fontId="7" type="noConversion"/>
  </si>
  <si>
    <t>약 30% 이하가 되어야 함</t>
    <phoneticPr fontId="7" type="noConversion"/>
  </si>
  <si>
    <t>표기된 온도 이상은 사용 불가</t>
    <phoneticPr fontId="7" type="noConversion"/>
  </si>
  <si>
    <t>수냉방열판과의 열저항의 기준이 없어 60℃를 기준으로함</t>
    <phoneticPr fontId="7" type="noConversion"/>
  </si>
  <si>
    <t>유량</t>
    <phoneticPr fontId="7" type="noConversion"/>
  </si>
  <si>
    <t>정현파 기준 PEAK치로 계산 (IC RMS *1.414)</t>
    <phoneticPr fontId="7" type="noConversion"/>
  </si>
  <si>
    <t>DATA SHEET 확인(IC 평균전류에 해당하는 Diode Vf 확인)</t>
    <phoneticPr fontId="7" type="noConversion"/>
  </si>
  <si>
    <t>전력</t>
    <phoneticPr fontId="7" type="noConversion"/>
  </si>
  <si>
    <t>입력 선전압</t>
    <phoneticPr fontId="7" type="noConversion"/>
  </si>
  <si>
    <t>3상 : 0.93, 6상: 0.96 (설계시에는 마진 고려 0.9로 함)</t>
    <phoneticPr fontId="7" type="noConversion"/>
  </si>
  <si>
    <t>상당 입력 선전류 (차단기 및 FUSE 선정 기준)</t>
    <phoneticPr fontId="7" type="noConversion"/>
  </si>
  <si>
    <t>Vdc 전압</t>
    <phoneticPr fontId="7" type="noConversion"/>
  </si>
  <si>
    <t>Idc 전류 (정류다이오드 선정 기준)</t>
    <phoneticPr fontId="7" type="noConversion"/>
  </si>
  <si>
    <t>코일 혹은 C/T 1차측 L값 (측정값 혹은 설계 값)</t>
    <phoneticPr fontId="7" type="noConversion"/>
  </si>
  <si>
    <t>공진 콘덴서 총 C값 (Fs 및 Fr을 원하는 주파수에 맞게 C값을 조정)</t>
    <phoneticPr fontId="7" type="noConversion"/>
  </si>
  <si>
    <t>공진 주파수</t>
    <phoneticPr fontId="7" type="noConversion"/>
  </si>
  <si>
    <t>인버터의 위상각(기준 30° ,상황에 따라 20° 까지 적용)</t>
    <phoneticPr fontId="7" type="noConversion"/>
  </si>
  <si>
    <t>코일의 Q값 (예상값 범위를 입력)</t>
    <phoneticPr fontId="7" type="noConversion"/>
  </si>
  <si>
    <t>공진 전류(코일전류, C/T 1차전류)</t>
    <phoneticPr fontId="7" type="noConversion"/>
  </si>
  <si>
    <t>공진콘덴서 전압</t>
    <phoneticPr fontId="7" type="noConversion"/>
  </si>
  <si>
    <t>공진콘덴서 기준의 Q값(예상데이터, 측정 및 계산 데이터)</t>
    <phoneticPr fontId="7" type="noConversion"/>
  </si>
  <si>
    <t>M/T 2차 구형파 전압으로 얻을 수 있는 AC 전압의 최대값</t>
    <phoneticPr fontId="7" type="noConversion"/>
  </si>
  <si>
    <t>100%이하(98%정도이하),Turn Ratio값을 조정하여 변경</t>
    <phoneticPr fontId="7" type="noConversion"/>
  </si>
  <si>
    <t>M/T 1차 전류(인버터 출력 전류)</t>
    <phoneticPr fontId="7" type="noConversion"/>
  </si>
  <si>
    <t>M/T 1차 구형파 전압으로 얻을 수 있는 AC 전압의 최대값 x COS(Phase)</t>
    <phoneticPr fontId="7" type="noConversion"/>
  </si>
  <si>
    <t>Half Bridge = 2, Full Bridge = 1</t>
    <phoneticPr fontId="7" type="noConversion"/>
  </si>
  <si>
    <t>공진콘덴서 전류</t>
    <phoneticPr fontId="7" type="noConversion"/>
  </si>
  <si>
    <t>인버터 출력 전류</t>
    <phoneticPr fontId="7" type="noConversion"/>
  </si>
  <si>
    <t>동작 주파수 (공진주파와 동일하게 계산)</t>
    <phoneticPr fontId="7" type="noConversion"/>
  </si>
  <si>
    <t>직렬 인덕터 L값 (Fr 및 Duty 조정 : Duty가 100%넘지 않도록 조정)</t>
    <phoneticPr fontId="7" type="noConversion"/>
  </si>
  <si>
    <t>Matching Transformer 의 사용할 경우에만 설정</t>
    <phoneticPr fontId="7" type="noConversion"/>
  </si>
  <si>
    <t>기입순서</t>
    <phoneticPr fontId="7" type="noConversion"/>
  </si>
  <si>
    <t>&lt;코일 인덕턴스 계산 공식, C/T 및 출력케이블포함&gt;</t>
    <phoneticPr fontId="7" type="noConversion"/>
  </si>
  <si>
    <t>&lt;트랜스포머 최소 턴수 계산 공식&gt;</t>
    <phoneticPr fontId="7" type="noConversion"/>
  </si>
  <si>
    <t>&lt;동 부스바(AC) 발열량 계산 공식&gt;</t>
    <phoneticPr fontId="7" type="noConversion"/>
  </si>
  <si>
    <t>&lt;Fault 발생시 L에 의한 VDC 상승전압 계산공식&gt;</t>
    <phoneticPr fontId="7" type="noConversion"/>
  </si>
  <si>
    <t>코일턴수</t>
    <phoneticPr fontId="7" type="noConversion"/>
  </si>
  <si>
    <t>Turns</t>
    <phoneticPr fontId="7" type="noConversion"/>
  </si>
  <si>
    <t>일차 최대전압</t>
    <phoneticPr fontId="7" type="noConversion"/>
  </si>
  <si>
    <t>코일 L값</t>
    <phoneticPr fontId="7" type="noConversion"/>
  </si>
  <si>
    <t>최대자속밀도</t>
    <phoneticPr fontId="7" type="noConversion"/>
  </si>
  <si>
    <t>도체 고유전기저항</t>
    <phoneticPr fontId="7" type="noConversion"/>
  </si>
  <si>
    <t>인버터 출력전류</t>
    <phoneticPr fontId="7" type="noConversion"/>
  </si>
  <si>
    <t>높이</t>
    <phoneticPr fontId="7" type="noConversion"/>
  </si>
  <si>
    <t>cmSq</t>
    <phoneticPr fontId="7" type="noConversion"/>
  </si>
  <si>
    <t>DC LINK C값</t>
    <phoneticPr fontId="7" type="noConversion"/>
  </si>
  <si>
    <t>무부하 인덕턴스</t>
    <phoneticPr fontId="7" type="noConversion"/>
  </si>
  <si>
    <t>스위칭주파수</t>
    <phoneticPr fontId="7" type="noConversion"/>
  </si>
  <si>
    <t>Hz</t>
    <phoneticPr fontId="7" type="noConversion"/>
  </si>
  <si>
    <t>L값 감소율</t>
    <phoneticPr fontId="7" type="noConversion"/>
  </si>
  <si>
    <t>최소 일차턴수</t>
    <phoneticPr fontId="7" type="noConversion"/>
  </si>
  <si>
    <t>turn</t>
    <phoneticPr fontId="7" type="noConversion"/>
  </si>
  <si>
    <t>VDC (Fault 발생시 상승전압)</t>
    <phoneticPr fontId="7" type="noConversion"/>
  </si>
  <si>
    <t>부하 인덕턴스</t>
    <phoneticPr fontId="7" type="noConversion"/>
  </si>
  <si>
    <t>도체의 산출 전도도</t>
    <phoneticPr fontId="8" type="noConversion"/>
  </si>
  <si>
    <t>[SIMENS/m]</t>
    <phoneticPr fontId="8" type="noConversion"/>
  </si>
  <si>
    <t>출력케이블L값</t>
    <phoneticPr fontId="7" type="noConversion"/>
  </si>
  <si>
    <t>&lt;직렬공진주파수 계산 공식&gt;</t>
    <phoneticPr fontId="7" type="noConversion"/>
  </si>
  <si>
    <t>비투자율</t>
    <phoneticPr fontId="7" type="noConversion"/>
  </si>
  <si>
    <t>ui</t>
    <phoneticPr fontId="8" type="noConversion"/>
  </si>
  <si>
    <t>&lt;DC LINK CAPACITOR 리플 전압,전류 계산 공식&gt;</t>
    <phoneticPr fontId="7" type="noConversion"/>
  </si>
  <si>
    <t>C/T권선비</t>
    <phoneticPr fontId="7" type="noConversion"/>
  </si>
  <si>
    <t>공진콘덴서</t>
    <phoneticPr fontId="7" type="noConversion"/>
  </si>
  <si>
    <t>[Hz]</t>
    <phoneticPr fontId="7" type="noConversion"/>
  </si>
  <si>
    <t>코일 병렬 수</t>
    <phoneticPr fontId="7" type="noConversion"/>
  </si>
  <si>
    <t>병렬</t>
    <phoneticPr fontId="7" type="noConversion"/>
  </si>
  <si>
    <t>공진인덕터</t>
    <phoneticPr fontId="7" type="noConversion"/>
  </si>
  <si>
    <t>VDC 평균값</t>
    <phoneticPr fontId="7" type="noConversion"/>
  </si>
  <si>
    <t>코일 직렬 수</t>
    <phoneticPr fontId="7" type="noConversion"/>
  </si>
  <si>
    <t>직렬</t>
    <phoneticPr fontId="7" type="noConversion"/>
  </si>
  <si>
    <t>Hz (결과)</t>
    <phoneticPr fontId="7" type="noConversion"/>
  </si>
  <si>
    <t>C/T1차 인덕턴스</t>
    <phoneticPr fontId="7" type="noConversion"/>
  </si>
  <si>
    <t>동작주파수</t>
    <phoneticPr fontId="7" type="noConversion"/>
  </si>
  <si>
    <t>&lt;콘덴서 내전압 계산 공식&gt;</t>
    <phoneticPr fontId="7" type="noConversion"/>
  </si>
  <si>
    <t>DC LINK CAP 리플 함유율(peak to peak)</t>
    <phoneticPr fontId="7" type="noConversion"/>
  </si>
  <si>
    <t>&lt;공진 C 계산 공식&gt;</t>
    <phoneticPr fontId="7" type="noConversion"/>
  </si>
  <si>
    <t xml:space="preserve">부스바 폭(너비) </t>
    <phoneticPr fontId="7" type="noConversion"/>
  </si>
  <si>
    <t>단위 C 용량</t>
    <phoneticPr fontId="7" type="noConversion"/>
  </si>
  <si>
    <t>인가주파수</t>
    <phoneticPr fontId="7" type="noConversion"/>
  </si>
  <si>
    <t>DC LINK CAP RIPPLE Current</t>
    <phoneticPr fontId="7" type="noConversion"/>
  </si>
  <si>
    <t>전체 탭</t>
    <phoneticPr fontId="7" type="noConversion"/>
  </si>
  <si>
    <t>탭</t>
    <phoneticPr fontId="7" type="noConversion"/>
  </si>
  <si>
    <t>통전전류</t>
    <phoneticPr fontId="7" type="noConversion"/>
  </si>
  <si>
    <t>인가전류</t>
    <phoneticPr fontId="7" type="noConversion"/>
  </si>
  <si>
    <t>[A]</t>
    <phoneticPr fontId="7" type="noConversion"/>
  </si>
  <si>
    <t>정격 전압</t>
    <phoneticPr fontId="7" type="noConversion"/>
  </si>
  <si>
    <t>콘덴서전압</t>
    <phoneticPr fontId="7" type="noConversion"/>
  </si>
  <si>
    <t>&lt;수냉케이블 L값 계산 공식: 10kHz 기준, 트위스트 하지 않음&gt;</t>
    <phoneticPr fontId="7" type="noConversion"/>
  </si>
  <si>
    <t>정격 전류</t>
    <phoneticPr fontId="7" type="noConversion"/>
  </si>
  <si>
    <t>발열량</t>
    <phoneticPr fontId="7" type="noConversion"/>
  </si>
  <si>
    <t>[W]</t>
    <phoneticPr fontId="7" type="noConversion"/>
  </si>
  <si>
    <t xml:space="preserve">단위길이당 L값 (2EA) </t>
    <phoneticPr fontId="7" type="noConversion"/>
  </si>
  <si>
    <t>사용 탭</t>
    <phoneticPr fontId="7" type="noConversion"/>
  </si>
  <si>
    <t>&lt;스너버C 용량 적정성 검토 계산 공식&gt;</t>
    <phoneticPr fontId="7" type="noConversion"/>
  </si>
  <si>
    <t>수냉케이블 길이 (2EA)</t>
    <phoneticPr fontId="7" type="noConversion"/>
  </si>
  <si>
    <t>m</t>
    <phoneticPr fontId="7" type="noConversion"/>
  </si>
  <si>
    <t>직렬 연결 수량</t>
    <phoneticPr fontId="7" type="noConversion"/>
  </si>
  <si>
    <t>Vdc 전압</t>
    <phoneticPr fontId="8" type="noConversion"/>
  </si>
  <si>
    <t>Vdc</t>
    <phoneticPr fontId="8" type="noConversion"/>
  </si>
  <si>
    <t>&lt;동 파이프(AC) 발열량 계산 공식&gt;</t>
    <phoneticPr fontId="7" type="noConversion"/>
  </si>
  <si>
    <t>수냉케이블 L값 (2EA)</t>
    <phoneticPr fontId="7" type="noConversion"/>
  </si>
  <si>
    <t>병렬 연결 수량</t>
    <phoneticPr fontId="7" type="noConversion"/>
  </si>
  <si>
    <t>C스너버 개당 C값</t>
    <phoneticPr fontId="8" type="noConversion"/>
  </si>
  <si>
    <t>전체 C 용량</t>
    <phoneticPr fontId="7" type="noConversion"/>
  </si>
  <si>
    <t xml:space="preserve">단위길이당 L값 (4EA) </t>
    <phoneticPr fontId="7" type="noConversion"/>
  </si>
  <si>
    <t>사용가능 전압</t>
    <phoneticPr fontId="7" type="noConversion"/>
  </si>
  <si>
    <t>보드를 겹침 수량</t>
    <phoneticPr fontId="8" type="noConversion"/>
  </si>
  <si>
    <t>수냉케이블 길이 (4EA)</t>
    <phoneticPr fontId="7" type="noConversion"/>
  </si>
  <si>
    <t>사용가능 전류</t>
    <phoneticPr fontId="7" type="noConversion"/>
  </si>
  <si>
    <t>상하 고려</t>
    <phoneticPr fontId="8" type="noConversion"/>
  </si>
  <si>
    <t>수냉케이블 L값 (4EA)</t>
    <phoneticPr fontId="7" type="noConversion"/>
  </si>
  <si>
    <t>KVA</t>
    <phoneticPr fontId="7" type="noConversion"/>
  </si>
  <si>
    <t>상하 데드타임</t>
    <phoneticPr fontId="8" type="noConversion"/>
  </si>
  <si>
    <t>us</t>
    <phoneticPr fontId="8" type="noConversion"/>
  </si>
  <si>
    <t>모듈 출력전류</t>
    <phoneticPr fontId="8" type="noConversion"/>
  </si>
  <si>
    <t>&lt;Q값 계산 공식 :공진 C 기준&gt;</t>
    <phoneticPr fontId="7" type="noConversion"/>
  </si>
  <si>
    <t>운전 모듈 수량</t>
    <phoneticPr fontId="8" type="noConversion"/>
  </si>
  <si>
    <t>대</t>
    <phoneticPr fontId="8" type="noConversion"/>
  </si>
  <si>
    <t>콘덴서값</t>
    <phoneticPr fontId="7" type="noConversion"/>
  </si>
  <si>
    <t>1차 공진전류</t>
    <phoneticPr fontId="7" type="noConversion"/>
  </si>
  <si>
    <t>정격전류시 상승시간</t>
    <phoneticPr fontId="8" type="noConversion"/>
  </si>
  <si>
    <t>ON-POLE</t>
    <phoneticPr fontId="8" type="noConversion"/>
  </si>
  <si>
    <t>&lt;FUSE 용량 계산 공식&gt;</t>
    <phoneticPr fontId="7" type="noConversion"/>
  </si>
  <si>
    <t>입력전력</t>
    <phoneticPr fontId="7" type="noConversion"/>
  </si>
  <si>
    <t>스위칭각</t>
    <phoneticPr fontId="8" type="noConversion"/>
  </si>
  <si>
    <t>deg</t>
    <phoneticPr fontId="8" type="noConversion"/>
  </si>
  <si>
    <t>두께 : 파이프</t>
    <phoneticPr fontId="7" type="noConversion"/>
  </si>
  <si>
    <t>입력선전압</t>
    <phoneticPr fontId="7" type="noConversion"/>
  </si>
  <si>
    <t>트랜스포머 권선비</t>
    <phoneticPr fontId="7" type="noConversion"/>
  </si>
  <si>
    <t>스위칭 전류</t>
    <phoneticPr fontId="8" type="noConversion"/>
  </si>
  <si>
    <t>A</t>
    <phoneticPr fontId="8" type="noConversion"/>
  </si>
  <si>
    <t>공진전압</t>
    <phoneticPr fontId="7" type="noConversion"/>
  </si>
  <si>
    <t>VAC</t>
    <phoneticPr fontId="7" type="noConversion"/>
  </si>
  <si>
    <t>전압 상승 소요시간</t>
    <phoneticPr fontId="8" type="noConversion"/>
  </si>
  <si>
    <t>nsec</t>
    <phoneticPr fontId="8" type="noConversion"/>
  </si>
  <si>
    <t>파이프 외경</t>
    <phoneticPr fontId="7" type="noConversion"/>
  </si>
  <si>
    <t>FUSE 정격전압</t>
    <phoneticPr fontId="7" type="noConversion"/>
  </si>
  <si>
    <t>V 이상</t>
    <phoneticPr fontId="7" type="noConversion"/>
  </si>
  <si>
    <t>2차공진전류</t>
    <phoneticPr fontId="7" type="noConversion"/>
  </si>
  <si>
    <t xml:space="preserve">단면적 </t>
    <phoneticPr fontId="7" type="noConversion"/>
  </si>
  <si>
    <t>FUSE 정격전류</t>
    <phoneticPr fontId="7" type="noConversion"/>
  </si>
  <si>
    <t>A 이상</t>
    <phoneticPr fontId="7" type="noConversion"/>
  </si>
  <si>
    <t>kVar</t>
    <phoneticPr fontId="7" type="noConversion"/>
  </si>
  <si>
    <t>데드타임 에 맞추기 위한</t>
    <phoneticPr fontId="8" type="noConversion"/>
  </si>
  <si>
    <t>ZVS 모듈 스위칭 전류</t>
    <phoneticPr fontId="8" type="noConversion"/>
  </si>
  <si>
    <t>&lt;컷오프주파수 계산 공식&gt;</t>
    <phoneticPr fontId="7" type="noConversion"/>
  </si>
  <si>
    <t>ZVS 모듈 전류</t>
    <phoneticPr fontId="8" type="noConversion"/>
  </si>
  <si>
    <t>&lt;위상각 계산 공식&gt;</t>
    <phoneticPr fontId="7" type="noConversion"/>
  </si>
  <si>
    <t>kw</t>
    <phoneticPr fontId="7" type="noConversion"/>
  </si>
  <si>
    <t>정격전류 대비 율</t>
    <phoneticPr fontId="8" type="noConversion"/>
  </si>
  <si>
    <t>%</t>
    <phoneticPr fontId="8" type="noConversion"/>
  </si>
  <si>
    <t>&lt;사각 파이프(AC) 발열량 계산 공식&gt;</t>
    <phoneticPr fontId="7" type="noConversion"/>
  </si>
  <si>
    <t>IR</t>
    <phoneticPr fontId="7" type="noConversion"/>
  </si>
  <si>
    <t>정격전력 대비 율</t>
    <phoneticPr fontId="8" type="noConversion"/>
  </si>
  <si>
    <t>&lt;트랜스포머(C/T) 최소 턴수 계산 공식&gt;</t>
    <phoneticPr fontId="7" type="noConversion"/>
  </si>
  <si>
    <t>HALF(2)/FULL(1)</t>
    <phoneticPr fontId="7" type="noConversion"/>
  </si>
  <si>
    <t>&lt;Dead Time 계산 공식&gt;</t>
    <phoneticPr fontId="7" type="noConversion"/>
  </si>
  <si>
    <t>스너버 C값(POLE 기준)</t>
    <phoneticPr fontId="8" type="noConversion"/>
  </si>
  <si>
    <t>COSθ</t>
    <phoneticPr fontId="7" type="noConversion"/>
  </si>
  <si>
    <t>VDC 전압</t>
    <phoneticPr fontId="8" type="noConversion"/>
  </si>
  <si>
    <t>V</t>
    <phoneticPr fontId="8" type="noConversion"/>
  </si>
  <si>
    <t>θ (위상각, Phase)</t>
    <phoneticPr fontId="7" type="noConversion"/>
  </si>
  <si>
    <t>스위칭전류</t>
    <phoneticPr fontId="8" type="noConversion"/>
  </si>
  <si>
    <t>스위칭시 전압 상승시간</t>
    <phoneticPr fontId="8" type="noConversion"/>
  </si>
  <si>
    <t>ns</t>
    <phoneticPr fontId="8" type="noConversion"/>
  </si>
  <si>
    <t>&lt;평판 인덕턴스 계산 공식&gt;</t>
    <phoneticPr fontId="7" type="noConversion"/>
  </si>
  <si>
    <t>판폭</t>
    <phoneticPr fontId="7" type="noConversion"/>
  </si>
  <si>
    <t>&lt;동축케이블 커패시턴스 계산 공식&gt;</t>
    <phoneticPr fontId="7" type="noConversion"/>
  </si>
  <si>
    <t>판사이거리</t>
    <phoneticPr fontId="7" type="noConversion"/>
  </si>
  <si>
    <t>내부도체외경</t>
    <phoneticPr fontId="7" type="noConversion"/>
  </si>
  <si>
    <t>&lt;콘덴서 전류 계산 공식&gt;</t>
    <phoneticPr fontId="7" type="noConversion"/>
  </si>
  <si>
    <t>판길이</t>
    <phoneticPr fontId="7" type="noConversion"/>
  </si>
  <si>
    <t>절연체두께</t>
    <phoneticPr fontId="7" type="noConversion"/>
  </si>
  <si>
    <t>L</t>
    <phoneticPr fontId="7" type="noConversion"/>
  </si>
  <si>
    <t>nH</t>
    <phoneticPr fontId="7" type="noConversion"/>
  </si>
  <si>
    <t>외부도체내경</t>
    <phoneticPr fontId="7" type="noConversion"/>
  </si>
  <si>
    <t>공기유전율 (ε0)</t>
    <phoneticPr fontId="8" type="noConversion"/>
  </si>
  <si>
    <t>&lt;평판 커패시턴스 계산 공식&gt;</t>
    <phoneticPr fontId="7" type="noConversion"/>
  </si>
  <si>
    <t>비유전율 (εr)</t>
    <phoneticPr fontId="7" type="noConversion"/>
  </si>
  <si>
    <t>테프론(2.1)</t>
    <phoneticPr fontId="7" type="noConversion"/>
  </si>
  <si>
    <t>세로(외곽)</t>
    <phoneticPr fontId="7" type="noConversion"/>
  </si>
  <si>
    <t>판 면적</t>
    <phoneticPr fontId="7" type="noConversion"/>
  </si>
  <si>
    <t>C(단위길이당 1m 당)</t>
    <phoneticPr fontId="7" type="noConversion"/>
  </si>
  <si>
    <t>nF</t>
    <phoneticPr fontId="7" type="noConversion"/>
  </si>
  <si>
    <t>케이블 길이</t>
    <phoneticPr fontId="7" type="noConversion"/>
  </si>
  <si>
    <t>비유전율</t>
    <phoneticPr fontId="7" type="noConversion"/>
  </si>
  <si>
    <t xml:space="preserve">C값 </t>
    <phoneticPr fontId="7" type="noConversion"/>
  </si>
  <si>
    <t>&lt;코아/주파수별 자속밀도 실험 데이터&gt;</t>
    <phoneticPr fontId="7" type="noConversion"/>
  </si>
  <si>
    <t>&lt;동 부스바(DC) 발열량 계산 공식&gt;</t>
    <phoneticPr fontId="7" type="noConversion"/>
  </si>
  <si>
    <t>아몰퍼스[Tesla]</t>
    <phoneticPr fontId="7" type="noConversion"/>
  </si>
  <si>
    <t>페라이트[Tesla]</t>
    <phoneticPr fontId="7" type="noConversion"/>
  </si>
  <si>
    <t>주파수[kHz]</t>
    <phoneticPr fontId="7" type="noConversion"/>
  </si>
  <si>
    <t>dT 75~80℃기준</t>
    <phoneticPr fontId="7" type="noConversion"/>
  </si>
  <si>
    <t>dT 60℃기준</t>
    <phoneticPr fontId="7" type="noConversion"/>
  </si>
  <si>
    <t>&lt;코아 중족 단면적 ( 1조 기준, 주사용품)&gt;</t>
    <phoneticPr fontId="7" type="noConversion"/>
  </si>
  <si>
    <t>&lt;DC 인덕터 L값)&gt;</t>
    <phoneticPr fontId="7" type="noConversion"/>
  </si>
  <si>
    <t>코아 종류</t>
    <phoneticPr fontId="7" type="noConversion"/>
  </si>
  <si>
    <t>규격</t>
    <phoneticPr fontId="7" type="noConversion"/>
  </si>
  <si>
    <t>자재코드</t>
    <phoneticPr fontId="7" type="noConversion"/>
  </si>
  <si>
    <t>L값(360Hz)</t>
    <phoneticPr fontId="7" type="noConversion"/>
  </si>
  <si>
    <t>규소강판(0.2t, Si 3%)</t>
    <phoneticPr fontId="7" type="noConversion"/>
  </si>
  <si>
    <t xml:space="preserve">[PSIH-50XF-L1F-V1] </t>
    <phoneticPr fontId="7" type="noConversion"/>
  </si>
  <si>
    <t>LLL00001</t>
    <phoneticPr fontId="8" type="noConversion"/>
  </si>
  <si>
    <t>60uH</t>
    <phoneticPr fontId="8" type="noConversion"/>
  </si>
  <si>
    <t>아몰퍼스(50x175xSF)</t>
    <phoneticPr fontId="7" type="noConversion"/>
  </si>
  <si>
    <t xml:space="preserve">[PSIH-050HF-LO-01] </t>
    <phoneticPr fontId="7" type="noConversion"/>
  </si>
  <si>
    <t>LLL00005</t>
    <phoneticPr fontId="8" type="noConversion"/>
  </si>
  <si>
    <t>390uH</t>
    <phoneticPr fontId="8" type="noConversion"/>
  </si>
  <si>
    <t>UU100</t>
    <phoneticPr fontId="7" type="noConversion"/>
  </si>
  <si>
    <t>[PSIH-100XF-LI-V1]</t>
    <phoneticPr fontId="7" type="noConversion"/>
  </si>
  <si>
    <t>LLL00060</t>
    <phoneticPr fontId="8" type="noConversion"/>
  </si>
  <si>
    <t>900uH</t>
    <phoneticPr fontId="8" type="noConversion"/>
  </si>
  <si>
    <t>UU120</t>
    <phoneticPr fontId="7" type="noConversion"/>
  </si>
  <si>
    <t xml:space="preserve">[PSIH-200XF-LI-V1] </t>
    <phoneticPr fontId="7" type="noConversion"/>
  </si>
  <si>
    <t>LLL00012</t>
    <phoneticPr fontId="8" type="noConversion"/>
  </si>
  <si>
    <t>630uH</t>
    <phoneticPr fontId="8" type="noConversion"/>
  </si>
  <si>
    <t>UU120C</t>
    <phoneticPr fontId="7" type="noConversion"/>
  </si>
  <si>
    <t xml:space="preserve">[PSIH-400XF-LI-V1]  </t>
    <phoneticPr fontId="7" type="noConversion"/>
  </si>
  <si>
    <t>LLL00013</t>
    <phoneticPr fontId="8" type="noConversion"/>
  </si>
  <si>
    <t>375uH</t>
    <phoneticPr fontId="8" type="noConversion"/>
  </si>
  <si>
    <t>I118+I140 조합</t>
    <phoneticPr fontId="7" type="noConversion"/>
  </si>
  <si>
    <t xml:space="preserve">[PSIH-500XF-LI-V2] </t>
    <phoneticPr fontId="7" type="noConversion"/>
  </si>
  <si>
    <t>LLL00051</t>
    <phoneticPr fontId="8" type="noConversion"/>
  </si>
  <si>
    <t>515uH</t>
    <phoneticPr fontId="8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</si>
  <si>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</si>
  <si>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</si>
  <si>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</si>
  <si>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</si>
  <si>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</si>
  <si>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</si>
  <si>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</si>
  <si>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</si>
  <si>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</si>
  <si>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</si>
  <si>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</si>
  <si>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</si>
  <si>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</si>
  <si>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</si>
  <si>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</si>
  <si>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</si>
  <si>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</si>
  <si>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</si>
  <si>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</si>
  <si>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</si>
  <si>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</si>
  <si>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</si>
  <si>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</si>
  <si>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</si>
  <si>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</si>
  <si>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</si>
  <si>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</si>
  <si>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</si>
  <si>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</si>
  <si>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</si>
  <si>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</si>
  <si>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</si>
  <si>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</si>
  <si>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</si>
  <si>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</si>
  <si>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</si>
  <si>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</si>
  <si>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</si>
  <si>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</si>
  <si>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</si>
  <si>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</si>
  <si>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</si>
  <si>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</si>
  <si>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</si>
  <si>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</si>
  <si>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</si>
  <si>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</si>
  <si>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</si>
  <si>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</si>
  <si>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</si>
  <si>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</si>
  <si>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</si>
  <si>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</si>
  <si>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</si>
  <si>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</si>
  <si>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</si>
  <si>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</si>
  <si>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</si>
  <si>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</si>
  <si>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</si>
  <si>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</si>
  <si>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</si>
  <si>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</si>
  <si>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</si>
  <si>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</si>
  <si>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</si>
  <si>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</si>
  <si>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</si>
  <si>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</si>
  <si>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</si>
  <si>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</si>
  <si>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</si>
  <si>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</si>
  <si>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</si>
  <si>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</si>
  <si>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</si>
  <si>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</si>
  <si>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</si>
  <si>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</si>
  <si>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규소강판_신규설계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</si>
  <si>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</si>
  <si>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</si>
  <si>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</si>
  <si>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</si>
  <si>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</si>
  <si>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</si>
  <si>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</si>
  <si>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</si>
  <si>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</si>
  <si>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</si>
  <si>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W3270N#160</t>
    <phoneticPr fontId="8" type="noConversion"/>
  </si>
  <si>
    <t>3000A</t>
    <phoneticPr fontId="8" type="noConversion"/>
  </si>
  <si>
    <t>CROWBAR 회로_N1806QK160,N1114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</si>
  <si>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</si>
  <si>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</si>
  <si>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</si>
  <si>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</si>
  <si>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</si>
  <si>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</si>
  <si>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</si>
  <si>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</si>
  <si>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</si>
  <si>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저항 사용</t>
    <phoneticPr fontId="8" type="noConversion"/>
  </si>
  <si>
    <t>CROWBAR 회로_N2593MK160</t>
    <phoneticPr fontId="8" type="noConversion"/>
  </si>
  <si>
    <t>규소강판_신규설계</t>
    <phoneticPr fontId="8" type="noConversion"/>
  </si>
  <si>
    <t>4000A</t>
    <phoneticPr fontId="8" type="noConversion"/>
  </si>
  <si>
    <t>저항 사용</t>
    <phoneticPr fontId="8" type="noConversion"/>
  </si>
  <si>
    <t>CROWBAR 회로_N2593MK160</t>
    <phoneticPr fontId="8" type="noConversion"/>
  </si>
  <si>
    <t>주파수
Fr</t>
    <phoneticPr fontId="7" type="noConversion"/>
  </si>
  <si>
    <t>위상</t>
    <phoneticPr fontId="23" type="noConversion"/>
  </si>
  <si>
    <t>콘덴서전류
Icr</t>
    <phoneticPr fontId="7" type="noConversion"/>
  </si>
  <si>
    <t>Coil 전류
(C/T 2차)</t>
    <phoneticPr fontId="23" type="noConversion"/>
  </si>
  <si>
    <t>Q값 
C/T1차
(코일기준)</t>
    <phoneticPr fontId="23" type="noConversion"/>
  </si>
  <si>
    <t>Q값 
코일기준</t>
    <phoneticPr fontId="23" type="noConversion"/>
  </si>
  <si>
    <t>예상 전력</t>
    <phoneticPr fontId="23" type="noConversion"/>
  </si>
  <si>
    <t>예상 C/T1차 전류</t>
    <phoneticPr fontId="23" type="noConversion"/>
  </si>
  <si>
    <t>예상공진전압 Vcr</t>
    <phoneticPr fontId="23" type="noConversion"/>
  </si>
  <si>
    <t>A</t>
    <phoneticPr fontId="23" type="noConversion"/>
  </si>
  <si>
    <t>uH</t>
    <phoneticPr fontId="23" type="noConversion"/>
  </si>
  <si>
    <t>Ir (직렬인덕터)</t>
    <phoneticPr fontId="7" type="noConversion"/>
  </si>
  <si>
    <t>Vac out(직렬인덕터 전단)</t>
    <phoneticPr fontId="7" type="noConversion"/>
  </si>
  <si>
    <t>Vac out 1차(M/T 포함,인버터출력)</t>
    <phoneticPr fontId="7" type="noConversion"/>
  </si>
  <si>
    <t>입력전력
Po</t>
    <phoneticPr fontId="7" type="noConversion"/>
  </si>
  <si>
    <t>인버터
출력전류
Ir</t>
    <phoneticPr fontId="7" type="noConversion"/>
  </si>
  <si>
    <t>직류전류
Io</t>
    <phoneticPr fontId="7" type="noConversion"/>
  </si>
  <si>
    <t>직류전압
Vo</t>
    <phoneticPr fontId="7" type="noConversion"/>
  </si>
  <si>
    <t>Cr 용량</t>
    <phoneticPr fontId="7" type="noConversion"/>
  </si>
  <si>
    <t>공진전압
Vcr</t>
    <phoneticPr fontId="7" type="noConversion"/>
  </si>
  <si>
    <t>C/T1차전류</t>
    <phoneticPr fontId="23" type="noConversion"/>
  </si>
  <si>
    <t>Ls/L coil(c/t1차)</t>
    <phoneticPr fontId="23" type="noConversion"/>
  </si>
  <si>
    <t>전류비율
Ir/Icoil(C/T1차)</t>
    <phoneticPr fontId="23" type="noConversion"/>
  </si>
  <si>
    <t>C/T탭비</t>
    <phoneticPr fontId="23" type="noConversion"/>
  </si>
  <si>
    <t>코일 저항 Rcoil</t>
    <phoneticPr fontId="23" type="noConversion"/>
  </si>
  <si>
    <t>Q값 
콘덴서기준</t>
    <phoneticPr fontId="23" type="noConversion"/>
  </si>
  <si>
    <t>Ls 예상 L값</t>
    <phoneticPr fontId="23" type="noConversion"/>
  </si>
  <si>
    <t>C/T 1차 L값</t>
    <phoneticPr fontId="23" type="noConversion"/>
  </si>
  <si>
    <t>코일 L값
(C/T 누설포함)</t>
    <phoneticPr fontId="23" type="noConversion"/>
  </si>
  <si>
    <t>예상 Ir</t>
    <phoneticPr fontId="23" type="noConversion"/>
  </si>
  <si>
    <t>예상 공진 CAP 전류</t>
    <phoneticPr fontId="23" type="noConversion"/>
  </si>
  <si>
    <t>예상 Coil 전류</t>
    <phoneticPr fontId="23" type="noConversion"/>
  </si>
  <si>
    <t>A</t>
    <phoneticPr fontId="7" type="noConversion"/>
  </si>
  <si>
    <t>V</t>
    <phoneticPr fontId="7" type="noConversion"/>
  </si>
  <si>
    <t>kHz</t>
    <phoneticPr fontId="7" type="noConversion"/>
  </si>
  <si>
    <r>
      <t>(</t>
    </r>
    <r>
      <rPr>
        <b/>
        <sz val="8"/>
        <rFont val="맑은 고딕"/>
        <family val="3"/>
        <charset val="129"/>
      </rPr>
      <t>°</t>
    </r>
    <r>
      <rPr>
        <b/>
        <sz val="8"/>
        <rFont val="돋움"/>
        <family val="3"/>
        <charset val="129"/>
      </rPr>
      <t>)</t>
    </r>
    <phoneticPr fontId="23" type="noConversion"/>
  </si>
  <si>
    <t>A</t>
    <phoneticPr fontId="23" type="noConversion"/>
  </si>
  <si>
    <t>N:1</t>
    <phoneticPr fontId="23" type="noConversion"/>
  </si>
  <si>
    <t>mΩ</t>
    <phoneticPr fontId="23" type="noConversion"/>
  </si>
  <si>
    <t>uH</t>
    <phoneticPr fontId="23" type="noConversion"/>
  </si>
  <si>
    <t>KW</t>
    <phoneticPr fontId="23" type="noConversion"/>
  </si>
  <si>
    <t>A</t>
    <phoneticPr fontId="7" type="noConversion"/>
  </si>
  <si>
    <t>A</t>
    <phoneticPr fontId="7" type="noConversion"/>
  </si>
  <si>
    <t>V</t>
    <phoneticPr fontId="23" type="noConversion"/>
  </si>
  <si>
    <t>모듈당 전류</t>
    <phoneticPr fontId="7" type="noConversion"/>
  </si>
  <si>
    <t>인버터 모듈 수량</t>
    <phoneticPr fontId="7" type="noConversion"/>
  </si>
  <si>
    <t>IH DIGITAL CONTROL BOARD V3.8</t>
    <phoneticPr fontId="7" type="noConversion"/>
  </si>
  <si>
    <t>x</t>
    <phoneticPr fontId="9" type="noConversion"/>
  </si>
  <si>
    <t>x</t>
    <phoneticPr fontId="9" type="noConversion"/>
  </si>
  <si>
    <t>x</t>
    <phoneticPr fontId="9" type="noConversion"/>
  </si>
  <si>
    <t>직병렬(LCL)공진회로 설계 시트</t>
    <phoneticPr fontId="7" type="noConversion"/>
  </si>
  <si>
    <t>친환경차용 비도금 초고강도강판열간프레스 성형 및 부품화 국책과제</t>
    <phoneticPr fontId="8" type="noConversion"/>
  </si>
  <si>
    <t>500kW</t>
    <phoneticPr fontId="8" type="noConversion"/>
  </si>
  <si>
    <t>50kHz</t>
    <phoneticPr fontId="8" type="noConversion"/>
  </si>
  <si>
    <t xml:space="preserve">1000A급 </t>
  </si>
  <si>
    <t>MCCB</t>
    <phoneticPr fontId="8" type="noConversion"/>
  </si>
  <si>
    <t>1500A</t>
  </si>
  <si>
    <t>800A 2병렬(8EA) :FZ80012KS4
--&gt;[IMF2HD12] 인버터모듈관련 기구물, Full bridge, 2홀(800A, 1600A IGBT용 :내부 2병렬 구조), Dual type, 1200V급 IGBT 적용</t>
  </si>
  <si>
    <t>[DS500927] DC LINK CAP Module, 장착위치: Side, CAP 용량: 50uF 900V, 가로(행)수: 2, 세로(열)수: 7 (full bridge_single모듈 적용)
수량 2EA : 2800uF(50uF *56EA)</t>
  </si>
  <si>
    <t>2EA</t>
    <phoneticPr fontId="7" type="noConversion"/>
  </si>
  <si>
    <t>약 864A</t>
    <phoneticPr fontId="8" type="noConversion"/>
  </si>
  <si>
    <t>약 810A</t>
    <phoneticPr fontId="8" type="noConversion"/>
  </si>
  <si>
    <t>IH GATE_DRIVER_100W_V1.1</t>
    <phoneticPr fontId="7" type="noConversion"/>
  </si>
  <si>
    <t>친환경차용 비도금 초고강도강판열간프레스 성형 및 부품화 국책과제</t>
    <phoneticPr fontId="8" type="noConversion"/>
  </si>
  <si>
    <t>친환경차용 비도금 초고강도강판열간프레스 성형 및 부품화 국책과제</t>
    <phoneticPr fontId="8" type="noConversion"/>
  </si>
  <si>
    <t>PSA02Y19-0010_자운에스이(TCC동양) 참조</t>
    <phoneticPr fontId="7" type="noConversion"/>
  </si>
  <si>
    <t>약 12전후</t>
    <phoneticPr fontId="8" type="noConversion"/>
  </si>
  <si>
    <t>SCC00097</t>
    <phoneticPr fontId="7" type="noConversion"/>
  </si>
  <si>
    <t>UFF00057</t>
    <phoneticPr fontId="7" type="noConversion"/>
  </si>
  <si>
    <t>6.9URD33TTF1000 (3EA)</t>
    <phoneticPr fontId="7" type="noConversion"/>
  </si>
  <si>
    <t>EBB00021</t>
    <phoneticPr fontId="7" type="noConversion"/>
  </si>
  <si>
    <t>DD600N16K(3EA)</t>
    <phoneticPr fontId="7" type="noConversion"/>
  </si>
  <si>
    <t>LLL00051</t>
    <phoneticPr fontId="7" type="noConversion"/>
  </si>
  <si>
    <t>500XF</t>
    <phoneticPr fontId="7" type="noConversion"/>
  </si>
  <si>
    <t>턴간 간격</t>
    <phoneticPr fontId="7" type="noConversion"/>
  </si>
  <si>
    <t>내용</t>
    <phoneticPr fontId="7" type="noConversion"/>
  </si>
  <si>
    <t>비고</t>
    <phoneticPr fontId="7" type="noConversion"/>
  </si>
  <si>
    <t>인덕턴스</t>
    <phoneticPr fontId="7" type="noConversion"/>
  </si>
  <si>
    <t>총 등가L (직렬 및 병렬 수량 포함)</t>
    <phoneticPr fontId="7" type="noConversion"/>
  </si>
  <si>
    <t>총등가L</t>
    <phoneticPr fontId="7" type="noConversion"/>
  </si>
  <si>
    <t>상호인덕턴스 영향</t>
    <phoneticPr fontId="7" type="noConversion"/>
  </si>
  <si>
    <t>총 등가 인덕턴스(상호L포함)</t>
    <phoneticPr fontId="7" type="noConversion"/>
  </si>
  <si>
    <t>전류량 : 600A, 50kHz 예상</t>
    <phoneticPr fontId="7" type="noConversion"/>
  </si>
  <si>
    <t>L값: 2.43uH  (높이 120mm 일때, 1EA 기준)</t>
    <phoneticPr fontId="7" type="noConversion"/>
  </si>
  <si>
    <t>3직렬 7병렬(콘덴서 21EA)</t>
    <phoneticPr fontId="7" type="noConversion"/>
  </si>
  <si>
    <t xml:space="preserve">6.3uF, 700V, 1000A : 대동콘덴서 </t>
    <phoneticPr fontId="8" type="noConversion"/>
  </si>
  <si>
    <t>최대 1220A(모듈당 610A)</t>
    <phoneticPr fontId="8" type="noConversion"/>
  </si>
  <si>
    <t xml:space="preserve">최대 6180A </t>
    <phoneticPr fontId="8" type="noConversion"/>
  </si>
  <si>
    <t xml:space="preserve">최대 4960A </t>
    <phoneticPr fontId="7" type="noConversion"/>
  </si>
  <si>
    <t>포스코 4냉연 2CAL과 동일
전원장치 1EA당 : 4EA</t>
    <phoneticPr fontId="7" type="noConversion"/>
  </si>
  <si>
    <t>,300:1 C/T를 2병렬하여 적용 (Dot 방향 동일하게 적용필요, TVS 제거 필요)</t>
    <phoneticPr fontId="7" type="noConversion"/>
  </si>
  <si>
    <t xml:space="preserve"> 2EA 적용
: TCC 동양 적용 모듈
게이트 보드 1EA당 : KKB01427(BRACKET_HEAT SINK) 2EA, KKF01006(HEAT SINK) 1EA 필요</t>
    <phoneticPr fontId="7" type="noConversion"/>
  </si>
  <si>
    <t>소선: 18 Ø ,2t</t>
    <phoneticPr fontId="7" type="noConversion"/>
  </si>
  <si>
    <t>TCC 동양과 동일 (출력케이블 길이에 따라 변경됨)</t>
    <phoneticPr fontId="7" type="noConversion"/>
  </si>
  <si>
    <t xml:space="preserve">턴 수 :5턴 </t>
    <phoneticPr fontId="7" type="noConversion"/>
  </si>
  <si>
    <t>내경 : 140 Ø</t>
    <phoneticPr fontId="7" type="noConversion"/>
  </si>
  <si>
    <t>높이: 100mm~150mm까지 가변--&gt; 125mm를 기준 높이로 제작</t>
    <phoneticPr fontId="7" type="noConversion"/>
  </si>
  <si>
    <t>TCC 동양 적용 소선</t>
    <phoneticPr fontId="7" type="noConversion"/>
  </si>
  <si>
    <t>2021.07.22</t>
    <phoneticPr fontId="9" type="noConversion"/>
  </si>
  <si>
    <t>2021.08.22</t>
    <phoneticPr fontId="7" type="noConversion"/>
  </si>
  <si>
    <t>202.08.28</t>
    <phoneticPr fontId="7" type="noConversion"/>
  </si>
  <si>
    <t>모듈 2개로 LCD상에서는 1220A</t>
    <phoneticPr fontId="7" type="noConversion"/>
  </si>
  <si>
    <t>모듈 2개로 LCD 설정은  160.0A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</si>
</sst>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0.00_ "/>
    <numFmt numFmtId="177" formatCode="0.000_ "/>
    <numFmt numFmtId="178" formatCode="0.0_ "/>
    <numFmt numFmtId="179" formatCode="0_ "/>
    <numFmt numFmtId="180" formatCode="0_);[Red]\(0\)"/>
    <numFmt numFmtId="181" formatCode="#,##0_);[Red]\(#,##0\)"/>
    <numFmt numFmtId="182" formatCode="_-* #,##0.0_-;\-* #,##0.0_-;_-* &quot;-&quot;_-;_-@_-"/>
    <numFmt numFmtId="183" formatCode="0.0"/>
    <numFmt numFmtId="184" formatCode="0.000"/>
    <numFmt numFmtId="185" formatCode="0.0000"/>
    <numFmt numFmtId="186" formatCode="0.0000_ "/>
    <numFmt numFmtId="187" formatCode="0.000_);[Red]\(0.000\)"/>
    <numFmt numFmtId="188" formatCode="0.0_);[Red]\(0.0\)"/>
  </numFmts>
  <fonts count="3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b/>
      <sz val="8"/>
      <name val="돋움"/>
      <family val="3"/>
      <charset val="129"/>
    </font>
    <font>
      <b/>
      <sz val="8"/>
      <name val="맑은 고딕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EB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41" fontId="6" fillId="0" borderId="0" applyFont="0" applyFill="0" applyBorder="0" applyAlignment="0" applyProtection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41" fontId="6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6">
    <xf numFmtId="0" fontId="0" fillId="0" borderId="0" xfId="0"/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81" fontId="11" fillId="7" borderId="2" xfId="0" applyNumberFormat="1" applyFont="1" applyFill="1" applyBorder="1" applyAlignment="1">
      <alignment vertical="center"/>
    </xf>
    <xf numFmtId="41" fontId="6" fillId="7" borderId="2" xfId="1" applyFont="1" applyFill="1" applyBorder="1" applyAlignment="1">
      <alignment vertical="center"/>
    </xf>
    <xf numFmtId="181" fontId="12" fillId="0" borderId="2" xfId="0" applyNumberFormat="1" applyFont="1" applyBorder="1" applyAlignment="1">
      <alignment vertical="center"/>
    </xf>
    <xf numFmtId="181" fontId="11" fillId="0" borderId="2" xfId="0" applyNumberFormat="1" applyFont="1" applyBorder="1" applyAlignment="1">
      <alignment vertical="center"/>
    </xf>
    <xf numFmtId="41" fontId="0" fillId="0" borderId="2" xfId="1" applyFont="1" applyBorder="1" applyAlignment="1">
      <alignment vertical="center"/>
    </xf>
    <xf numFmtId="181" fontId="0" fillId="0" borderId="2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81" fontId="0" fillId="7" borderId="2" xfId="0" applyNumberFormat="1" applyFill="1" applyBorder="1" applyAlignment="1">
      <alignment vertical="center"/>
    </xf>
    <xf numFmtId="41" fontId="15" fillId="7" borderId="2" xfId="1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178" fontId="19" fillId="7" borderId="2" xfId="0" applyNumberFormat="1" applyFont="1" applyFill="1" applyBorder="1" applyAlignment="1">
      <alignment horizontal="center" vertical="center"/>
    </xf>
    <xf numFmtId="180" fontId="6" fillId="7" borderId="2" xfId="1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10" fillId="0" borderId="2" xfId="0" applyFont="1" applyBorder="1" applyAlignment="1">
      <alignment horizontal="justify" vertical="center"/>
    </xf>
    <xf numFmtId="0" fontId="0" fillId="11" borderId="0" xfId="0" applyFill="1"/>
    <xf numFmtId="0" fontId="20" fillId="0" borderId="0" xfId="0" applyFont="1"/>
    <xf numFmtId="0" fontId="0" fillId="5" borderId="0" xfId="0" applyFill="1"/>
    <xf numFmtId="22" fontId="13" fillId="2" borderId="9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/>
    <xf numFmtId="0" fontId="0" fillId="1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2" borderId="9" xfId="0" applyFont="1" applyFill="1" applyBorder="1" applyAlignment="1">
      <alignment vertical="center" wrapText="1"/>
    </xf>
    <xf numFmtId="182" fontId="26" fillId="7" borderId="2" xfId="1" applyNumberFormat="1" applyFont="1" applyFill="1" applyBorder="1" applyAlignment="1">
      <alignment vertical="center"/>
    </xf>
    <xf numFmtId="0" fontId="24" fillId="0" borderId="2" xfId="0" applyFont="1" applyBorder="1" applyAlignment="1">
      <alignment horizontal="left"/>
    </xf>
    <xf numFmtId="0" fontId="24" fillId="10" borderId="2" xfId="0" applyFont="1" applyFill="1" applyBorder="1" applyAlignment="1">
      <alignment horizontal="left"/>
    </xf>
    <xf numFmtId="0" fontId="15" fillId="4" borderId="19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/>
    </xf>
    <xf numFmtId="180" fontId="15" fillId="2" borderId="23" xfId="0" applyNumberFormat="1" applyFont="1" applyFill="1" applyBorder="1" applyAlignment="1">
      <alignment horizontal="left" vertical="center"/>
    </xf>
    <xf numFmtId="188" fontId="15" fillId="2" borderId="23" xfId="0" applyNumberFormat="1" applyFont="1" applyFill="1" applyBorder="1" applyAlignment="1">
      <alignment horizontal="left" vertical="center"/>
    </xf>
    <xf numFmtId="179" fontId="15" fillId="2" borderId="23" xfId="0" applyNumberFormat="1" applyFont="1" applyFill="1" applyBorder="1" applyAlignment="1">
      <alignment horizontal="left" vertical="center"/>
    </xf>
    <xf numFmtId="0" fontId="15" fillId="2" borderId="24" xfId="0" applyFont="1" applyFill="1" applyBorder="1" applyAlignment="1">
      <alignment horizontal="left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12" borderId="27" xfId="0" applyFont="1" applyFill="1" applyBorder="1" applyAlignment="1">
      <alignment horizontal="center" vertical="center"/>
    </xf>
    <xf numFmtId="180" fontId="15" fillId="2" borderId="28" xfId="0" applyNumberFormat="1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/>
    </xf>
    <xf numFmtId="188" fontId="15" fillId="2" borderId="28" xfId="0" applyNumberFormat="1" applyFont="1" applyFill="1" applyBorder="1" applyAlignment="1">
      <alignment horizontal="left" vertical="center"/>
    </xf>
    <xf numFmtId="179" fontId="15" fillId="2" borderId="28" xfId="0" applyNumberFormat="1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15" fillId="1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/>
    </xf>
    <xf numFmtId="180" fontId="15" fillId="2" borderId="32" xfId="0" applyNumberFormat="1" applyFont="1" applyFill="1" applyBorder="1" applyAlignment="1">
      <alignment horizontal="left" vertical="center"/>
    </xf>
    <xf numFmtId="188" fontId="15" fillId="2" borderId="32" xfId="0" applyNumberFormat="1" applyFont="1" applyFill="1" applyBorder="1" applyAlignment="1">
      <alignment horizontal="left" vertical="center"/>
    </xf>
    <xf numFmtId="179" fontId="15" fillId="2" borderId="32" xfId="0" applyNumberFormat="1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left" vertical="center"/>
    </xf>
    <xf numFmtId="0" fontId="15" fillId="0" borderId="34" xfId="0" applyFont="1" applyBorder="1" applyAlignment="1">
      <alignment horizontal="left" vertical="center"/>
    </xf>
    <xf numFmtId="49" fontId="27" fillId="15" borderId="2" xfId="2" applyNumberFormat="1" applyFont="1" applyFill="1" applyBorder="1" applyAlignment="1">
      <alignment horizontal="center" vertical="center"/>
    </xf>
    <xf numFmtId="49" fontId="27" fillId="15" borderId="2" xfId="2" applyNumberFormat="1" applyFont="1" applyFill="1" applyBorder="1" applyAlignment="1">
      <alignment horizontal="center" vertical="center" wrapText="1"/>
    </xf>
    <xf numFmtId="183" fontId="27" fillId="15" borderId="5" xfId="2" applyNumberFormat="1" applyFont="1" applyFill="1" applyBorder="1" applyAlignment="1">
      <alignment horizontal="center" vertical="center" wrapText="1"/>
    </xf>
    <xf numFmtId="1" fontId="27" fillId="15" borderId="5" xfId="2" applyNumberFormat="1" applyFont="1" applyFill="1" applyBorder="1" applyAlignment="1">
      <alignment horizontal="center" vertical="center" wrapText="1"/>
    </xf>
    <xf numFmtId="49" fontId="27" fillId="15" borderId="6" xfId="2" applyNumberFormat="1" applyFont="1" applyFill="1" applyBorder="1" applyAlignment="1">
      <alignment horizontal="center" vertical="center" wrapText="1"/>
    </xf>
    <xf numFmtId="0" fontId="27" fillId="15" borderId="5" xfId="2" applyNumberFormat="1" applyFont="1" applyFill="1" applyBorder="1" applyAlignment="1">
      <alignment horizontal="center" vertical="center" wrapText="1"/>
    </xf>
    <xf numFmtId="49" fontId="27" fillId="15" borderId="5" xfId="2" applyNumberFormat="1" applyFont="1" applyFill="1" applyBorder="1" applyAlignment="1">
      <alignment horizontal="center" vertical="center"/>
    </xf>
    <xf numFmtId="183" fontId="27" fillId="15" borderId="5" xfId="2" applyNumberFormat="1" applyFont="1" applyFill="1" applyBorder="1" applyAlignment="1">
      <alignment horizontal="center" vertical="center"/>
    </xf>
    <xf numFmtId="183" fontId="27" fillId="15" borderId="2" xfId="2" applyNumberFormat="1" applyFont="1" applyFill="1" applyBorder="1" applyAlignment="1">
      <alignment horizontal="center" vertical="center"/>
    </xf>
    <xf numFmtId="49" fontId="27" fillId="15" borderId="5" xfId="2" applyNumberFormat="1" applyFont="1" applyFill="1" applyBorder="1" applyAlignment="1">
      <alignment horizontal="center" vertical="center" wrapText="1"/>
    </xf>
    <xf numFmtId="0" fontId="24" fillId="14" borderId="2" xfId="2" applyNumberFormat="1" applyFont="1" applyFill="1" applyBorder="1" applyAlignment="1">
      <alignment horizontal="right" vertical="center"/>
    </xf>
    <xf numFmtId="0" fontId="2" fillId="0" borderId="0" xfId="9">
      <alignment vertical="center"/>
    </xf>
    <xf numFmtId="183" fontId="27" fillId="15" borderId="13" xfId="2" applyNumberFormat="1" applyFont="1" applyFill="1" applyBorder="1" applyAlignment="1">
      <alignment horizontal="center" vertical="center"/>
    </xf>
    <xf numFmtId="0" fontId="27" fillId="15" borderId="13" xfId="2" applyNumberFormat="1" applyFont="1" applyFill="1" applyBorder="1" applyAlignment="1">
      <alignment horizontal="center" vertical="center"/>
    </xf>
    <xf numFmtId="1" fontId="13" fillId="17" borderId="2" xfId="9" applyNumberFormat="1" applyFont="1" applyFill="1" applyBorder="1">
      <alignment vertical="center"/>
    </xf>
    <xf numFmtId="183" fontId="13" fillId="17" borderId="2" xfId="9" applyNumberFormat="1" applyFont="1" applyFill="1" applyBorder="1">
      <alignment vertical="center"/>
    </xf>
    <xf numFmtId="183" fontId="13" fillId="14" borderId="2" xfId="9" applyNumberFormat="1" applyFont="1" applyFill="1" applyBorder="1">
      <alignment vertical="center"/>
    </xf>
    <xf numFmtId="183" fontId="24" fillId="17" borderId="2" xfId="2" applyNumberFormat="1" applyFont="1" applyFill="1" applyBorder="1">
      <alignment vertical="center"/>
    </xf>
    <xf numFmtId="2" fontId="13" fillId="17" borderId="2" xfId="9" applyNumberFormat="1" applyFont="1" applyFill="1" applyBorder="1">
      <alignment vertical="center"/>
    </xf>
    <xf numFmtId="183" fontId="13" fillId="16" borderId="2" xfId="9" applyNumberFormat="1" applyFont="1" applyFill="1" applyBorder="1" applyAlignment="1">
      <alignment vertical="center"/>
    </xf>
    <xf numFmtId="183" fontId="2" fillId="0" borderId="0" xfId="9" applyNumberFormat="1">
      <alignment vertical="center"/>
    </xf>
    <xf numFmtId="1" fontId="2" fillId="0" borderId="0" xfId="9" applyNumberFormat="1">
      <alignment vertical="center"/>
    </xf>
    <xf numFmtId="0" fontId="2" fillId="0" borderId="0" xfId="9" applyNumberFormat="1">
      <alignment vertical="center"/>
    </xf>
    <xf numFmtId="41" fontId="26" fillId="7" borderId="2" xfId="1" applyFont="1" applyFill="1" applyBorder="1" applyAlignment="1">
      <alignment vertical="center"/>
    </xf>
    <xf numFmtId="49" fontId="27" fillId="15" borderId="2" xfId="2" applyNumberFormat="1" applyFont="1" applyFill="1" applyBorder="1" applyAlignment="1">
      <alignment horizontal="center" vertical="center"/>
    </xf>
    <xf numFmtId="49" fontId="27" fillId="15" borderId="5" xfId="2" applyNumberFormat="1" applyFont="1" applyFill="1" applyBorder="1" applyAlignment="1">
      <alignment vertical="center" wrapText="1"/>
    </xf>
    <xf numFmtId="0" fontId="29" fillId="0" borderId="0" xfId="0" applyFont="1"/>
    <xf numFmtId="0" fontId="29" fillId="0" borderId="6" xfId="0" applyFont="1" applyBorder="1" applyAlignment="1"/>
    <xf numFmtId="0" fontId="30" fillId="0" borderId="0" xfId="4" applyFont="1">
      <alignment vertical="center"/>
    </xf>
    <xf numFmtId="0" fontId="29" fillId="0" borderId="35" xfId="0" applyFont="1" applyBorder="1" applyAlignment="1">
      <alignment horizontal="center"/>
    </xf>
    <xf numFmtId="0" fontId="24" fillId="0" borderId="4" xfId="2" applyFont="1" applyBorder="1">
      <alignment vertical="center"/>
    </xf>
    <xf numFmtId="183" fontId="24" fillId="8" borderId="2" xfId="2" applyNumberFormat="1" applyFont="1" applyFill="1" applyBorder="1">
      <alignment vertical="center"/>
    </xf>
    <xf numFmtId="0" fontId="24" fillId="0" borderId="2" xfId="2" applyFont="1" applyBorder="1">
      <alignment vertical="center"/>
    </xf>
    <xf numFmtId="0" fontId="31" fillId="0" borderId="2" xfId="0" applyFont="1" applyBorder="1" applyAlignment="1">
      <alignment horizontal="center" vertical="center"/>
    </xf>
    <xf numFmtId="0" fontId="25" fillId="0" borderId="2" xfId="2" applyFont="1" applyBorder="1">
      <alignment vertical="center"/>
    </xf>
    <xf numFmtId="0" fontId="24" fillId="0" borderId="0" xfId="2" applyFont="1" applyAlignment="1">
      <alignment vertical="center"/>
    </xf>
    <xf numFmtId="0" fontId="24" fillId="8" borderId="2" xfId="0" applyFont="1" applyFill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24" fillId="2" borderId="2" xfId="0" applyFont="1" applyFill="1" applyBorder="1" applyAlignment="1">
      <alignment vertical="center"/>
    </xf>
    <xf numFmtId="2" fontId="24" fillId="2" borderId="2" xfId="2" applyNumberFormat="1" applyFont="1" applyFill="1" applyBorder="1">
      <alignment vertical="center"/>
    </xf>
    <xf numFmtId="0" fontId="13" fillId="0" borderId="2" xfId="0" applyFont="1" applyBorder="1" applyAlignment="1">
      <alignment vertical="center"/>
    </xf>
    <xf numFmtId="0" fontId="32" fillId="0" borderId="2" xfId="0" applyNumberFormat="1" applyFont="1" applyBorder="1" applyAlignment="1">
      <alignment vertical="center"/>
    </xf>
    <xf numFmtId="183" fontId="24" fillId="6" borderId="2" xfId="2" applyNumberFormat="1" applyFont="1" applyFill="1" applyBorder="1">
      <alignment vertical="center"/>
    </xf>
    <xf numFmtId="0" fontId="13" fillId="0" borderId="2" xfId="0" applyNumberFormat="1" applyFont="1" applyBorder="1" applyAlignment="1">
      <alignment vertical="center"/>
    </xf>
    <xf numFmtId="183" fontId="24" fillId="2" borderId="2" xfId="2" applyNumberFormat="1" applyFont="1" applyFill="1" applyBorder="1">
      <alignment vertical="center"/>
    </xf>
    <xf numFmtId="0" fontId="24" fillId="4" borderId="2" xfId="0" applyFont="1" applyFill="1" applyBorder="1" applyAlignment="1">
      <alignment vertical="center"/>
    </xf>
    <xf numFmtId="0" fontId="32" fillId="2" borderId="2" xfId="0" applyNumberFormat="1" applyFont="1" applyFill="1" applyBorder="1" applyAlignment="1">
      <alignment vertical="center"/>
    </xf>
    <xf numFmtId="0" fontId="25" fillId="4" borderId="2" xfId="0" applyFont="1" applyFill="1" applyBorder="1" applyAlignment="1">
      <alignment vertical="center"/>
    </xf>
    <xf numFmtId="183" fontId="24" fillId="0" borderId="2" xfId="2" applyNumberFormat="1" applyFont="1" applyBorder="1">
      <alignment vertical="center"/>
    </xf>
    <xf numFmtId="1" fontId="32" fillId="0" borderId="2" xfId="0" applyNumberFormat="1" applyFont="1" applyBorder="1" applyAlignment="1">
      <alignment vertical="center"/>
    </xf>
    <xf numFmtId="0" fontId="13" fillId="8" borderId="2" xfId="0" applyNumberFormat="1" applyFont="1" applyFill="1" applyBorder="1" applyAlignment="1">
      <alignment vertical="center"/>
    </xf>
    <xf numFmtId="177" fontId="32" fillId="4" borderId="2" xfId="0" applyNumberFormat="1" applyFont="1" applyFill="1" applyBorder="1" applyAlignment="1">
      <alignment vertical="center"/>
    </xf>
    <xf numFmtId="0" fontId="24" fillId="12" borderId="4" xfId="2" applyFont="1" applyFill="1" applyBorder="1">
      <alignment vertical="center"/>
    </xf>
    <xf numFmtId="0" fontId="24" fillId="8" borderId="2" xfId="0" applyNumberFormat="1" applyFont="1" applyFill="1" applyBorder="1" applyAlignment="1">
      <alignment vertical="center"/>
    </xf>
    <xf numFmtId="178" fontId="13" fillId="8" borderId="2" xfId="0" applyNumberFormat="1" applyFont="1" applyFill="1" applyBorder="1" applyAlignment="1">
      <alignment vertical="center"/>
    </xf>
    <xf numFmtId="0" fontId="24" fillId="2" borderId="4" xfId="2" applyFont="1" applyFill="1" applyBorder="1">
      <alignment vertical="center"/>
    </xf>
    <xf numFmtId="2" fontId="24" fillId="8" borderId="2" xfId="2" applyNumberFormat="1" applyFont="1" applyFill="1" applyBorder="1">
      <alignment vertical="center"/>
    </xf>
    <xf numFmtId="187" fontId="25" fillId="4" borderId="2" xfId="0" applyNumberFormat="1" applyFont="1" applyFill="1" applyBorder="1" applyAlignment="1">
      <alignment vertical="center"/>
    </xf>
    <xf numFmtId="2" fontId="33" fillId="8" borderId="2" xfId="2" applyNumberFormat="1" applyFont="1" applyFill="1" applyBorder="1">
      <alignment vertical="center"/>
    </xf>
    <xf numFmtId="178" fontId="13" fillId="4" borderId="2" xfId="0" applyNumberFormat="1" applyFont="1" applyFill="1" applyBorder="1" applyAlignment="1">
      <alignment vertical="center"/>
    </xf>
    <xf numFmtId="2" fontId="24" fillId="2" borderId="2" xfId="5" applyNumberFormat="1" applyFont="1" applyFill="1" applyBorder="1"/>
    <xf numFmtId="0" fontId="24" fillId="0" borderId="2" xfId="2" applyFont="1" applyBorder="1" applyAlignment="1">
      <alignment vertical="center"/>
    </xf>
    <xf numFmtId="0" fontId="24" fillId="8" borderId="2" xfId="2" applyFont="1" applyFill="1" applyBorder="1" applyAlignment="1">
      <alignment vertical="center"/>
    </xf>
    <xf numFmtId="178" fontId="32" fillId="4" borderId="2" xfId="0" applyNumberFormat="1" applyFont="1" applyFill="1" applyBorder="1" applyAlignment="1">
      <alignment vertical="center"/>
    </xf>
    <xf numFmtId="177" fontId="13" fillId="0" borderId="2" xfId="0" applyNumberFormat="1" applyFont="1" applyBorder="1" applyAlignment="1">
      <alignment vertical="center"/>
    </xf>
    <xf numFmtId="0" fontId="29" fillId="0" borderId="0" xfId="2" applyFont="1">
      <alignment vertical="center"/>
    </xf>
    <xf numFmtId="178" fontId="25" fillId="9" borderId="2" xfId="0" applyNumberFormat="1" applyFont="1" applyFill="1" applyBorder="1" applyAlignment="1">
      <alignment vertical="center"/>
    </xf>
    <xf numFmtId="2" fontId="24" fillId="8" borderId="4" xfId="2" applyNumberFormat="1" applyFont="1" applyFill="1" applyBorder="1">
      <alignment vertical="center"/>
    </xf>
    <xf numFmtId="0" fontId="24" fillId="10" borderId="2" xfId="2" applyFont="1" applyFill="1" applyBorder="1" applyAlignment="1">
      <alignment vertical="center"/>
    </xf>
    <xf numFmtId="2" fontId="24" fillId="4" borderId="2" xfId="2" applyNumberFormat="1" applyFont="1" applyFill="1" applyBorder="1">
      <alignment vertical="center"/>
    </xf>
    <xf numFmtId="0" fontId="31" fillId="0" borderId="2" xfId="2" applyFont="1" applyBorder="1">
      <alignment vertical="center"/>
    </xf>
    <xf numFmtId="0" fontId="24" fillId="8" borderId="2" xfId="2" applyFont="1" applyFill="1" applyBorder="1">
      <alignment vertical="center"/>
    </xf>
    <xf numFmtId="0" fontId="25" fillId="4" borderId="2" xfId="2" applyFont="1" applyFill="1" applyBorder="1">
      <alignment vertical="center"/>
    </xf>
    <xf numFmtId="0" fontId="25" fillId="4" borderId="2" xfId="2" applyFont="1" applyFill="1" applyBorder="1" applyAlignment="1">
      <alignment vertical="center"/>
    </xf>
    <xf numFmtId="185" fontId="24" fillId="2" borderId="2" xfId="2" applyNumberFormat="1" applyFont="1" applyFill="1" applyBorder="1">
      <alignment vertical="center"/>
    </xf>
    <xf numFmtId="0" fontId="24" fillId="4" borderId="2" xfId="2" applyFont="1" applyFill="1" applyBorder="1" applyAlignment="1">
      <alignment vertical="center"/>
    </xf>
    <xf numFmtId="183" fontId="24" fillId="4" borderId="2" xfId="2" applyNumberFormat="1" applyFont="1" applyFill="1" applyBorder="1">
      <alignment vertical="center"/>
    </xf>
    <xf numFmtId="0" fontId="24" fillId="10" borderId="2" xfId="0" applyFont="1" applyFill="1" applyBorder="1" applyAlignment="1">
      <alignment vertical="center"/>
    </xf>
    <xf numFmtId="178" fontId="24" fillId="4" borderId="2" xfId="0" applyNumberFormat="1" applyFont="1" applyFill="1" applyBorder="1" applyAlignment="1">
      <alignment vertical="center"/>
    </xf>
    <xf numFmtId="178" fontId="25" fillId="4" borderId="2" xfId="0" applyNumberFormat="1" applyFont="1" applyFill="1" applyBorder="1" applyAlignment="1">
      <alignment vertical="center"/>
    </xf>
    <xf numFmtId="184" fontId="24" fillId="2" borderId="2" xfId="2" applyNumberFormat="1" applyFont="1" applyFill="1" applyBorder="1">
      <alignment vertical="center"/>
    </xf>
    <xf numFmtId="2" fontId="24" fillId="12" borderId="2" xfId="2" applyNumberFormat="1" applyFont="1" applyFill="1" applyBorder="1">
      <alignment vertical="center"/>
    </xf>
    <xf numFmtId="0" fontId="24" fillId="0" borderId="2" xfId="0" applyFont="1" applyFill="1" applyBorder="1" applyAlignment="1">
      <alignment vertical="center"/>
    </xf>
    <xf numFmtId="2" fontId="24" fillId="8" borderId="15" xfId="2" applyNumberFormat="1" applyFont="1" applyFill="1" applyBorder="1">
      <alignment vertical="center"/>
    </xf>
    <xf numFmtId="2" fontId="24" fillId="0" borderId="2" xfId="2" applyNumberFormat="1" applyFont="1" applyBorder="1">
      <alignment vertical="center"/>
    </xf>
    <xf numFmtId="183" fontId="24" fillId="12" borderId="2" xfId="2" applyNumberFormat="1" applyFont="1" applyFill="1" applyBorder="1">
      <alignment vertical="center"/>
    </xf>
    <xf numFmtId="0" fontId="31" fillId="0" borderId="2" xfId="2" applyFont="1" applyBorder="1" applyAlignment="1">
      <alignment vertical="center" wrapText="1"/>
    </xf>
    <xf numFmtId="0" fontId="25" fillId="4" borderId="2" xfId="2" quotePrefix="1" applyFont="1" applyFill="1" applyBorder="1" applyAlignment="1">
      <alignment vertical="center"/>
    </xf>
    <xf numFmtId="0" fontId="24" fillId="0" borderId="2" xfId="0" applyFont="1" applyBorder="1"/>
    <xf numFmtId="0" fontId="24" fillId="8" borderId="2" xfId="0" applyFont="1" applyFill="1" applyBorder="1"/>
    <xf numFmtId="0" fontId="31" fillId="0" borderId="0" xfId="0" applyFont="1" applyAlignment="1">
      <alignment horizontal="center" vertical="center"/>
    </xf>
    <xf numFmtId="0" fontId="24" fillId="12" borderId="2" xfId="2" applyFont="1" applyFill="1" applyBorder="1">
      <alignment vertical="center"/>
    </xf>
    <xf numFmtId="0" fontId="25" fillId="4" borderId="2" xfId="0" applyFont="1" applyFill="1" applyBorder="1"/>
    <xf numFmtId="0" fontId="24" fillId="8" borderId="2" xfId="0" applyFont="1" applyFill="1" applyBorder="1" applyAlignment="1">
      <alignment horizontal="right"/>
    </xf>
    <xf numFmtId="0" fontId="25" fillId="0" borderId="2" xfId="0" applyFont="1" applyBorder="1"/>
    <xf numFmtId="0" fontId="13" fillId="0" borderId="2" xfId="0" applyFont="1" applyBorder="1" applyAlignment="1">
      <alignment horizontal="left" vertical="center"/>
    </xf>
    <xf numFmtId="0" fontId="24" fillId="4" borderId="2" xfId="2" applyFont="1" applyFill="1" applyBorder="1">
      <alignment vertical="center"/>
    </xf>
    <xf numFmtId="178" fontId="24" fillId="2" borderId="2" xfId="0" applyNumberFormat="1" applyFont="1" applyFill="1" applyBorder="1"/>
    <xf numFmtId="1" fontId="25" fillId="4" borderId="2" xfId="0" applyNumberFormat="1" applyFont="1" applyFill="1" applyBorder="1" applyAlignment="1">
      <alignment vertical="center"/>
    </xf>
    <xf numFmtId="178" fontId="24" fillId="8" borderId="2" xfId="0" applyNumberFormat="1" applyFont="1" applyFill="1" applyBorder="1" applyAlignment="1">
      <alignment horizontal="right"/>
    </xf>
    <xf numFmtId="178" fontId="24" fillId="2" borderId="2" xfId="0" applyNumberFormat="1" applyFont="1" applyFill="1" applyBorder="1" applyAlignment="1">
      <alignment horizontal="right"/>
    </xf>
    <xf numFmtId="0" fontId="25" fillId="9" borderId="2" xfId="2" applyFont="1" applyFill="1" applyBorder="1">
      <alignment vertical="center"/>
    </xf>
    <xf numFmtId="178" fontId="31" fillId="4" borderId="2" xfId="0" applyNumberFormat="1" applyFont="1" applyFill="1" applyBorder="1" applyAlignment="1">
      <alignment horizontal="right"/>
    </xf>
    <xf numFmtId="178" fontId="24" fillId="6" borderId="2" xfId="0" applyNumberFormat="1" applyFont="1" applyFill="1" applyBorder="1" applyAlignment="1">
      <alignment horizontal="right"/>
    </xf>
    <xf numFmtId="0" fontId="24" fillId="3" borderId="2" xfId="0" applyFont="1" applyFill="1" applyBorder="1" applyAlignment="1">
      <alignment horizontal="left"/>
    </xf>
    <xf numFmtId="178" fontId="32" fillId="4" borderId="2" xfId="0" applyNumberFormat="1" applyFont="1" applyFill="1" applyBorder="1" applyAlignment="1">
      <alignment horizontal="right"/>
    </xf>
    <xf numFmtId="176" fontId="24" fillId="8" borderId="2" xfId="0" applyNumberFormat="1" applyFont="1" applyFill="1" applyBorder="1" applyAlignment="1">
      <alignment horizontal="right"/>
    </xf>
    <xf numFmtId="179" fontId="24" fillId="8" borderId="2" xfId="0" applyNumberFormat="1" applyFont="1" applyFill="1" applyBorder="1" applyAlignment="1">
      <alignment horizontal="right"/>
    </xf>
    <xf numFmtId="178" fontId="25" fillId="4" borderId="2" xfId="0" applyNumberFormat="1" applyFont="1" applyFill="1" applyBorder="1" applyAlignment="1">
      <alignment horizontal="right"/>
    </xf>
    <xf numFmtId="178" fontId="31" fillId="8" borderId="2" xfId="0" applyNumberFormat="1" applyFont="1" applyFill="1" applyBorder="1" applyAlignment="1">
      <alignment horizontal="right"/>
    </xf>
    <xf numFmtId="186" fontId="24" fillId="8" borderId="2" xfId="0" applyNumberFormat="1" applyFont="1" applyFill="1" applyBorder="1"/>
    <xf numFmtId="0" fontId="31" fillId="0" borderId="2" xfId="0" applyFont="1" applyBorder="1"/>
    <xf numFmtId="0" fontId="24" fillId="10" borderId="2" xfId="2" applyFont="1" applyFill="1" applyBorder="1">
      <alignment vertical="center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178" fontId="25" fillId="4" borderId="2" xfId="0" applyNumberFormat="1" applyFont="1" applyFill="1" applyBorder="1"/>
    <xf numFmtId="0" fontId="24" fillId="0" borderId="2" xfId="0" applyFont="1" applyFill="1" applyBorder="1"/>
    <xf numFmtId="178" fontId="32" fillId="2" borderId="2" xfId="0" applyNumberFormat="1" applyFont="1" applyFill="1" applyBorder="1"/>
    <xf numFmtId="0" fontId="24" fillId="2" borderId="2" xfId="0" applyFont="1" applyFill="1" applyBorder="1"/>
    <xf numFmtId="178" fontId="24" fillId="6" borderId="2" xfId="0" applyNumberFormat="1" applyFont="1" applyFill="1" applyBorder="1"/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 wrapText="1"/>
    </xf>
    <xf numFmtId="0" fontId="0" fillId="0" borderId="0" xfId="0" applyFill="1"/>
    <xf numFmtId="183" fontId="0" fillId="0" borderId="0" xfId="0" applyNumberFormat="1"/>
    <xf numFmtId="0" fontId="31" fillId="0" borderId="7" xfId="2" applyFont="1" applyBorder="1" applyAlignment="1">
      <alignment horizontal="left" vertical="center"/>
    </xf>
    <xf numFmtId="0" fontId="31" fillId="0" borderId="0" xfId="2" applyFont="1" applyAlignment="1">
      <alignment horizontal="left" vertical="center"/>
    </xf>
    <xf numFmtId="0" fontId="31" fillId="0" borderId="7" xfId="0" applyFont="1" applyBorder="1" applyAlignment="1">
      <alignment horizontal="left"/>
    </xf>
    <xf numFmtId="0" fontId="24" fillId="10" borderId="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41" fontId="6" fillId="7" borderId="4" xfId="1" applyFont="1" applyFill="1" applyBorder="1" applyAlignment="1">
      <alignment horizontal="center" vertical="center"/>
    </xf>
    <xf numFmtId="41" fontId="6" fillId="7" borderId="3" xfId="1" applyFont="1" applyFill="1" applyBorder="1" applyAlignment="1">
      <alignment horizontal="center" vertical="center"/>
    </xf>
    <xf numFmtId="41" fontId="6" fillId="7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7" fillId="15" borderId="2" xfId="2" applyNumberFormat="1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19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</cellXfs>
  <cellStyles count="12">
    <cellStyle name="쉼표 [0]" xfId="1" builtinId="6"/>
    <cellStyle name="쉼표 [0] 2" xfId="6"/>
    <cellStyle name="표준" xfId="0" builtinId="0"/>
    <cellStyle name="표준 2" xfId="3"/>
    <cellStyle name="표준 2 2" xfId="7"/>
    <cellStyle name="표준 2 2 2" xfId="11"/>
    <cellStyle name="표준 2 3" xfId="8"/>
    <cellStyle name="표준 2 4" xfId="10"/>
    <cellStyle name="표준 3" xfId="5"/>
    <cellStyle name="표준 4" xfId="4"/>
    <cellStyle name="표준 5" xfId="9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3640465" y="35332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19</xdr:row>
      <xdr:rowOff>61441</xdr:rowOff>
    </xdr:from>
    <xdr:to>
      <xdr:col>21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3778115" y="353616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58555</xdr:rowOff>
    </xdr:from>
    <xdr:to>
      <xdr:col>21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3640465" y="426479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23</xdr:row>
      <xdr:rowOff>61441</xdr:rowOff>
    </xdr:from>
    <xdr:to>
      <xdr:col>21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3778115" y="426768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54807</xdr:rowOff>
    </xdr:from>
    <xdr:to>
      <xdr:col>21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3902169" y="42610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1957059</xdr:colOff>
      <xdr:row>23</xdr:row>
      <xdr:rowOff>57693</xdr:rowOff>
    </xdr:from>
    <xdr:to>
      <xdr:col>21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4039819" y="42639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1549897</xdr:colOff>
      <xdr:row>27</xdr:row>
      <xdr:rowOff>23231</xdr:rowOff>
    </xdr:from>
    <xdr:to>
      <xdr:col>21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3632657" y="4960991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23231</xdr:rowOff>
    </xdr:from>
    <xdr:to>
      <xdr:col>21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3750790" y="4960991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1667817</xdr:colOff>
      <xdr:row>27</xdr:row>
      <xdr:rowOff>120160</xdr:rowOff>
    </xdr:from>
    <xdr:to>
      <xdr:col>21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3750577" y="50579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121015</xdr:rowOff>
    </xdr:from>
    <xdr:to>
      <xdr:col>21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3639285" y="5058775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3640465" y="353327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1695356</xdr:colOff>
      <xdr:row>19</xdr:row>
      <xdr:rowOff>55621</xdr:rowOff>
    </xdr:from>
    <xdr:to>
      <xdr:col>21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3778116" y="353034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56203</xdr:rowOff>
    </xdr:from>
    <xdr:to>
      <xdr:col>21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3640465" y="426244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1690298</xdr:colOff>
      <xdr:row>23</xdr:row>
      <xdr:rowOff>54429</xdr:rowOff>
    </xdr:from>
    <xdr:to>
      <xdr:col>21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3773058" y="426066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53245</xdr:rowOff>
    </xdr:from>
    <xdr:to>
      <xdr:col>21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3902169" y="425948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1950107</xdr:colOff>
      <xdr:row>23</xdr:row>
      <xdr:rowOff>54428</xdr:rowOff>
    </xdr:from>
    <xdr:to>
      <xdr:col>21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4032867" y="426066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1553159</xdr:colOff>
      <xdr:row>27</xdr:row>
      <xdr:rowOff>23664</xdr:rowOff>
    </xdr:from>
    <xdr:to>
      <xdr:col>21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3635919" y="496142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23230</xdr:rowOff>
    </xdr:from>
    <xdr:to>
      <xdr:col>21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3750790" y="496099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1664555</xdr:colOff>
      <xdr:row>27</xdr:row>
      <xdr:rowOff>120160</xdr:rowOff>
    </xdr:from>
    <xdr:to>
      <xdr:col>21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3747315" y="505792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124239</xdr:rowOff>
    </xdr:from>
    <xdr:to>
      <xdr:col>21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3639285" y="506199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3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4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5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6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7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9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0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2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3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5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6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7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8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19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0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10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11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12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13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14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66675</xdr:colOff>
      <xdr:row>3</xdr:row>
      <xdr:rowOff>9525</xdr:rowOff>
    </xdr:to>
    <xdr:sp macro="" textlink="">
      <xdr:nvSpPr>
        <xdr:cNvPr id="2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25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26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27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28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3</xdr:row>
      <xdr:rowOff>173355</xdr:rowOff>
    </xdr:to>
    <xdr:sp macro="" textlink="">
      <xdr:nvSpPr>
        <xdr:cNvPr id="229" name="Text Box 11"/>
        <xdr:cNvSpPr txBox="1">
          <a:spLocks noChangeArrowheads="1"/>
        </xdr:cNvSpPr>
      </xdr:nvSpPr>
      <xdr:spPr bwMode="auto">
        <a:xfrm>
          <a:off x="685800" y="1076325"/>
          <a:ext cx="666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5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6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7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8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39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5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6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7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8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49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5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5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5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5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25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5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5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5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5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5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6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7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8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29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0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1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2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3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4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5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6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7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8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39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0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1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609600</xdr:colOff>
      <xdr:row>3</xdr:row>
      <xdr:rowOff>0</xdr:rowOff>
    </xdr:from>
    <xdr:to>
      <xdr:col>2</xdr:col>
      <xdr:colOff>676275</xdr:colOff>
      <xdr:row>4</xdr:row>
      <xdr:rowOff>0</xdr:rowOff>
    </xdr:to>
    <xdr:sp macro="" textlink="">
      <xdr:nvSpPr>
        <xdr:cNvPr id="411" name="Text Box 11"/>
        <xdr:cNvSpPr txBox="1">
          <a:spLocks noChangeArrowheads="1"/>
        </xdr:cNvSpPr>
      </xdr:nvSpPr>
      <xdr:spPr bwMode="auto">
        <a:xfrm>
          <a:off x="609600" y="252412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</xdr:row>
      <xdr:rowOff>0</xdr:rowOff>
    </xdr:from>
    <xdr:to>
      <xdr:col>3</xdr:col>
      <xdr:colOff>57150</xdr:colOff>
      <xdr:row>4</xdr:row>
      <xdr:rowOff>0</xdr:rowOff>
    </xdr:to>
    <xdr:sp macro="" textlink="">
      <xdr:nvSpPr>
        <xdr:cNvPr id="412" name="Text Box 11"/>
        <xdr:cNvSpPr txBox="1">
          <a:spLocks noChangeArrowheads="1"/>
        </xdr:cNvSpPr>
      </xdr:nvSpPr>
      <xdr:spPr bwMode="auto">
        <a:xfrm>
          <a:off x="676275" y="26860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3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4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5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6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7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8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19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66675</xdr:colOff>
      <xdr:row>4</xdr:row>
      <xdr:rowOff>0</xdr:rowOff>
    </xdr:to>
    <xdr:sp macro="" textlink="">
      <xdr:nvSpPr>
        <xdr:cNvPr id="420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2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3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4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5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6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7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8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49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0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1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2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3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4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5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6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8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5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0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1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2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3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4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5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6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8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6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0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1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2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3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4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5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6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785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786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787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788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789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7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0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1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2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3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161925"/>
    <xdr:sp macro="" textlink="">
      <xdr:nvSpPr>
        <xdr:cNvPr id="804" name="Text Box 11"/>
        <xdr:cNvSpPr txBox="1">
          <a:spLocks noChangeArrowheads="1"/>
        </xdr:cNvSpPr>
      </xdr:nvSpPr>
      <xdr:spPr bwMode="auto">
        <a:xfrm>
          <a:off x="685800" y="3381375"/>
          <a:ext cx="666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0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0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1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2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3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4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1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0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1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2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3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4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82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3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4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5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6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7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8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89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0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1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2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3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4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5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6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7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8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3</xdr:row>
      <xdr:rowOff>0</xdr:rowOff>
    </xdr:from>
    <xdr:ext cx="66675" cy="209550"/>
    <xdr:sp macro="" textlink="">
      <xdr:nvSpPr>
        <xdr:cNvPr id="986" name="Text Box 11"/>
        <xdr:cNvSpPr txBox="1">
          <a:spLocks noChangeArrowheads="1"/>
        </xdr:cNvSpPr>
      </xdr:nvSpPr>
      <xdr:spPr bwMode="auto">
        <a:xfrm>
          <a:off x="676275" y="49911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87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88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89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90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91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92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93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09550"/>
    <xdr:sp macro="" textlink="">
      <xdr:nvSpPr>
        <xdr:cNvPr id="994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9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9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9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9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99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0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1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2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3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4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5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6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7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8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09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0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1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2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3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4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66675" cy="219075"/>
    <xdr:sp macro="" textlink="">
      <xdr:nvSpPr>
        <xdr:cNvPr id="115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609600</xdr:colOff>
      <xdr:row>3</xdr:row>
      <xdr:rowOff>0</xdr:rowOff>
    </xdr:from>
    <xdr:to>
      <xdr:col>2</xdr:col>
      <xdr:colOff>676275</xdr:colOff>
      <xdr:row>4</xdr:row>
      <xdr:rowOff>0</xdr:rowOff>
    </xdr:to>
    <xdr:sp macro="" textlink="">
      <xdr:nvSpPr>
        <xdr:cNvPr id="1151" name="Text Box 11"/>
        <xdr:cNvSpPr txBox="1">
          <a:spLocks noChangeArrowheads="1"/>
        </xdr:cNvSpPr>
      </xdr:nvSpPr>
      <xdr:spPr bwMode="auto">
        <a:xfrm>
          <a:off x="609600" y="252412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676275</xdr:colOff>
      <xdr:row>3</xdr:row>
      <xdr:rowOff>0</xdr:rowOff>
    </xdr:from>
    <xdr:to>
      <xdr:col>3</xdr:col>
      <xdr:colOff>57150</xdr:colOff>
      <xdr:row>4</xdr:row>
      <xdr:rowOff>0</xdr:rowOff>
    </xdr:to>
    <xdr:sp macro="" textlink="">
      <xdr:nvSpPr>
        <xdr:cNvPr id="1152" name="Text Box 11"/>
        <xdr:cNvSpPr txBox="1">
          <a:spLocks noChangeArrowheads="1"/>
        </xdr:cNvSpPr>
      </xdr:nvSpPr>
      <xdr:spPr bwMode="auto">
        <a:xfrm>
          <a:off x="676275" y="26860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609600</xdr:colOff>
      <xdr:row>3</xdr:row>
      <xdr:rowOff>0</xdr:rowOff>
    </xdr:from>
    <xdr:ext cx="66675" cy="209550"/>
    <xdr:sp macro="" textlink="">
      <xdr:nvSpPr>
        <xdr:cNvPr id="1153" name="Text Box 11"/>
        <xdr:cNvSpPr txBox="1">
          <a:spLocks noChangeArrowheads="1"/>
        </xdr:cNvSpPr>
      </xdr:nvSpPr>
      <xdr:spPr bwMode="auto">
        <a:xfrm>
          <a:off x="609600" y="482917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676275</xdr:colOff>
      <xdr:row>3</xdr:row>
      <xdr:rowOff>0</xdr:rowOff>
    </xdr:from>
    <xdr:ext cx="66675" cy="209550"/>
    <xdr:sp macro="" textlink="">
      <xdr:nvSpPr>
        <xdr:cNvPr id="1154" name="Text Box 11"/>
        <xdr:cNvSpPr txBox="1">
          <a:spLocks noChangeArrowheads="1"/>
        </xdr:cNvSpPr>
      </xdr:nvSpPr>
      <xdr:spPr bwMode="auto">
        <a:xfrm>
          <a:off x="676275" y="49911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609600</xdr:colOff>
      <xdr:row>3</xdr:row>
      <xdr:rowOff>0</xdr:rowOff>
    </xdr:from>
    <xdr:ext cx="66675" cy="220980"/>
    <xdr:sp macro="" textlink="">
      <xdr:nvSpPr>
        <xdr:cNvPr id="1155" name="Text Box 11"/>
        <xdr:cNvSpPr txBox="1">
          <a:spLocks noChangeArrowheads="1"/>
        </xdr:cNvSpPr>
      </xdr:nvSpPr>
      <xdr:spPr bwMode="auto">
        <a:xfrm>
          <a:off x="1287780" y="2604135"/>
          <a:ext cx="6667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3</xdr:row>
      <xdr:rowOff>0</xdr:rowOff>
    </xdr:from>
    <xdr:ext cx="59055" cy="220980"/>
    <xdr:sp macro="" textlink="">
      <xdr:nvSpPr>
        <xdr:cNvPr id="1156" name="Text Box 11"/>
        <xdr:cNvSpPr txBox="1">
          <a:spLocks noChangeArrowheads="1"/>
        </xdr:cNvSpPr>
      </xdr:nvSpPr>
      <xdr:spPr bwMode="auto">
        <a:xfrm>
          <a:off x="1354455" y="2766060"/>
          <a:ext cx="5905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3</xdr:row>
      <xdr:rowOff>0</xdr:rowOff>
    </xdr:from>
    <xdr:ext cx="66675" cy="209550"/>
    <xdr:sp macro="" textlink="">
      <xdr:nvSpPr>
        <xdr:cNvPr id="1157" name="Text Box 11"/>
        <xdr:cNvSpPr txBox="1">
          <a:spLocks noChangeArrowheads="1"/>
        </xdr:cNvSpPr>
      </xdr:nvSpPr>
      <xdr:spPr bwMode="auto">
        <a:xfrm>
          <a:off x="1354455" y="519684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609600</xdr:colOff>
      <xdr:row>3</xdr:row>
      <xdr:rowOff>0</xdr:rowOff>
    </xdr:from>
    <xdr:ext cx="66675" cy="220980"/>
    <xdr:sp macro="" textlink="">
      <xdr:nvSpPr>
        <xdr:cNvPr id="1158" name="Text Box 11"/>
        <xdr:cNvSpPr txBox="1">
          <a:spLocks noChangeArrowheads="1"/>
        </xdr:cNvSpPr>
      </xdr:nvSpPr>
      <xdr:spPr bwMode="auto">
        <a:xfrm>
          <a:off x="1287780" y="2604135"/>
          <a:ext cx="6667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3</xdr:row>
      <xdr:rowOff>0</xdr:rowOff>
    </xdr:from>
    <xdr:ext cx="59055" cy="220980"/>
    <xdr:sp macro="" textlink="">
      <xdr:nvSpPr>
        <xdr:cNvPr id="1159" name="Text Box 11"/>
        <xdr:cNvSpPr txBox="1">
          <a:spLocks noChangeArrowheads="1"/>
        </xdr:cNvSpPr>
      </xdr:nvSpPr>
      <xdr:spPr bwMode="auto">
        <a:xfrm>
          <a:off x="1354455" y="2766060"/>
          <a:ext cx="5905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609600</xdr:colOff>
      <xdr:row>3</xdr:row>
      <xdr:rowOff>0</xdr:rowOff>
    </xdr:from>
    <xdr:ext cx="66675" cy="209550"/>
    <xdr:sp macro="" textlink="">
      <xdr:nvSpPr>
        <xdr:cNvPr id="1160" name="Text Box 11"/>
        <xdr:cNvSpPr txBox="1">
          <a:spLocks noChangeArrowheads="1"/>
        </xdr:cNvSpPr>
      </xdr:nvSpPr>
      <xdr:spPr bwMode="auto">
        <a:xfrm>
          <a:off x="1287780" y="503491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3</xdr:row>
      <xdr:rowOff>0</xdr:rowOff>
    </xdr:from>
    <xdr:ext cx="66675" cy="209550"/>
    <xdr:sp macro="" textlink="">
      <xdr:nvSpPr>
        <xdr:cNvPr id="1161" name="Text Box 11"/>
        <xdr:cNvSpPr txBox="1">
          <a:spLocks noChangeArrowheads="1"/>
        </xdr:cNvSpPr>
      </xdr:nvSpPr>
      <xdr:spPr bwMode="auto">
        <a:xfrm>
          <a:off x="1354455" y="519684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4" sqref="H34"/>
    </sheetView>
  </sheetViews>
  <sheetFormatPr defaultRowHeight="14.4" customHeight="1"/>
  <cols>
    <col min="1" max="1" width="8.796875" style="111"/>
    <col min="2" max="2" width="25.296875" style="111" customWidth="1"/>
    <col min="3" max="5" width="11.296875" style="111" customWidth="1"/>
    <col min="6" max="6" width="7.09765625" style="111" bestFit="1" customWidth="1"/>
    <col min="7" max="7" width="8.296875" style="111" bestFit="1" customWidth="1"/>
    <col min="8" max="8" width="57.09765625" style="111" customWidth="1"/>
    <col min="9" max="9" width="8.796875" style="111"/>
    <col min="10" max="10" width="17.69921875" style="111" bestFit="1" customWidth="1"/>
    <col min="11" max="11" width="8.8984375" style="111" customWidth="1"/>
    <col min="12" max="12" width="8.8984375" style="111" bestFit="1" customWidth="1"/>
    <col min="13" max="13" width="12.09765625" style="111" bestFit="1" customWidth="1"/>
    <col min="14" max="14" width="20.8984375" style="111" bestFit="1" customWidth="1"/>
    <col min="15" max="15" width="9.796875" style="111" bestFit="1" customWidth="1"/>
    <col min="16" max="17" width="8.796875" style="111"/>
    <col min="18" max="18" width="17.59765625" style="111" bestFit="1" customWidth="1"/>
    <col min="19" max="19" width="9.3984375" style="111" bestFit="1" customWidth="1"/>
    <col min="20" max="21" width="8.796875" style="111"/>
    <col min="22" max="22" width="34.3984375" style="111" bestFit="1" customWidth="1"/>
    <col min="23" max="23" width="8.8984375" style="111" bestFit="1" customWidth="1"/>
    <col min="24" max="16384" width="8.796875" style="111"/>
  </cols>
  <sheetData>
    <row r="1" spans="2:24" ht="14.4" customHeight="1">
      <c r="D1" s="112"/>
      <c r="E1" s="112"/>
    </row>
    <row r="2" spans="2:24" ht="14.4" customHeight="1">
      <c r="B2" s="113" t="s">
        <v>664</v>
      </c>
      <c r="C2" s="114"/>
      <c r="D2" s="114"/>
      <c r="E2" s="114"/>
      <c r="G2" s="111" t="s">
        <v>313</v>
      </c>
    </row>
    <row r="3" spans="2:24" ht="14.4" customHeight="1">
      <c r="B3" s="115" t="s">
        <v>175</v>
      </c>
      <c r="C3" s="116">
        <v>500</v>
      </c>
      <c r="D3" s="116">
        <v>500</v>
      </c>
      <c r="E3" s="116">
        <v>500</v>
      </c>
      <c r="F3" s="117" t="s">
        <v>8</v>
      </c>
      <c r="G3" s="118">
        <v>1</v>
      </c>
      <c r="H3" s="119" t="s">
        <v>289</v>
      </c>
      <c r="J3" s="213" t="s">
        <v>314</v>
      </c>
      <c r="K3" s="213"/>
      <c r="L3" s="213"/>
      <c r="M3" s="120"/>
      <c r="N3" s="214" t="s">
        <v>315</v>
      </c>
      <c r="O3" s="214"/>
      <c r="P3" s="214"/>
      <c r="Q3" s="120"/>
      <c r="R3" s="214" t="s">
        <v>316</v>
      </c>
      <c r="S3" s="214"/>
      <c r="T3" s="214"/>
      <c r="U3" s="120"/>
      <c r="V3" s="213" t="s">
        <v>317</v>
      </c>
      <c r="W3" s="213"/>
      <c r="X3" s="213"/>
    </row>
    <row r="4" spans="2:24" ht="14.4" customHeight="1">
      <c r="B4" s="115" t="s">
        <v>176</v>
      </c>
      <c r="C4" s="116">
        <v>440</v>
      </c>
      <c r="D4" s="116">
        <v>440</v>
      </c>
      <c r="E4" s="116">
        <v>440</v>
      </c>
      <c r="F4" s="117" t="s">
        <v>0</v>
      </c>
      <c r="G4" s="118">
        <v>2</v>
      </c>
      <c r="H4" s="119" t="s">
        <v>290</v>
      </c>
      <c r="J4" s="50" t="s">
        <v>318</v>
      </c>
      <c r="K4" s="121"/>
      <c r="L4" s="50" t="s">
        <v>319</v>
      </c>
      <c r="M4" s="120"/>
      <c r="N4" s="50" t="s">
        <v>320</v>
      </c>
      <c r="O4" s="121">
        <v>600</v>
      </c>
      <c r="P4" s="50" t="s">
        <v>0</v>
      </c>
      <c r="Q4" s="120"/>
      <c r="R4" s="50" t="s">
        <v>36</v>
      </c>
      <c r="S4" s="122" t="s">
        <v>37</v>
      </c>
      <c r="T4" s="122"/>
      <c r="U4" s="120"/>
      <c r="V4" s="123" t="s">
        <v>321</v>
      </c>
      <c r="W4" s="121">
        <v>200</v>
      </c>
      <c r="X4" s="123" t="s">
        <v>5</v>
      </c>
    </row>
    <row r="5" spans="2:24" ht="14.4" customHeight="1">
      <c r="B5" s="115" t="s">
        <v>177</v>
      </c>
      <c r="C5" s="124">
        <v>0.9</v>
      </c>
      <c r="D5" s="124">
        <v>0.9</v>
      </c>
      <c r="E5" s="124">
        <v>0.9</v>
      </c>
      <c r="F5" s="117"/>
      <c r="G5" s="118"/>
      <c r="H5" s="117" t="s">
        <v>291</v>
      </c>
      <c r="J5" s="50" t="s">
        <v>3</v>
      </c>
      <c r="K5" s="121"/>
      <c r="L5" s="50" t="s">
        <v>4</v>
      </c>
      <c r="M5" s="120"/>
      <c r="N5" s="50" t="s">
        <v>322</v>
      </c>
      <c r="O5" s="121">
        <v>0.23</v>
      </c>
      <c r="P5" s="50" t="s">
        <v>38</v>
      </c>
      <c r="Q5" s="120"/>
      <c r="R5" s="125" t="s">
        <v>323</v>
      </c>
      <c r="S5" s="126">
        <v>1.75</v>
      </c>
      <c r="T5" s="125" t="s">
        <v>169</v>
      </c>
      <c r="U5" s="120"/>
      <c r="V5" s="123" t="s">
        <v>324</v>
      </c>
      <c r="W5" s="121">
        <v>7200</v>
      </c>
      <c r="X5" s="123" t="s">
        <v>1</v>
      </c>
    </row>
    <row r="6" spans="2:24" ht="14.4" customHeight="1">
      <c r="B6" s="115" t="s">
        <v>178</v>
      </c>
      <c r="C6" s="127">
        <f t="shared" ref="C6:E6" si="0">ROUND(C3*1000/(C4*0.9)/(3^0.5)/C5,1)</f>
        <v>810</v>
      </c>
      <c r="D6" s="127">
        <f t="shared" si="0"/>
        <v>810</v>
      </c>
      <c r="E6" s="127">
        <f t="shared" si="0"/>
        <v>810</v>
      </c>
      <c r="F6" s="117" t="s">
        <v>1</v>
      </c>
      <c r="G6" s="118"/>
      <c r="H6" s="117" t="s">
        <v>292</v>
      </c>
      <c r="J6" s="50" t="s">
        <v>325</v>
      </c>
      <c r="K6" s="121"/>
      <c r="L6" s="50" t="s">
        <v>4</v>
      </c>
      <c r="M6" s="120"/>
      <c r="N6" s="50" t="s">
        <v>39</v>
      </c>
      <c r="O6" s="121">
        <v>48</v>
      </c>
      <c r="P6" s="50" t="s">
        <v>326</v>
      </c>
      <c r="Q6" s="120"/>
      <c r="R6" s="125" t="s">
        <v>40</v>
      </c>
      <c r="S6" s="128">
        <v>3.8999999999999998E-3</v>
      </c>
      <c r="T6" s="125" t="s">
        <v>41</v>
      </c>
      <c r="U6" s="120"/>
      <c r="V6" s="123" t="s">
        <v>327</v>
      </c>
      <c r="W6" s="121">
        <v>12800</v>
      </c>
      <c r="X6" s="123" t="s">
        <v>9</v>
      </c>
    </row>
    <row r="7" spans="2:24" ht="14.4" customHeight="1">
      <c r="B7" s="115" t="s">
        <v>179</v>
      </c>
      <c r="C7" s="129">
        <v>2</v>
      </c>
      <c r="D7" s="129">
        <v>2</v>
      </c>
      <c r="E7" s="129">
        <v>2</v>
      </c>
      <c r="F7" s="117" t="s">
        <v>201</v>
      </c>
      <c r="G7" s="118"/>
      <c r="H7" s="117"/>
      <c r="J7" s="50" t="s">
        <v>328</v>
      </c>
      <c r="K7" s="130"/>
      <c r="L7" s="50" t="s">
        <v>5</v>
      </c>
      <c r="M7" s="120"/>
      <c r="N7" s="50" t="s">
        <v>329</v>
      </c>
      <c r="O7" s="121">
        <v>45000</v>
      </c>
      <c r="P7" s="50" t="s">
        <v>330</v>
      </c>
      <c r="Q7" s="120"/>
      <c r="R7" s="125" t="s">
        <v>42</v>
      </c>
      <c r="S7" s="131">
        <v>20</v>
      </c>
      <c r="T7" s="125" t="s">
        <v>43</v>
      </c>
      <c r="U7" s="120"/>
      <c r="V7" s="123" t="s">
        <v>44</v>
      </c>
      <c r="W7" s="121">
        <v>645</v>
      </c>
      <c r="X7" s="123" t="s">
        <v>0</v>
      </c>
    </row>
    <row r="8" spans="2:24" ht="14.4" customHeight="1">
      <c r="B8" s="115" t="s">
        <v>180</v>
      </c>
      <c r="C8" s="129">
        <f t="shared" ref="C8:E8" si="1">ROUND(C6/C7,0)</f>
        <v>405</v>
      </c>
      <c r="D8" s="129">
        <f t="shared" si="1"/>
        <v>405</v>
      </c>
      <c r="E8" s="129">
        <f t="shared" si="1"/>
        <v>405</v>
      </c>
      <c r="F8" s="117" t="s">
        <v>202</v>
      </c>
      <c r="G8" s="118"/>
      <c r="H8" s="117"/>
      <c r="J8" s="50" t="s">
        <v>331</v>
      </c>
      <c r="K8" s="121"/>
      <c r="L8" s="50" t="s">
        <v>2</v>
      </c>
      <c r="M8" s="120"/>
      <c r="N8" s="50" t="s">
        <v>332</v>
      </c>
      <c r="O8" s="132">
        <f>(5000*O4)/(O5*O6*O7)</f>
        <v>6.0386473429951684</v>
      </c>
      <c r="P8" s="50" t="s">
        <v>333</v>
      </c>
      <c r="Q8" s="120"/>
      <c r="R8" s="125" t="s">
        <v>45</v>
      </c>
      <c r="S8" s="128">
        <f>S5*(1+S6*(S7-20))</f>
        <v>1.75</v>
      </c>
      <c r="T8" s="125" t="s">
        <v>169</v>
      </c>
      <c r="U8" s="120"/>
      <c r="V8" s="123" t="s">
        <v>334</v>
      </c>
      <c r="W8" s="132">
        <f>SQRT(W7^2+W4*W5^2/W6)</f>
        <v>1107.2601320376345</v>
      </c>
      <c r="X8" s="123" t="s">
        <v>0</v>
      </c>
    </row>
    <row r="9" spans="2:24" ht="14.4" customHeight="1">
      <c r="B9" s="115"/>
      <c r="C9" s="133"/>
      <c r="D9" s="133"/>
      <c r="E9" s="133"/>
      <c r="F9" s="117"/>
      <c r="G9" s="118"/>
      <c r="H9" s="117"/>
      <c r="J9" s="50" t="s">
        <v>335</v>
      </c>
      <c r="K9" s="130"/>
      <c r="L9" s="50" t="s">
        <v>5</v>
      </c>
      <c r="M9" s="120"/>
      <c r="N9" s="120"/>
      <c r="O9" s="120"/>
      <c r="P9" s="120"/>
      <c r="Q9" s="120"/>
      <c r="R9" s="125" t="s">
        <v>336</v>
      </c>
      <c r="S9" s="134">
        <f>1/(S8/100000000)</f>
        <v>57142857.142857142</v>
      </c>
      <c r="T9" s="125" t="s">
        <v>337</v>
      </c>
      <c r="U9" s="120"/>
      <c r="V9" s="120"/>
      <c r="W9" s="120"/>
      <c r="X9" s="120"/>
    </row>
    <row r="10" spans="2:24" ht="14.4" customHeight="1">
      <c r="B10" s="115" t="s">
        <v>181</v>
      </c>
      <c r="C10" s="127">
        <f t="shared" ref="C10:E10" si="2">ROUND(C4*2^0.5*0.93,1)</f>
        <v>578.70000000000005</v>
      </c>
      <c r="D10" s="127">
        <f t="shared" si="2"/>
        <v>578.70000000000005</v>
      </c>
      <c r="E10" s="127">
        <f t="shared" si="2"/>
        <v>578.70000000000005</v>
      </c>
      <c r="F10" s="117" t="s">
        <v>0</v>
      </c>
      <c r="G10" s="118"/>
      <c r="H10" s="117" t="s">
        <v>293</v>
      </c>
      <c r="J10" s="123" t="s">
        <v>338</v>
      </c>
      <c r="K10" s="121"/>
      <c r="L10" s="50" t="s">
        <v>5</v>
      </c>
      <c r="M10" s="120"/>
      <c r="N10" s="214" t="s">
        <v>339</v>
      </c>
      <c r="O10" s="214"/>
      <c r="P10" s="214"/>
      <c r="Q10" s="120"/>
      <c r="R10" s="125" t="s">
        <v>340</v>
      </c>
      <c r="S10" s="122">
        <v>1</v>
      </c>
      <c r="T10" s="125" t="s">
        <v>341</v>
      </c>
      <c r="U10" s="120"/>
      <c r="V10" s="213" t="s">
        <v>342</v>
      </c>
      <c r="W10" s="213"/>
      <c r="X10" s="213"/>
    </row>
    <row r="11" spans="2:24" ht="14.4" customHeight="1">
      <c r="B11" s="115" t="s">
        <v>182</v>
      </c>
      <c r="C11" s="127">
        <f t="shared" ref="C11:E11" si="3">ROUND(C3*1000/C10,1)</f>
        <v>864</v>
      </c>
      <c r="D11" s="127">
        <f t="shared" si="3"/>
        <v>864</v>
      </c>
      <c r="E11" s="127">
        <f t="shared" si="3"/>
        <v>864</v>
      </c>
      <c r="F11" s="117" t="s">
        <v>1</v>
      </c>
      <c r="G11" s="118"/>
      <c r="H11" s="117" t="s">
        <v>294</v>
      </c>
      <c r="J11" s="123" t="s">
        <v>343</v>
      </c>
      <c r="K11" s="121"/>
      <c r="L11" s="50" t="s">
        <v>205</v>
      </c>
      <c r="M11" s="120"/>
      <c r="N11" s="50" t="s">
        <v>344</v>
      </c>
      <c r="O11" s="121">
        <v>74.3</v>
      </c>
      <c r="P11" s="50" t="s">
        <v>9</v>
      </c>
      <c r="Q11" s="120"/>
      <c r="R11" s="125" t="s">
        <v>46</v>
      </c>
      <c r="S11" s="135">
        <v>65000</v>
      </c>
      <c r="T11" s="125" t="s">
        <v>345</v>
      </c>
      <c r="U11" s="120"/>
      <c r="V11" s="50" t="s">
        <v>327</v>
      </c>
      <c r="W11" s="121">
        <v>2800</v>
      </c>
      <c r="X11" s="50" t="s">
        <v>9</v>
      </c>
    </row>
    <row r="12" spans="2:24" ht="14.4" customHeight="1">
      <c r="B12" s="115"/>
      <c r="C12" s="133"/>
      <c r="D12" s="133"/>
      <c r="E12" s="133"/>
      <c r="F12" s="117"/>
      <c r="G12" s="118"/>
      <c r="H12" s="117"/>
      <c r="J12" s="123" t="s">
        <v>346</v>
      </c>
      <c r="K12" s="121"/>
      <c r="L12" s="50" t="s">
        <v>347</v>
      </c>
      <c r="M12" s="120"/>
      <c r="N12" s="50" t="s">
        <v>348</v>
      </c>
      <c r="O12" s="121">
        <v>2.67</v>
      </c>
      <c r="P12" s="50" t="s">
        <v>5</v>
      </c>
      <c r="Q12" s="120"/>
      <c r="R12" s="125" t="s">
        <v>170</v>
      </c>
      <c r="S12" s="136">
        <f>503.3*SQRT((S8/100000000)/(S10*S11))*1000</f>
        <v>0.26114954675287255</v>
      </c>
      <c r="T12" s="125" t="s">
        <v>171</v>
      </c>
      <c r="U12" s="120"/>
      <c r="V12" s="50" t="s">
        <v>349</v>
      </c>
      <c r="W12" s="121">
        <v>675</v>
      </c>
      <c r="X12" s="50" t="s">
        <v>0</v>
      </c>
    </row>
    <row r="13" spans="2:24" ht="14.4" customHeight="1">
      <c r="B13" s="137" t="s">
        <v>183</v>
      </c>
      <c r="C13" s="133"/>
      <c r="D13" s="133"/>
      <c r="E13" s="133"/>
      <c r="F13" s="117"/>
      <c r="G13" s="118"/>
      <c r="H13" s="117"/>
      <c r="J13" s="123" t="s">
        <v>350</v>
      </c>
      <c r="K13" s="138"/>
      <c r="L13" s="50" t="s">
        <v>351</v>
      </c>
      <c r="M13" s="120"/>
      <c r="N13" s="50" t="s">
        <v>47</v>
      </c>
      <c r="O13" s="132">
        <f>1/(2*3.14*SQRT((O11/1000000)*(O12/1000000)))</f>
        <v>11305.514171052879</v>
      </c>
      <c r="P13" s="50" t="s">
        <v>352</v>
      </c>
      <c r="Q13" s="120"/>
      <c r="R13" s="125" t="s">
        <v>48</v>
      </c>
      <c r="S13" s="139">
        <v>6126</v>
      </c>
      <c r="T13" s="125" t="s">
        <v>171</v>
      </c>
      <c r="U13" s="120"/>
      <c r="V13" s="50" t="s">
        <v>324</v>
      </c>
      <c r="W13" s="121">
        <v>1100</v>
      </c>
      <c r="X13" s="50" t="s">
        <v>1</v>
      </c>
    </row>
    <row r="14" spans="2:24" ht="14.4" customHeight="1">
      <c r="B14" s="140" t="s">
        <v>207</v>
      </c>
      <c r="C14" s="141">
        <v>0.7</v>
      </c>
      <c r="D14" s="141">
        <v>0.7</v>
      </c>
      <c r="E14" s="141">
        <v>0.7</v>
      </c>
      <c r="F14" s="117" t="s">
        <v>5</v>
      </c>
      <c r="G14" s="118">
        <v>3</v>
      </c>
      <c r="H14" s="119" t="s">
        <v>295</v>
      </c>
      <c r="J14" s="123" t="s">
        <v>353</v>
      </c>
      <c r="K14" s="142"/>
      <c r="L14" s="50" t="s">
        <v>5</v>
      </c>
      <c r="M14" s="120"/>
      <c r="N14" s="120"/>
      <c r="O14" s="120"/>
      <c r="P14" s="120"/>
      <c r="Q14" s="120"/>
      <c r="R14" s="125" t="s">
        <v>49</v>
      </c>
      <c r="S14" s="139">
        <v>5</v>
      </c>
      <c r="T14" s="125" t="s">
        <v>171</v>
      </c>
      <c r="U14" s="120"/>
      <c r="V14" s="50" t="s">
        <v>354</v>
      </c>
      <c r="W14" s="121">
        <v>50000</v>
      </c>
      <c r="X14" s="50" t="s">
        <v>330</v>
      </c>
    </row>
    <row r="15" spans="2:24" ht="14.4" customHeight="1">
      <c r="B15" s="140" t="s">
        <v>208</v>
      </c>
      <c r="C15" s="143">
        <v>2.85</v>
      </c>
      <c r="D15" s="143">
        <v>2.85</v>
      </c>
      <c r="E15" s="143">
        <v>2.85</v>
      </c>
      <c r="F15" s="117" t="s">
        <v>5</v>
      </c>
      <c r="G15" s="118">
        <v>6</v>
      </c>
      <c r="H15" s="119" t="s">
        <v>311</v>
      </c>
      <c r="J15" s="120"/>
      <c r="K15" s="120"/>
      <c r="L15" s="120"/>
      <c r="M15" s="120"/>
      <c r="N15" s="214" t="s">
        <v>355</v>
      </c>
      <c r="O15" s="214"/>
      <c r="P15" s="214"/>
      <c r="Q15" s="120"/>
      <c r="R15" s="125" t="s">
        <v>50</v>
      </c>
      <c r="S15" s="144">
        <f>MIN(S12,S14)</f>
        <v>0.26114954675287255</v>
      </c>
      <c r="T15" s="125" t="s">
        <v>171</v>
      </c>
      <c r="U15" s="120"/>
      <c r="V15" s="50" t="s">
        <v>356</v>
      </c>
      <c r="W15" s="130">
        <f>(1.414*W13*0.421)/(2*3.14159*W14*W12*2*W11*0.000001)*2*100</f>
        <v>0.11028409417123411</v>
      </c>
      <c r="X15" s="50" t="s">
        <v>2</v>
      </c>
    </row>
    <row r="16" spans="2:24" ht="14.4" customHeight="1">
      <c r="B16" s="115" t="s">
        <v>206</v>
      </c>
      <c r="C16" s="145">
        <f t="shared" ref="C16:E16" si="4">(C14*C15)/(C14+C15)</f>
        <v>0.56197183098591552</v>
      </c>
      <c r="D16" s="145">
        <f t="shared" si="4"/>
        <v>0.56197183098591552</v>
      </c>
      <c r="E16" s="145">
        <f t="shared" si="4"/>
        <v>0.56197183098591552</v>
      </c>
      <c r="F16" s="117" t="s">
        <v>5</v>
      </c>
      <c r="G16" s="118"/>
      <c r="H16" s="117"/>
      <c r="J16" s="213" t="s">
        <v>357</v>
      </c>
      <c r="K16" s="213"/>
      <c r="L16" s="213"/>
      <c r="M16" s="120"/>
      <c r="N16" s="50" t="s">
        <v>51</v>
      </c>
      <c r="O16" s="121">
        <v>10</v>
      </c>
      <c r="P16" s="50" t="s">
        <v>7</v>
      </c>
      <c r="Q16" s="120"/>
      <c r="R16" s="125" t="s">
        <v>358</v>
      </c>
      <c r="S16" s="139">
        <v>200</v>
      </c>
      <c r="T16" s="125" t="s">
        <v>171</v>
      </c>
      <c r="U16" s="120"/>
      <c r="V16" s="50" t="s">
        <v>52</v>
      </c>
      <c r="W16" s="132">
        <f>W12*W15/100</f>
        <v>0.74441763565583019</v>
      </c>
      <c r="X16" s="50" t="s">
        <v>0</v>
      </c>
    </row>
    <row r="17" spans="2:24" ht="14.4" customHeight="1">
      <c r="B17" s="115" t="s">
        <v>184</v>
      </c>
      <c r="C17" s="141">
        <v>14.7</v>
      </c>
      <c r="D17" s="141">
        <v>14.7</v>
      </c>
      <c r="E17" s="141">
        <v>14.7</v>
      </c>
      <c r="F17" s="117" t="s">
        <v>9</v>
      </c>
      <c r="G17" s="118">
        <v>5</v>
      </c>
      <c r="H17" s="119" t="s">
        <v>296</v>
      </c>
      <c r="J17" s="146" t="s">
        <v>359</v>
      </c>
      <c r="K17" s="147">
        <v>6.3</v>
      </c>
      <c r="L17" s="146" t="s">
        <v>9</v>
      </c>
      <c r="M17" s="120"/>
      <c r="N17" s="50" t="s">
        <v>360</v>
      </c>
      <c r="O17" s="121">
        <v>10</v>
      </c>
      <c r="P17" s="50" t="s">
        <v>10</v>
      </c>
      <c r="Q17" s="120"/>
      <c r="R17" s="125" t="s">
        <v>53</v>
      </c>
      <c r="S17" s="148">
        <f>S15*S16</f>
        <v>52.229909350574509</v>
      </c>
      <c r="T17" s="125" t="s">
        <v>172</v>
      </c>
      <c r="U17" s="120"/>
      <c r="V17" s="50" t="s">
        <v>361</v>
      </c>
      <c r="W17" s="132">
        <f>2*3.14159*W14*W11*0.000001*W16</f>
        <v>654.82339999999988</v>
      </c>
      <c r="X17" s="50" t="s">
        <v>1</v>
      </c>
    </row>
    <row r="18" spans="2:24" ht="14.4" customHeight="1">
      <c r="B18" s="115" t="s">
        <v>185</v>
      </c>
      <c r="C18" s="124">
        <f t="shared" ref="C18:E18" si="5">1000/(2*PI()*(C16*C17)^0.5)</f>
        <v>55.373782532425949</v>
      </c>
      <c r="D18" s="124">
        <f t="shared" si="5"/>
        <v>55.373782532425949</v>
      </c>
      <c r="E18" s="124">
        <f t="shared" si="5"/>
        <v>55.373782532425949</v>
      </c>
      <c r="F18" s="117" t="s">
        <v>10</v>
      </c>
      <c r="G18" s="118"/>
      <c r="H18" s="117" t="s">
        <v>297</v>
      </c>
      <c r="J18" s="146" t="s">
        <v>362</v>
      </c>
      <c r="K18" s="147">
        <v>1</v>
      </c>
      <c r="L18" s="146" t="s">
        <v>363</v>
      </c>
      <c r="M18" s="120"/>
      <c r="N18" s="50" t="s">
        <v>364</v>
      </c>
      <c r="O18" s="121">
        <v>1200</v>
      </c>
      <c r="P18" s="50" t="s">
        <v>1</v>
      </c>
      <c r="Q18" s="120"/>
      <c r="R18" s="125" t="s">
        <v>365</v>
      </c>
      <c r="S18" s="139">
        <v>1000</v>
      </c>
      <c r="T18" s="149" t="s">
        <v>366</v>
      </c>
      <c r="U18" s="120"/>
      <c r="V18" s="120"/>
      <c r="W18" s="150"/>
      <c r="X18" s="150"/>
    </row>
    <row r="19" spans="2:24" ht="14.4" customHeight="1">
      <c r="B19" s="115" t="s">
        <v>219</v>
      </c>
      <c r="C19" s="116">
        <v>30</v>
      </c>
      <c r="D19" s="116">
        <v>30</v>
      </c>
      <c r="E19" s="116">
        <v>30</v>
      </c>
      <c r="F19" s="117" t="s">
        <v>203</v>
      </c>
      <c r="G19" s="118">
        <v>4</v>
      </c>
      <c r="H19" s="119" t="s">
        <v>298</v>
      </c>
      <c r="J19" s="146" t="s">
        <v>367</v>
      </c>
      <c r="K19" s="147">
        <v>700</v>
      </c>
      <c r="L19" s="146" t="s">
        <v>0</v>
      </c>
      <c r="M19" s="120"/>
      <c r="N19" s="50" t="s">
        <v>368</v>
      </c>
      <c r="O19" s="132">
        <f>(O18)/(2*3.14*O17*1000*(O16/1000000))</f>
        <v>1910.8280254777067</v>
      </c>
      <c r="P19" s="50" t="s">
        <v>0</v>
      </c>
      <c r="Q19" s="120"/>
      <c r="R19" s="125" t="s">
        <v>54</v>
      </c>
      <c r="S19" s="151">
        <f>S18/S17</f>
        <v>19.146117855343366</v>
      </c>
      <c r="T19" s="149" t="s">
        <v>366</v>
      </c>
      <c r="U19" s="120"/>
      <c r="V19" s="213" t="s">
        <v>369</v>
      </c>
      <c r="W19" s="213"/>
      <c r="X19" s="213"/>
    </row>
    <row r="20" spans="2:24" ht="14.4" customHeight="1">
      <c r="B20" s="115" t="s">
        <v>186</v>
      </c>
      <c r="C20" s="152">
        <v>10</v>
      </c>
      <c r="D20" s="152">
        <v>12</v>
      </c>
      <c r="E20" s="152">
        <v>15</v>
      </c>
      <c r="F20" s="117"/>
      <c r="G20" s="118">
        <v>7</v>
      </c>
      <c r="H20" s="119" t="s">
        <v>299</v>
      </c>
      <c r="J20" s="146" t="s">
        <v>370</v>
      </c>
      <c r="K20" s="147">
        <v>1000</v>
      </c>
      <c r="L20" s="146" t="s">
        <v>1</v>
      </c>
      <c r="M20" s="120"/>
      <c r="N20" s="120"/>
      <c r="O20" s="120"/>
      <c r="P20" s="120"/>
      <c r="Q20" s="120"/>
      <c r="R20" s="125" t="s">
        <v>371</v>
      </c>
      <c r="S20" s="151">
        <f>S8/100000000*(S18^2)/(S17/1000000)*S13/1000</f>
        <v>2052.5595646820857</v>
      </c>
      <c r="T20" s="149" t="s">
        <v>372</v>
      </c>
      <c r="U20" s="120"/>
      <c r="V20" s="153" t="s">
        <v>373</v>
      </c>
      <c r="W20" s="117">
        <v>0.9133</v>
      </c>
      <c r="X20" s="117" t="s">
        <v>6</v>
      </c>
    </row>
    <row r="21" spans="2:24" ht="14.4" customHeight="1">
      <c r="B21" s="115" t="s">
        <v>187</v>
      </c>
      <c r="C21" s="154">
        <f>C18</f>
        <v>55.373782532425949</v>
      </c>
      <c r="D21" s="154">
        <f>D18</f>
        <v>55.373782532425949</v>
      </c>
      <c r="E21" s="154">
        <f>E18</f>
        <v>55.373782532425949</v>
      </c>
      <c r="F21" s="117" t="s">
        <v>10</v>
      </c>
      <c r="G21" s="118"/>
      <c r="H21" s="155" t="s">
        <v>310</v>
      </c>
      <c r="J21" s="146" t="s">
        <v>374</v>
      </c>
      <c r="K21" s="147">
        <v>1</v>
      </c>
      <c r="L21" s="146" t="s">
        <v>363</v>
      </c>
      <c r="M21" s="120"/>
      <c r="N21" s="214" t="s">
        <v>375</v>
      </c>
      <c r="O21" s="214"/>
      <c r="P21" s="214"/>
      <c r="Q21" s="120"/>
      <c r="R21" s="120"/>
      <c r="S21" s="120"/>
      <c r="T21" s="120"/>
      <c r="U21" s="120"/>
      <c r="V21" s="146" t="s">
        <v>376</v>
      </c>
      <c r="W21" s="156">
        <v>3</v>
      </c>
      <c r="X21" s="117" t="s">
        <v>377</v>
      </c>
    </row>
    <row r="22" spans="2:24" ht="14.4" customHeight="1">
      <c r="B22" s="115" t="s">
        <v>209</v>
      </c>
      <c r="C22" s="124">
        <f t="shared" ref="C22:E22" si="6">2*PI()*C21</f>
        <v>347.92373681069637</v>
      </c>
      <c r="D22" s="124">
        <f t="shared" si="6"/>
        <v>347.92373681069637</v>
      </c>
      <c r="E22" s="124">
        <f t="shared" si="6"/>
        <v>347.92373681069637</v>
      </c>
      <c r="F22" s="117" t="s">
        <v>10</v>
      </c>
      <c r="G22" s="118"/>
      <c r="H22" s="117"/>
      <c r="J22" s="146" t="s">
        <v>378</v>
      </c>
      <c r="K22" s="147">
        <v>3</v>
      </c>
      <c r="L22" s="146" t="s">
        <v>351</v>
      </c>
      <c r="M22" s="120"/>
      <c r="N22" s="123" t="s">
        <v>379</v>
      </c>
      <c r="O22" s="121">
        <v>618</v>
      </c>
      <c r="P22" s="50" t="s">
        <v>380</v>
      </c>
      <c r="Q22" s="120"/>
      <c r="R22" s="214" t="s">
        <v>381</v>
      </c>
      <c r="S22" s="214"/>
      <c r="T22" s="214"/>
      <c r="U22" s="120"/>
      <c r="V22" s="146" t="s">
        <v>382</v>
      </c>
      <c r="W22" s="157">
        <f>W20*W21</f>
        <v>2.7399</v>
      </c>
      <c r="X22" s="117" t="s">
        <v>6</v>
      </c>
    </row>
    <row r="23" spans="2:24" ht="14.4" customHeight="1">
      <c r="B23" s="115" t="s">
        <v>188</v>
      </c>
      <c r="C23" s="129">
        <f>2*PI()*C21*C14</f>
        <v>243.54661576748745</v>
      </c>
      <c r="D23" s="129">
        <f>2*PI()*D21*D14</f>
        <v>243.54661576748745</v>
      </c>
      <c r="E23" s="129">
        <f>2*PI()*E21*E14</f>
        <v>243.54661576748745</v>
      </c>
      <c r="F23" s="117" t="s">
        <v>204</v>
      </c>
      <c r="G23" s="118"/>
      <c r="H23" s="117"/>
      <c r="J23" s="146" t="s">
        <v>383</v>
      </c>
      <c r="K23" s="147">
        <v>7</v>
      </c>
      <c r="L23" s="146" t="s">
        <v>347</v>
      </c>
      <c r="M23" s="120"/>
      <c r="N23" s="123" t="s">
        <v>384</v>
      </c>
      <c r="O23" s="121">
        <v>2.2000000000000002</v>
      </c>
      <c r="P23" s="50" t="s">
        <v>55</v>
      </c>
      <c r="Q23" s="120"/>
      <c r="R23" s="50" t="s">
        <v>36</v>
      </c>
      <c r="S23" s="122" t="s">
        <v>37</v>
      </c>
      <c r="T23" s="122"/>
      <c r="U23" s="120"/>
      <c r="V23" s="146"/>
      <c r="W23" s="117"/>
      <c r="X23" s="117"/>
    </row>
    <row r="24" spans="2:24" ht="14.4" customHeight="1">
      <c r="B24" s="115" t="s">
        <v>189</v>
      </c>
      <c r="C24" s="124">
        <f t="shared" ref="C24:E24" si="7">C23/C20</f>
        <v>24.354661576748747</v>
      </c>
      <c r="D24" s="124">
        <f t="shared" si="7"/>
        <v>20.295551313957287</v>
      </c>
      <c r="E24" s="124">
        <f t="shared" si="7"/>
        <v>16.23644105116583</v>
      </c>
      <c r="F24" s="117" t="s">
        <v>204</v>
      </c>
      <c r="G24" s="118"/>
      <c r="H24" s="117"/>
      <c r="J24" s="146" t="s">
        <v>385</v>
      </c>
      <c r="K24" s="158">
        <f>K17*(K21/K18)*K23/K22</f>
        <v>14.700000000000001</v>
      </c>
      <c r="L24" s="146" t="s">
        <v>9</v>
      </c>
      <c r="M24" s="120"/>
      <c r="N24" s="123" t="s">
        <v>56</v>
      </c>
      <c r="O24" s="121">
        <v>22</v>
      </c>
      <c r="P24" s="50" t="s">
        <v>57</v>
      </c>
      <c r="Q24" s="120"/>
      <c r="R24" s="125" t="s">
        <v>323</v>
      </c>
      <c r="S24" s="126">
        <v>1.75</v>
      </c>
      <c r="T24" s="125" t="s">
        <v>169</v>
      </c>
      <c r="U24" s="120"/>
      <c r="V24" s="153" t="s">
        <v>386</v>
      </c>
      <c r="W24" s="117">
        <v>0.48</v>
      </c>
      <c r="X24" s="117" t="s">
        <v>6</v>
      </c>
    </row>
    <row r="25" spans="2:24" ht="14.4" customHeight="1">
      <c r="B25" s="115" t="s">
        <v>217</v>
      </c>
      <c r="C25" s="159">
        <f>C24*(C15/C14)^2</f>
        <v>403.71579317784028</v>
      </c>
      <c r="D25" s="159">
        <f>D24*(D15/D14)^2</f>
        <v>336.42982764820022</v>
      </c>
      <c r="E25" s="159">
        <f>E24*(E15/E14)^2</f>
        <v>269.14386211856015</v>
      </c>
      <c r="F25" s="117" t="s">
        <v>204</v>
      </c>
      <c r="G25" s="118"/>
      <c r="H25" s="117"/>
      <c r="J25" s="146" t="s">
        <v>387</v>
      </c>
      <c r="K25" s="160">
        <f>K19*K22</f>
        <v>2100</v>
      </c>
      <c r="L25" s="146" t="s">
        <v>0</v>
      </c>
      <c r="M25" s="120"/>
      <c r="N25" s="123" t="s">
        <v>388</v>
      </c>
      <c r="O25" s="121">
        <v>2</v>
      </c>
      <c r="P25" s="50"/>
      <c r="Q25" s="120"/>
      <c r="R25" s="125" t="s">
        <v>40</v>
      </c>
      <c r="S25" s="128">
        <v>3.8999999999999998E-3</v>
      </c>
      <c r="T25" s="125" t="s">
        <v>41</v>
      </c>
      <c r="U25" s="120"/>
      <c r="V25" s="146" t="s">
        <v>389</v>
      </c>
      <c r="W25" s="156">
        <v>5</v>
      </c>
      <c r="X25" s="117" t="s">
        <v>377</v>
      </c>
    </row>
    <row r="26" spans="2:24" ht="14.4" customHeight="1">
      <c r="B26" s="115" t="s">
        <v>220</v>
      </c>
      <c r="C26" s="159">
        <f>C41^2/(C3*1000)*1000</f>
        <v>408.09887442236226</v>
      </c>
      <c r="D26" s="159">
        <f>D41^2/(D3*1000)*1000</f>
        <v>408.09887442236226</v>
      </c>
      <c r="E26" s="159">
        <f>E41^2/(E3*1000)*1000</f>
        <v>408.09887442236226</v>
      </c>
      <c r="F26" s="117" t="s">
        <v>204</v>
      </c>
      <c r="G26" s="118"/>
      <c r="H26" s="117"/>
      <c r="J26" s="146" t="s">
        <v>390</v>
      </c>
      <c r="K26" s="160">
        <f>K20*(K21/K18)*K23</f>
        <v>7000</v>
      </c>
      <c r="L26" s="146" t="s">
        <v>1</v>
      </c>
      <c r="M26" s="120"/>
      <c r="N26" s="123" t="s">
        <v>391</v>
      </c>
      <c r="O26" s="130">
        <f>O23*O24*O25*2</f>
        <v>193.60000000000002</v>
      </c>
      <c r="P26" s="50" t="s">
        <v>55</v>
      </c>
      <c r="Q26" s="120"/>
      <c r="R26" s="125" t="s">
        <v>42</v>
      </c>
      <c r="S26" s="131">
        <v>45</v>
      </c>
      <c r="T26" s="125" t="s">
        <v>43</v>
      </c>
      <c r="U26" s="120"/>
      <c r="V26" s="146" t="s">
        <v>392</v>
      </c>
      <c r="W26" s="157">
        <f>W24*W25</f>
        <v>2.4</v>
      </c>
      <c r="X26" s="117" t="s">
        <v>6</v>
      </c>
    </row>
    <row r="27" spans="2:24" ht="14.4" customHeight="1">
      <c r="B27" s="115"/>
      <c r="C27" s="133"/>
      <c r="D27" s="133"/>
      <c r="E27" s="133"/>
      <c r="F27" s="117"/>
      <c r="G27" s="118"/>
      <c r="H27" s="117"/>
      <c r="J27" s="146" t="s">
        <v>393</v>
      </c>
      <c r="K27" s="160">
        <f>K25*K26/1000</f>
        <v>14700</v>
      </c>
      <c r="L27" s="146" t="s">
        <v>393</v>
      </c>
      <c r="M27" s="120"/>
      <c r="N27" s="123" t="s">
        <v>394</v>
      </c>
      <c r="O27" s="121">
        <v>3</v>
      </c>
      <c r="P27" s="50" t="s">
        <v>395</v>
      </c>
      <c r="Q27" s="120"/>
      <c r="R27" s="125" t="s">
        <v>45</v>
      </c>
      <c r="S27" s="128">
        <f>S24*(1+S25*(S26-20))</f>
        <v>1.9206249999999998</v>
      </c>
      <c r="T27" s="125" t="s">
        <v>169</v>
      </c>
      <c r="U27" s="120"/>
      <c r="V27" s="146"/>
      <c r="W27" s="117"/>
      <c r="X27" s="117"/>
    </row>
    <row r="28" spans="2:24" ht="14.4" customHeight="1">
      <c r="B28" s="115" t="s">
        <v>190</v>
      </c>
      <c r="C28" s="161">
        <f>(C3*1000000/C24)^0.5</f>
        <v>4530.9988566531019</v>
      </c>
      <c r="D28" s="161">
        <f>(D3*1000000/D24)^0.5</f>
        <v>4963.460563638042</v>
      </c>
      <c r="E28" s="161">
        <f>(E3*1000000/E24)^0.5</f>
        <v>5549.3176119670406</v>
      </c>
      <c r="F28" s="117" t="s">
        <v>1</v>
      </c>
      <c r="G28" s="118"/>
      <c r="H28" s="155" t="s">
        <v>300</v>
      </c>
      <c r="J28" s="120"/>
      <c r="K28" s="120"/>
      <c r="L28" s="120"/>
      <c r="M28" s="120"/>
      <c r="N28" s="123" t="s">
        <v>396</v>
      </c>
      <c r="O28" s="121">
        <v>300</v>
      </c>
      <c r="P28" s="50" t="s">
        <v>59</v>
      </c>
      <c r="Q28" s="120"/>
      <c r="R28" s="125" t="s">
        <v>336</v>
      </c>
      <c r="S28" s="134">
        <f>1/(S27/100000000)</f>
        <v>52066384.64041654</v>
      </c>
      <c r="T28" s="125" t="s">
        <v>337</v>
      </c>
      <c r="U28" s="120"/>
      <c r="V28" s="153" t="s">
        <v>386</v>
      </c>
      <c r="W28" s="117">
        <v>0.4133</v>
      </c>
      <c r="X28" s="117" t="s">
        <v>6</v>
      </c>
    </row>
    <row r="29" spans="2:24" ht="14.4" customHeight="1">
      <c r="B29" s="115" t="s">
        <v>212</v>
      </c>
      <c r="C29" s="129">
        <f t="shared" ref="C29:E29" si="8">C28*C24/1000</f>
        <v>110.35094375842181</v>
      </c>
      <c r="D29" s="129">
        <f t="shared" si="8"/>
        <v>100.73616856411923</v>
      </c>
      <c r="E29" s="129">
        <f t="shared" si="8"/>
        <v>90.101168280899188</v>
      </c>
      <c r="F29" s="117" t="s">
        <v>0</v>
      </c>
      <c r="G29" s="118"/>
      <c r="H29" s="117"/>
      <c r="J29" s="213" t="s">
        <v>397</v>
      </c>
      <c r="K29" s="213"/>
      <c r="L29" s="213"/>
      <c r="M29" s="120"/>
      <c r="N29" s="123" t="s">
        <v>398</v>
      </c>
      <c r="O29" s="121">
        <v>3</v>
      </c>
      <c r="P29" s="50" t="s">
        <v>399</v>
      </c>
      <c r="Q29" s="120"/>
      <c r="R29" s="125" t="s">
        <v>340</v>
      </c>
      <c r="S29" s="122">
        <v>1</v>
      </c>
      <c r="T29" s="125" t="s">
        <v>341</v>
      </c>
      <c r="U29" s="120"/>
      <c r="V29" s="146" t="s">
        <v>389</v>
      </c>
      <c r="W29" s="156">
        <v>1.8</v>
      </c>
      <c r="X29" s="117" t="s">
        <v>377</v>
      </c>
    </row>
    <row r="30" spans="2:24" ht="14.4" customHeight="1">
      <c r="B30" s="115" t="s">
        <v>211</v>
      </c>
      <c r="C30" s="129">
        <f t="shared" ref="C30:E30" si="9">C28*C23/1000</f>
        <v>1103.5094375842179</v>
      </c>
      <c r="D30" s="129">
        <f t="shared" si="9"/>
        <v>1208.8340227694309</v>
      </c>
      <c r="E30" s="129">
        <f t="shared" si="9"/>
        <v>1351.5175242134881</v>
      </c>
      <c r="F30" s="117" t="s">
        <v>0</v>
      </c>
      <c r="G30" s="118"/>
      <c r="H30" s="155" t="s">
        <v>301</v>
      </c>
      <c r="J30" s="123" t="s">
        <v>46</v>
      </c>
      <c r="K30" s="121"/>
      <c r="L30" s="123" t="s">
        <v>330</v>
      </c>
      <c r="M30" s="120"/>
      <c r="N30" s="123" t="s">
        <v>58</v>
      </c>
      <c r="O30" s="130">
        <f>O28*O29</f>
        <v>900</v>
      </c>
      <c r="P30" s="50" t="s">
        <v>59</v>
      </c>
      <c r="Q30" s="120"/>
      <c r="R30" s="125" t="s">
        <v>46</v>
      </c>
      <c r="S30" s="135">
        <v>12000</v>
      </c>
      <c r="T30" s="125" t="s">
        <v>345</v>
      </c>
      <c r="U30" s="120"/>
      <c r="V30" s="146" t="s">
        <v>392</v>
      </c>
      <c r="W30" s="157">
        <f>W28*W29</f>
        <v>0.74394000000000005</v>
      </c>
      <c r="X30" s="117" t="s">
        <v>6</v>
      </c>
    </row>
    <row r="31" spans="2:24" ht="14.4" customHeight="1">
      <c r="B31" s="115" t="s">
        <v>215</v>
      </c>
      <c r="C31" s="129">
        <f t="shared" ref="C31:E31" si="10">((C29)^2+(C30)^2)^0.5</f>
        <v>1109.0132594454458</v>
      </c>
      <c r="D31" s="129">
        <f t="shared" si="10"/>
        <v>1213.0241012700051</v>
      </c>
      <c r="E31" s="129">
        <f t="shared" si="10"/>
        <v>1354.5175668044101</v>
      </c>
      <c r="F31" s="117" t="s">
        <v>0</v>
      </c>
      <c r="G31" s="118"/>
      <c r="H31" s="117"/>
      <c r="J31" s="123" t="s">
        <v>400</v>
      </c>
      <c r="K31" s="121"/>
      <c r="L31" s="123" t="s">
        <v>9</v>
      </c>
      <c r="M31" s="120"/>
      <c r="N31" s="50"/>
      <c r="O31" s="50"/>
      <c r="P31" s="50"/>
      <c r="Q31" s="120"/>
      <c r="R31" s="125" t="s">
        <v>170</v>
      </c>
      <c r="S31" s="148">
        <f>503.3*SQRT((S27/100000000)/(S29*S30))*1000</f>
        <v>0.63673334823551386</v>
      </c>
      <c r="T31" s="125" t="s">
        <v>171</v>
      </c>
      <c r="U31" s="120"/>
      <c r="V31" s="120"/>
      <c r="W31" s="150"/>
      <c r="X31" s="150"/>
    </row>
    <row r="32" spans="2:24" ht="14.4" customHeight="1">
      <c r="B32" s="115" t="s">
        <v>625</v>
      </c>
      <c r="C32" s="154">
        <f t="shared" ref="C32:E32" si="11">C28/C44</f>
        <v>1112.8769121604109</v>
      </c>
      <c r="D32" s="154">
        <f t="shared" si="11"/>
        <v>1219.0955770339049</v>
      </c>
      <c r="E32" s="154">
        <f t="shared" si="11"/>
        <v>1362.9902906585712</v>
      </c>
      <c r="F32" s="117" t="s">
        <v>1</v>
      </c>
      <c r="G32" s="118"/>
      <c r="H32" s="117" t="s">
        <v>309</v>
      </c>
      <c r="J32" s="123" t="s">
        <v>401</v>
      </c>
      <c r="K32" s="121"/>
      <c r="L32" s="123" t="s">
        <v>1</v>
      </c>
      <c r="M32" s="120"/>
      <c r="N32" s="162" t="s">
        <v>402</v>
      </c>
      <c r="O32" s="216" t="s">
        <v>403</v>
      </c>
      <c r="P32" s="216"/>
      <c r="Q32" s="120"/>
      <c r="R32" s="125" t="s">
        <v>48</v>
      </c>
      <c r="S32" s="139">
        <v>6126</v>
      </c>
      <c r="T32" s="125" t="s">
        <v>171</v>
      </c>
      <c r="U32" s="120"/>
      <c r="V32" s="214" t="s">
        <v>404</v>
      </c>
      <c r="W32" s="214"/>
      <c r="X32" s="214"/>
    </row>
    <row r="33" spans="2:24" ht="14.4" customHeight="1">
      <c r="B33" s="115" t="s">
        <v>626</v>
      </c>
      <c r="C33" s="129">
        <f t="shared" ref="C33:E33" si="12">C32*C25/1000</f>
        <v>449.285985302146</v>
      </c>
      <c r="D33" s="129">
        <f t="shared" si="12"/>
        <v>410.14011486819982</v>
      </c>
      <c r="E33" s="129">
        <f t="shared" si="12"/>
        <v>366.84047085794674</v>
      </c>
      <c r="F33" s="117" t="s">
        <v>0</v>
      </c>
      <c r="G33" s="118"/>
      <c r="H33" s="155"/>
      <c r="J33" s="123" t="s">
        <v>405</v>
      </c>
      <c r="K33" s="121"/>
      <c r="L33" s="123" t="s">
        <v>8</v>
      </c>
      <c r="M33" s="120"/>
      <c r="N33" s="123" t="s">
        <v>406</v>
      </c>
      <c r="O33" s="121">
        <v>30</v>
      </c>
      <c r="P33" s="50" t="s">
        <v>407</v>
      </c>
      <c r="Q33" s="120"/>
      <c r="R33" s="125" t="s">
        <v>408</v>
      </c>
      <c r="S33" s="139">
        <v>1.5</v>
      </c>
      <c r="T33" s="125" t="s">
        <v>171</v>
      </c>
      <c r="U33" s="120"/>
      <c r="V33" s="50" t="s">
        <v>409</v>
      </c>
      <c r="W33" s="121">
        <v>440</v>
      </c>
      <c r="X33" s="50" t="s">
        <v>0</v>
      </c>
    </row>
    <row r="34" spans="2:24" ht="14.4" customHeight="1">
      <c r="B34" s="115" t="s">
        <v>218</v>
      </c>
      <c r="C34" s="129">
        <f>C32*C22*1000*C15/1000000</f>
        <v>1103.5094375842179</v>
      </c>
      <c r="D34" s="129">
        <f>D32*D22*1000*D15/1000000</f>
        <v>1208.8340227694307</v>
      </c>
      <c r="E34" s="129">
        <f>E32*E22*1000*E15/1000000</f>
        <v>1351.5175242134878</v>
      </c>
      <c r="F34" s="117" t="s">
        <v>0</v>
      </c>
      <c r="G34" s="118"/>
      <c r="H34" s="155"/>
      <c r="J34" s="123" t="s">
        <v>410</v>
      </c>
      <c r="K34" s="121"/>
      <c r="L34" s="123" t="s">
        <v>205</v>
      </c>
      <c r="M34" s="120"/>
      <c r="N34" s="123" t="s">
        <v>411</v>
      </c>
      <c r="O34" s="163">
        <f>O28*SQRT(2)*SIN(O33*PI()/180)</f>
        <v>212.13203435596424</v>
      </c>
      <c r="P34" s="50" t="s">
        <v>412</v>
      </c>
      <c r="Q34" s="120"/>
      <c r="R34" s="125" t="s">
        <v>50</v>
      </c>
      <c r="S34" s="144">
        <f>MIN(S31,S33)</f>
        <v>0.63673334823551386</v>
      </c>
      <c r="T34" s="125" t="s">
        <v>171</v>
      </c>
      <c r="U34" s="120"/>
      <c r="V34" s="50" t="s">
        <v>178</v>
      </c>
      <c r="W34" s="121">
        <v>567</v>
      </c>
      <c r="X34" s="50" t="s">
        <v>1</v>
      </c>
    </row>
    <row r="35" spans="2:24" ht="14.4" customHeight="1">
      <c r="B35" s="115" t="s">
        <v>216</v>
      </c>
      <c r="C35" s="161">
        <f>C36/(C22*C17/1000)</f>
        <v>1103.5094375842179</v>
      </c>
      <c r="D35" s="161">
        <f>D36/(D22*D17/1000)</f>
        <v>1208.8340227694309</v>
      </c>
      <c r="E35" s="161">
        <f>E36/(E22*E17/1000)</f>
        <v>1351.5175242134878</v>
      </c>
      <c r="F35" s="117" t="s">
        <v>0</v>
      </c>
      <c r="G35" s="118"/>
      <c r="H35" s="155" t="s">
        <v>301</v>
      </c>
      <c r="J35" s="123" t="s">
        <v>413</v>
      </c>
      <c r="K35" s="130"/>
      <c r="L35" s="123" t="s">
        <v>414</v>
      </c>
      <c r="M35" s="120"/>
      <c r="N35" s="123" t="s">
        <v>415</v>
      </c>
      <c r="O35" s="164">
        <f>O22*O26/O34</f>
        <v>564.01099609138839</v>
      </c>
      <c r="P35" s="50" t="s">
        <v>416</v>
      </c>
      <c r="Q35" s="120"/>
      <c r="R35" s="125" t="s">
        <v>417</v>
      </c>
      <c r="S35" s="139">
        <v>12.7</v>
      </c>
      <c r="T35" s="125" t="s">
        <v>171</v>
      </c>
      <c r="U35" s="120"/>
      <c r="V35" s="50" t="s">
        <v>418</v>
      </c>
      <c r="W35" s="132">
        <f>W33</f>
        <v>440</v>
      </c>
      <c r="X35" s="50" t="s">
        <v>419</v>
      </c>
    </row>
    <row r="36" spans="2:24" ht="14.4" customHeight="1">
      <c r="B36" s="115" t="s">
        <v>213</v>
      </c>
      <c r="C36" s="161">
        <f t="shared" ref="C36:E36" si="13">C28+C32</f>
        <v>5643.8757688135129</v>
      </c>
      <c r="D36" s="161">
        <f t="shared" si="13"/>
        <v>6182.5561406719471</v>
      </c>
      <c r="E36" s="161">
        <f t="shared" si="13"/>
        <v>6912.3079026256119</v>
      </c>
      <c r="F36" s="117" t="s">
        <v>1</v>
      </c>
      <c r="G36" s="118"/>
      <c r="H36" s="155" t="s">
        <v>308</v>
      </c>
      <c r="J36" s="123" t="s">
        <v>420</v>
      </c>
      <c r="K36" s="130"/>
      <c r="L36" s="123"/>
      <c r="M36" s="120"/>
      <c r="N36" s="50"/>
      <c r="O36" s="50"/>
      <c r="P36" s="50"/>
      <c r="Q36" s="120"/>
      <c r="R36" s="125" t="s">
        <v>421</v>
      </c>
      <c r="S36" s="148">
        <f>(PI()*(S35/2)^2)-(PI()*(S35/2-S34)^2)</f>
        <v>24.130837586994687</v>
      </c>
      <c r="T36" s="125" t="s">
        <v>172</v>
      </c>
      <c r="U36" s="120"/>
      <c r="V36" s="50" t="s">
        <v>422</v>
      </c>
      <c r="W36" s="132">
        <f>W34*1.25</f>
        <v>708.75</v>
      </c>
      <c r="X36" s="50" t="s">
        <v>423</v>
      </c>
    </row>
    <row r="37" spans="2:24" ht="14.4" customHeight="1">
      <c r="B37" s="115" t="s">
        <v>191</v>
      </c>
      <c r="C37" s="165">
        <f>ROUNDUP(COS(PI()*C19/180),3)</f>
        <v>0.86699999999999999</v>
      </c>
      <c r="D37" s="165">
        <f>ROUNDUP(COS(PI()*D19/180),3)</f>
        <v>0.86699999999999999</v>
      </c>
      <c r="E37" s="165">
        <f>ROUNDUP(COS(PI()*E19/180),3)</f>
        <v>0.86699999999999999</v>
      </c>
      <c r="F37" s="117"/>
      <c r="G37" s="118"/>
      <c r="H37" s="117"/>
      <c r="J37" s="123" t="s">
        <v>424</v>
      </c>
      <c r="K37" s="130"/>
      <c r="L37" s="123" t="s">
        <v>424</v>
      </c>
      <c r="M37" s="120"/>
      <c r="N37" s="162" t="s">
        <v>425</v>
      </c>
      <c r="O37" s="123"/>
      <c r="P37" s="123"/>
      <c r="Q37" s="120"/>
      <c r="R37" s="125" t="s">
        <v>365</v>
      </c>
      <c r="S37" s="139">
        <v>1200</v>
      </c>
      <c r="T37" s="149" t="s">
        <v>366</v>
      </c>
      <c r="U37" s="120"/>
      <c r="V37" s="120"/>
      <c r="W37" s="150"/>
      <c r="X37" s="150"/>
    </row>
    <row r="38" spans="2:24" ht="14.4" customHeight="1">
      <c r="B38" s="115" t="s">
        <v>192</v>
      </c>
      <c r="C38" s="166">
        <f>C36*C35/C3/1000</f>
        <v>12.45614035087719</v>
      </c>
      <c r="D38" s="166">
        <f>D36*D35/D3/1000</f>
        <v>14.947368421052635</v>
      </c>
      <c r="E38" s="166">
        <f>E36*E35/E3/1000</f>
        <v>18.684210526315788</v>
      </c>
      <c r="F38" s="117"/>
      <c r="G38" s="118"/>
      <c r="H38" s="155" t="s">
        <v>302</v>
      </c>
      <c r="J38" s="123" t="s">
        <v>186</v>
      </c>
      <c r="K38" s="132"/>
      <c r="L38" s="123"/>
      <c r="M38" s="120"/>
      <c r="N38" s="123" t="s">
        <v>426</v>
      </c>
      <c r="O38" s="163">
        <f>O22*O26/O27/1000</f>
        <v>39.881600000000006</v>
      </c>
      <c r="P38" s="50" t="s">
        <v>412</v>
      </c>
      <c r="Q38" s="120"/>
      <c r="R38" s="125" t="s">
        <v>54</v>
      </c>
      <c r="S38" s="151">
        <f>S37/S36</f>
        <v>49.728899615433981</v>
      </c>
      <c r="T38" s="149" t="s">
        <v>366</v>
      </c>
      <c r="U38" s="120"/>
      <c r="V38" s="214" t="s">
        <v>427</v>
      </c>
      <c r="W38" s="214"/>
      <c r="X38" s="214"/>
    </row>
    <row r="39" spans="2:24" ht="14.4" customHeight="1">
      <c r="B39" s="115"/>
      <c r="C39" s="133"/>
      <c r="D39" s="133"/>
      <c r="E39" s="133"/>
      <c r="F39" s="117"/>
      <c r="G39" s="118"/>
      <c r="H39" s="117"/>
      <c r="J39" s="120"/>
      <c r="K39" s="120"/>
      <c r="L39" s="120"/>
      <c r="M39" s="120"/>
      <c r="N39" s="123" t="s">
        <v>428</v>
      </c>
      <c r="O39" s="163">
        <f>O38/SIN(O33*PI()/180)/SQRT(2)</f>
        <v>56.401099609138839</v>
      </c>
      <c r="P39" s="50" t="s">
        <v>59</v>
      </c>
      <c r="Q39" s="120"/>
      <c r="R39" s="125" t="s">
        <v>371</v>
      </c>
      <c r="S39" s="151">
        <f>S27/100000000*(S37^2)/(S36/1000000)*S32/1000</f>
        <v>7021.1728618700126</v>
      </c>
      <c r="T39" s="149" t="s">
        <v>372</v>
      </c>
      <c r="U39" s="120"/>
      <c r="V39" s="50" t="s">
        <v>344</v>
      </c>
      <c r="W39" s="121">
        <v>0.09</v>
      </c>
      <c r="X39" s="50" t="s">
        <v>9</v>
      </c>
    </row>
    <row r="40" spans="2:24" ht="14.4" customHeight="1">
      <c r="B40" s="115" t="s">
        <v>193</v>
      </c>
      <c r="C40" s="129">
        <v>1</v>
      </c>
      <c r="D40" s="129">
        <v>1</v>
      </c>
      <c r="E40" s="129">
        <v>1</v>
      </c>
      <c r="F40" s="117"/>
      <c r="G40" s="118"/>
      <c r="H40" s="117" t="s">
        <v>307</v>
      </c>
      <c r="J40" s="213" t="s">
        <v>429</v>
      </c>
      <c r="K40" s="213"/>
      <c r="L40" s="213"/>
      <c r="M40" s="120"/>
      <c r="N40" s="123" t="s">
        <v>58</v>
      </c>
      <c r="O40" s="164">
        <f>O39*O29</f>
        <v>169.20329882741652</v>
      </c>
      <c r="P40" s="50" t="s">
        <v>59</v>
      </c>
      <c r="Q40" s="120"/>
      <c r="R40" s="120"/>
      <c r="S40" s="120"/>
      <c r="T40" s="120"/>
      <c r="U40" s="120"/>
      <c r="V40" s="50" t="s">
        <v>348</v>
      </c>
      <c r="W40" s="121">
        <v>90</v>
      </c>
      <c r="X40" s="50" t="s">
        <v>5</v>
      </c>
    </row>
    <row r="41" spans="2:24" ht="14.4" customHeight="1">
      <c r="B41" s="115" t="s">
        <v>194</v>
      </c>
      <c r="C41" s="129">
        <f>C10/C40*4/PI()/2^0.5*C37</f>
        <v>451.71831622282167</v>
      </c>
      <c r="D41" s="129">
        <f>D10/D40*4/PI()/2^0.5*D37</f>
        <v>451.71831622282167</v>
      </c>
      <c r="E41" s="129">
        <f>E10/E40*4/PI()/2^0.5*E37</f>
        <v>451.71831622282167</v>
      </c>
      <c r="F41" s="117" t="s">
        <v>0</v>
      </c>
      <c r="G41" s="118"/>
      <c r="H41" s="117" t="s">
        <v>306</v>
      </c>
      <c r="J41" s="146" t="s">
        <v>175</v>
      </c>
      <c r="K41" s="147"/>
      <c r="L41" s="146" t="s">
        <v>430</v>
      </c>
      <c r="M41" s="120"/>
      <c r="N41" s="123" t="s">
        <v>431</v>
      </c>
      <c r="O41" s="163">
        <f>O40/O30*100</f>
        <v>18.800366536379613</v>
      </c>
      <c r="P41" s="167" t="s">
        <v>432</v>
      </c>
      <c r="Q41" s="120"/>
      <c r="R41" s="214" t="s">
        <v>433</v>
      </c>
      <c r="S41" s="214"/>
      <c r="T41" s="214"/>
      <c r="U41" s="120"/>
      <c r="V41" s="50" t="s">
        <v>47</v>
      </c>
      <c r="W41" s="132">
        <f>1/(2*3.14*SQRT((W39/1000000)*(W40/1000000)))</f>
        <v>55949.710901775994</v>
      </c>
      <c r="X41" s="50" t="s">
        <v>352</v>
      </c>
    </row>
    <row r="42" spans="2:24" ht="14.4" customHeight="1">
      <c r="B42" s="115" t="s">
        <v>195</v>
      </c>
      <c r="C42" s="168">
        <v>1</v>
      </c>
      <c r="D42" s="168">
        <v>1</v>
      </c>
      <c r="E42" s="168">
        <v>1</v>
      </c>
      <c r="F42" s="117" t="s">
        <v>205</v>
      </c>
      <c r="G42" s="118">
        <v>8</v>
      </c>
      <c r="H42" s="119" t="s">
        <v>312</v>
      </c>
      <c r="J42" s="146" t="s">
        <v>434</v>
      </c>
      <c r="K42" s="147"/>
      <c r="L42" s="146" t="s">
        <v>1</v>
      </c>
      <c r="M42" s="120"/>
      <c r="N42" s="123" t="s">
        <v>435</v>
      </c>
      <c r="O42" s="163">
        <f>O41*O41/100</f>
        <v>3.5345378190222236</v>
      </c>
      <c r="P42" s="167" t="s">
        <v>432</v>
      </c>
      <c r="Q42" s="120"/>
      <c r="R42" s="50" t="s">
        <v>36</v>
      </c>
      <c r="S42" s="122" t="s">
        <v>37</v>
      </c>
      <c r="T42" s="122"/>
      <c r="U42" s="120"/>
      <c r="V42" s="120"/>
      <c r="W42" s="150"/>
      <c r="X42" s="150"/>
    </row>
    <row r="43" spans="2:24" ht="14.4" customHeight="1">
      <c r="B43" s="115" t="s">
        <v>627</v>
      </c>
      <c r="C43" s="129">
        <f t="shared" ref="C43:E43" si="14">C33*C42</f>
        <v>449.285985302146</v>
      </c>
      <c r="D43" s="129">
        <f t="shared" si="14"/>
        <v>410.14011486819982</v>
      </c>
      <c r="E43" s="129">
        <f t="shared" si="14"/>
        <v>366.84047085794674</v>
      </c>
      <c r="F43" s="117" t="s">
        <v>0</v>
      </c>
      <c r="G43" s="118"/>
      <c r="H43" s="117" t="s">
        <v>303</v>
      </c>
      <c r="J43" s="146" t="s">
        <v>269</v>
      </c>
      <c r="K43" s="147"/>
      <c r="L43" s="146" t="s">
        <v>0</v>
      </c>
      <c r="M43" s="120"/>
      <c r="N43" s="120"/>
      <c r="O43" s="120"/>
      <c r="P43" s="120"/>
      <c r="Q43" s="120"/>
      <c r="R43" s="125" t="s">
        <v>323</v>
      </c>
      <c r="S43" s="126">
        <v>1.75</v>
      </c>
      <c r="T43" s="125" t="s">
        <v>169</v>
      </c>
      <c r="U43" s="120"/>
      <c r="V43" s="214" t="s">
        <v>436</v>
      </c>
      <c r="W43" s="214"/>
      <c r="X43" s="214"/>
    </row>
    <row r="44" spans="2:24" ht="14.4" customHeight="1">
      <c r="B44" s="115" t="s">
        <v>210</v>
      </c>
      <c r="C44" s="169">
        <f>C15/C14</f>
        <v>4.0714285714285721</v>
      </c>
      <c r="D44" s="169">
        <f>D15/D14</f>
        <v>4.0714285714285721</v>
      </c>
      <c r="E44" s="169">
        <f>E15/E14</f>
        <v>4.0714285714285721</v>
      </c>
      <c r="F44" s="117"/>
      <c r="G44" s="118"/>
      <c r="H44" s="117"/>
      <c r="J44" s="146" t="s">
        <v>437</v>
      </c>
      <c r="K44" s="147"/>
      <c r="L44" s="146"/>
      <c r="M44" s="120"/>
      <c r="N44" s="214" t="s">
        <v>438</v>
      </c>
      <c r="O44" s="214"/>
      <c r="P44" s="214"/>
      <c r="Q44" s="120"/>
      <c r="R44" s="125" t="s">
        <v>40</v>
      </c>
      <c r="S44" s="128">
        <v>3.8999999999999998E-3</v>
      </c>
      <c r="T44" s="125" t="s">
        <v>41</v>
      </c>
      <c r="U44" s="120"/>
      <c r="V44" s="50" t="s">
        <v>320</v>
      </c>
      <c r="W44" s="121">
        <v>3</v>
      </c>
      <c r="X44" s="50" t="s">
        <v>0</v>
      </c>
    </row>
    <row r="45" spans="2:24" ht="14.4" customHeight="1">
      <c r="B45" s="115" t="s">
        <v>214</v>
      </c>
      <c r="C45" s="169">
        <f t="shared" ref="C45:E45" si="15">C28/C48</f>
        <v>4.0714285714285721</v>
      </c>
      <c r="D45" s="169">
        <f t="shared" si="15"/>
        <v>4.0714285714285721</v>
      </c>
      <c r="E45" s="169">
        <f t="shared" si="15"/>
        <v>4.0714285714285721</v>
      </c>
      <c r="F45" s="117"/>
      <c r="G45" s="118"/>
      <c r="H45" s="117"/>
      <c r="J45" s="146" t="s">
        <v>414</v>
      </c>
      <c r="K45" s="160"/>
      <c r="L45" s="146" t="s">
        <v>0</v>
      </c>
      <c r="M45" s="120"/>
      <c r="N45" s="123" t="s">
        <v>439</v>
      </c>
      <c r="O45" s="121">
        <v>193.6</v>
      </c>
      <c r="P45" s="123" t="s">
        <v>55</v>
      </c>
      <c r="Q45" s="120"/>
      <c r="R45" s="125" t="s">
        <v>42</v>
      </c>
      <c r="S45" s="131">
        <v>45</v>
      </c>
      <c r="T45" s="125" t="s">
        <v>43</v>
      </c>
      <c r="U45" s="120"/>
      <c r="V45" s="50" t="s">
        <v>322</v>
      </c>
      <c r="W45" s="121">
        <v>0.5</v>
      </c>
      <c r="X45" s="50" t="s">
        <v>38</v>
      </c>
    </row>
    <row r="46" spans="2:24" ht="14.4" customHeight="1">
      <c r="B46" s="115" t="s">
        <v>196</v>
      </c>
      <c r="C46" s="170">
        <f t="shared" ref="C46:E46" si="16">C43/C41*100</f>
        <v>99.461538123799286</v>
      </c>
      <c r="D46" s="170">
        <f t="shared" si="16"/>
        <v>90.795546724274885</v>
      </c>
      <c r="E46" s="170">
        <f t="shared" si="16"/>
        <v>81.210005811894774</v>
      </c>
      <c r="F46" s="117" t="s">
        <v>2</v>
      </c>
      <c r="G46" s="118"/>
      <c r="H46" s="171" t="s">
        <v>304</v>
      </c>
      <c r="J46" s="146" t="s">
        <v>440</v>
      </c>
      <c r="K46" s="160"/>
      <c r="L46" s="146"/>
      <c r="M46" s="120"/>
      <c r="N46" s="123" t="s">
        <v>441</v>
      </c>
      <c r="O46" s="121">
        <v>680</v>
      </c>
      <c r="P46" s="123" t="s">
        <v>442</v>
      </c>
      <c r="Q46" s="120"/>
      <c r="R46" s="125" t="s">
        <v>45</v>
      </c>
      <c r="S46" s="128">
        <f>S43*(1+S44*(S45-20))</f>
        <v>1.9206249999999998</v>
      </c>
      <c r="T46" s="125" t="s">
        <v>169</v>
      </c>
      <c r="U46" s="120"/>
      <c r="V46" s="50" t="s">
        <v>39</v>
      </c>
      <c r="W46" s="121">
        <v>1</v>
      </c>
      <c r="X46" s="50" t="s">
        <v>326</v>
      </c>
    </row>
    <row r="47" spans="2:24" ht="14.4" customHeight="1">
      <c r="B47" s="115" t="s">
        <v>658</v>
      </c>
      <c r="C47" s="133">
        <f>C48/2</f>
        <v>556.43845608020547</v>
      </c>
      <c r="D47" s="133">
        <f t="shared" ref="D47:E47" si="17">D48/2</f>
        <v>609.54778851695244</v>
      </c>
      <c r="E47" s="133">
        <f t="shared" si="17"/>
        <v>681.49514532928561</v>
      </c>
      <c r="F47" s="117"/>
      <c r="G47" s="118"/>
      <c r="H47" s="117"/>
      <c r="J47" s="146" t="s">
        <v>443</v>
      </c>
      <c r="K47" s="172"/>
      <c r="L47" s="146"/>
      <c r="M47" s="120"/>
      <c r="N47" s="123" t="s">
        <v>444</v>
      </c>
      <c r="O47" s="121">
        <v>300</v>
      </c>
      <c r="P47" s="123" t="s">
        <v>412</v>
      </c>
      <c r="Q47" s="120"/>
      <c r="R47" s="125" t="s">
        <v>336</v>
      </c>
      <c r="S47" s="134">
        <f>1/(S46/100000000)</f>
        <v>52066384.64041654</v>
      </c>
      <c r="T47" s="125" t="s">
        <v>337</v>
      </c>
      <c r="U47" s="120"/>
      <c r="V47" s="50" t="s">
        <v>329</v>
      </c>
      <c r="W47" s="121">
        <v>600</v>
      </c>
      <c r="X47" s="50" t="s">
        <v>330</v>
      </c>
    </row>
    <row r="48" spans="2:24" ht="14.4" customHeight="1">
      <c r="B48" s="115" t="s">
        <v>197</v>
      </c>
      <c r="C48" s="154">
        <f t="shared" ref="C48:E48" si="18">C28/C42/C44</f>
        <v>1112.8769121604109</v>
      </c>
      <c r="D48" s="154">
        <f t="shared" si="18"/>
        <v>1219.0955770339049</v>
      </c>
      <c r="E48" s="154">
        <f t="shared" si="18"/>
        <v>1362.9902906585712</v>
      </c>
      <c r="F48" s="117" t="s">
        <v>1</v>
      </c>
      <c r="G48" s="118"/>
      <c r="H48" s="155" t="s">
        <v>305</v>
      </c>
      <c r="J48" s="120"/>
      <c r="K48" s="120"/>
      <c r="L48" s="120"/>
      <c r="M48" s="120"/>
      <c r="N48" s="123" t="s">
        <v>445</v>
      </c>
      <c r="O48" s="132">
        <f>O45*O46/O47</f>
        <v>438.82666666666665</v>
      </c>
      <c r="P48" s="123" t="s">
        <v>446</v>
      </c>
      <c r="Q48" s="120"/>
      <c r="R48" s="125" t="s">
        <v>340</v>
      </c>
      <c r="S48" s="122">
        <v>1</v>
      </c>
      <c r="T48" s="125" t="s">
        <v>341</v>
      </c>
      <c r="U48" s="120"/>
      <c r="V48" s="50" t="s">
        <v>332</v>
      </c>
      <c r="W48" s="132">
        <f>(5000*W44)/(W45*W46*W47)</f>
        <v>50</v>
      </c>
      <c r="X48" s="50" t="s">
        <v>333</v>
      </c>
    </row>
    <row r="49" spans="2:24" ht="14.4" customHeight="1">
      <c r="B49" s="115" t="s">
        <v>198</v>
      </c>
      <c r="C49" s="129">
        <f t="shared" ref="C49:E49" si="19">ROUND(C48*2^0.5*2/PI(),0)</f>
        <v>1002</v>
      </c>
      <c r="D49" s="129">
        <f t="shared" si="19"/>
        <v>1098</v>
      </c>
      <c r="E49" s="129">
        <f t="shared" si="19"/>
        <v>1227</v>
      </c>
      <c r="F49" s="117" t="s">
        <v>1</v>
      </c>
      <c r="G49" s="118"/>
      <c r="H49" s="117"/>
      <c r="J49" s="213" t="s">
        <v>447</v>
      </c>
      <c r="K49" s="213"/>
      <c r="L49" s="213"/>
      <c r="M49" s="120"/>
      <c r="N49" s="120"/>
      <c r="O49" s="120"/>
      <c r="P49" s="120"/>
      <c r="Q49" s="120"/>
      <c r="R49" s="125" t="s">
        <v>46</v>
      </c>
      <c r="S49" s="135">
        <v>12000</v>
      </c>
      <c r="T49" s="125" t="s">
        <v>345</v>
      </c>
      <c r="U49" s="120"/>
      <c r="V49" s="120"/>
      <c r="W49" s="150"/>
      <c r="X49" s="150"/>
    </row>
    <row r="50" spans="2:24" ht="14.4" customHeight="1">
      <c r="B50" s="115" t="s">
        <v>199</v>
      </c>
      <c r="C50" s="129">
        <f t="shared" ref="C50:E50" si="20">C49/C40</f>
        <v>1002</v>
      </c>
      <c r="D50" s="129">
        <f t="shared" si="20"/>
        <v>1098</v>
      </c>
      <c r="E50" s="129">
        <f t="shared" si="20"/>
        <v>1227</v>
      </c>
      <c r="F50" s="117" t="s">
        <v>1</v>
      </c>
      <c r="G50" s="118"/>
      <c r="H50" s="117"/>
      <c r="J50" s="173" t="s">
        <v>448</v>
      </c>
      <c r="K50" s="174"/>
      <c r="L50" s="173" t="s">
        <v>4</v>
      </c>
      <c r="M50" s="120"/>
      <c r="N50" s="214" t="s">
        <v>449</v>
      </c>
      <c r="O50" s="214"/>
      <c r="P50" s="214"/>
      <c r="Q50" s="120"/>
      <c r="R50" s="125" t="s">
        <v>170</v>
      </c>
      <c r="S50" s="148">
        <f>503.3*SQRT((S46/100000000)/(S48*S49))*1000</f>
        <v>0.63673334823551386</v>
      </c>
      <c r="T50" s="125" t="s">
        <v>171</v>
      </c>
      <c r="U50" s="120"/>
      <c r="V50" s="120"/>
      <c r="W50" s="150"/>
      <c r="X50" s="150"/>
    </row>
    <row r="51" spans="2:24" ht="14.4" customHeight="1">
      <c r="B51" s="115" t="s">
        <v>200</v>
      </c>
      <c r="C51" s="129">
        <f>ROUND(C50/C11,3)</f>
        <v>1.1599999999999999</v>
      </c>
      <c r="D51" s="129">
        <f>ROUND(D50/D11,3)</f>
        <v>1.2709999999999999</v>
      </c>
      <c r="E51" s="129">
        <f>ROUND(E50/E11,3)</f>
        <v>1.42</v>
      </c>
      <c r="F51" s="117"/>
      <c r="G51" s="118"/>
      <c r="H51" s="117"/>
      <c r="J51" s="173" t="s">
        <v>450</v>
      </c>
      <c r="K51" s="174"/>
      <c r="L51" s="173" t="s">
        <v>4</v>
      </c>
      <c r="M51" s="120"/>
      <c r="N51" s="146" t="s">
        <v>451</v>
      </c>
      <c r="O51" s="147">
        <v>15.4</v>
      </c>
      <c r="P51" s="146" t="s">
        <v>4</v>
      </c>
      <c r="Q51" s="120"/>
      <c r="R51" s="125" t="s">
        <v>48</v>
      </c>
      <c r="S51" s="139">
        <v>16000</v>
      </c>
      <c r="T51" s="125" t="s">
        <v>171</v>
      </c>
      <c r="U51" s="120"/>
      <c r="V51" s="214" t="s">
        <v>452</v>
      </c>
      <c r="W51" s="214"/>
      <c r="X51" s="214"/>
    </row>
    <row r="52" spans="2:24" ht="14.4" customHeight="1">
      <c r="G52" s="175"/>
      <c r="J52" s="173" t="s">
        <v>453</v>
      </c>
      <c r="K52" s="174"/>
      <c r="L52" s="173" t="s">
        <v>4</v>
      </c>
      <c r="M52" s="120"/>
      <c r="N52" s="146" t="s">
        <v>454</v>
      </c>
      <c r="O52" s="147">
        <v>2</v>
      </c>
      <c r="P52" s="146" t="s">
        <v>4</v>
      </c>
      <c r="Q52" s="120"/>
      <c r="R52" s="125" t="s">
        <v>408</v>
      </c>
      <c r="S52" s="139">
        <v>2.5</v>
      </c>
      <c r="T52" s="125" t="s">
        <v>171</v>
      </c>
      <c r="U52" s="120"/>
      <c r="V52" s="50" t="s">
        <v>51</v>
      </c>
      <c r="W52" s="121">
        <v>884.4</v>
      </c>
      <c r="X52" s="50" t="s">
        <v>7</v>
      </c>
    </row>
    <row r="53" spans="2:24" ht="14.4" customHeight="1">
      <c r="B53" s="176" t="s">
        <v>221</v>
      </c>
      <c r="C53" s="150"/>
      <c r="D53" s="150"/>
      <c r="E53" s="150"/>
      <c r="G53" s="175"/>
      <c r="J53" s="173" t="s">
        <v>455</v>
      </c>
      <c r="K53" s="177"/>
      <c r="L53" s="173" t="s">
        <v>456</v>
      </c>
      <c r="M53" s="120"/>
      <c r="N53" s="146" t="s">
        <v>457</v>
      </c>
      <c r="O53" s="160">
        <f>O51+O52*2</f>
        <v>19.399999999999999</v>
      </c>
      <c r="P53" s="146" t="s">
        <v>4</v>
      </c>
      <c r="Q53" s="120"/>
      <c r="R53" s="125" t="s">
        <v>50</v>
      </c>
      <c r="S53" s="144">
        <f>MIN(S50,S52)</f>
        <v>0.63673334823551386</v>
      </c>
      <c r="T53" s="125" t="s">
        <v>171</v>
      </c>
      <c r="U53" s="120"/>
      <c r="V53" s="50" t="s">
        <v>360</v>
      </c>
      <c r="W53" s="121">
        <v>0.96</v>
      </c>
      <c r="X53" s="50" t="s">
        <v>10</v>
      </c>
    </row>
    <row r="54" spans="2:24" ht="14.4" customHeight="1">
      <c r="B54" s="173" t="s">
        <v>222</v>
      </c>
      <c r="C54" s="178">
        <v>1</v>
      </c>
      <c r="D54" s="178">
        <v>1</v>
      </c>
      <c r="E54" s="178">
        <v>1</v>
      </c>
      <c r="F54" s="173" t="s">
        <v>265</v>
      </c>
      <c r="G54" s="118">
        <v>9</v>
      </c>
      <c r="H54" s="179" t="s">
        <v>274</v>
      </c>
      <c r="J54" s="150"/>
      <c r="K54" s="150"/>
      <c r="L54" s="150"/>
      <c r="M54" s="150"/>
      <c r="N54" s="180" t="s">
        <v>458</v>
      </c>
      <c r="O54" s="181">
        <v>8.8539999999999992E-12</v>
      </c>
      <c r="P54" s="117"/>
      <c r="Q54" s="150"/>
      <c r="R54" s="125" t="s">
        <v>60</v>
      </c>
      <c r="S54" s="139">
        <v>30</v>
      </c>
      <c r="T54" s="125" t="s">
        <v>171</v>
      </c>
      <c r="U54" s="150"/>
      <c r="V54" s="50" t="s">
        <v>368</v>
      </c>
      <c r="W54" s="121">
        <v>1456</v>
      </c>
      <c r="X54" s="50" t="s">
        <v>0</v>
      </c>
    </row>
    <row r="55" spans="2:24" ht="14.4" customHeight="1">
      <c r="B55" s="173" t="s">
        <v>223</v>
      </c>
      <c r="C55" s="182">
        <f t="shared" ref="C55:E55" si="21">C48/C54</f>
        <v>1112.8769121604109</v>
      </c>
      <c r="D55" s="182">
        <f t="shared" si="21"/>
        <v>1219.0955770339049</v>
      </c>
      <c r="E55" s="182">
        <f t="shared" si="21"/>
        <v>1362.9902906585712</v>
      </c>
      <c r="F55" s="173" t="s">
        <v>1</v>
      </c>
      <c r="G55" s="118"/>
      <c r="H55" s="173" t="s">
        <v>275</v>
      </c>
      <c r="J55" s="213" t="s">
        <v>459</v>
      </c>
      <c r="K55" s="213"/>
      <c r="L55" s="213"/>
      <c r="M55" s="150"/>
      <c r="N55" s="180" t="s">
        <v>460</v>
      </c>
      <c r="O55" s="156">
        <v>2.1</v>
      </c>
      <c r="P55" s="117" t="s">
        <v>461</v>
      </c>
      <c r="Q55" s="150"/>
      <c r="R55" s="125" t="s">
        <v>462</v>
      </c>
      <c r="S55" s="139">
        <v>20</v>
      </c>
      <c r="T55" s="125" t="s">
        <v>171</v>
      </c>
      <c r="U55" s="150"/>
      <c r="V55" s="50" t="s">
        <v>364</v>
      </c>
      <c r="W55" s="183">
        <f>(W54)*(2*3.14*W53*1000*(W52/1000000))</f>
        <v>7763.2037683200006</v>
      </c>
      <c r="X55" s="50" t="s">
        <v>1</v>
      </c>
    </row>
    <row r="56" spans="2:24" ht="14.4" customHeight="1">
      <c r="B56" s="173" t="s">
        <v>224</v>
      </c>
      <c r="C56" s="184">
        <v>3.6</v>
      </c>
      <c r="D56" s="184">
        <v>3.6</v>
      </c>
      <c r="E56" s="184">
        <v>3.6</v>
      </c>
      <c r="F56" s="173" t="s">
        <v>266</v>
      </c>
      <c r="G56" s="118">
        <v>10</v>
      </c>
      <c r="H56" s="179" t="s">
        <v>276</v>
      </c>
      <c r="J56" s="173" t="s">
        <v>463</v>
      </c>
      <c r="K56" s="174"/>
      <c r="L56" s="173" t="s">
        <v>168</v>
      </c>
      <c r="M56" s="150"/>
      <c r="N56" s="117" t="s">
        <v>464</v>
      </c>
      <c r="O56" s="181">
        <f>2*PI()*O54*O55/(LN(O53/O51))*1000000000</f>
        <v>0.50594615125588516</v>
      </c>
      <c r="P56" s="117" t="s">
        <v>465</v>
      </c>
      <c r="Q56" s="150"/>
      <c r="R56" s="125" t="s">
        <v>53</v>
      </c>
      <c r="S56" s="148">
        <f>(S54*S55)-((S54-2*S53)*(S55-2*S53))</f>
        <v>62.051617396530673</v>
      </c>
      <c r="T56" s="125" t="s">
        <v>172</v>
      </c>
      <c r="U56" s="150"/>
      <c r="V56" s="150"/>
      <c r="W56" s="150"/>
      <c r="X56" s="150"/>
    </row>
    <row r="57" spans="2:24" ht="14.4" customHeight="1">
      <c r="B57" s="173" t="s">
        <v>225</v>
      </c>
      <c r="C57" s="184">
        <v>25</v>
      </c>
      <c r="D57" s="184">
        <v>25</v>
      </c>
      <c r="E57" s="184">
        <v>25</v>
      </c>
      <c r="F57" s="173" t="s">
        <v>0</v>
      </c>
      <c r="G57" s="118">
        <v>11</v>
      </c>
      <c r="H57" s="179" t="s">
        <v>277</v>
      </c>
      <c r="J57" s="173" t="s">
        <v>450</v>
      </c>
      <c r="K57" s="174"/>
      <c r="L57" s="173" t="s">
        <v>4</v>
      </c>
      <c r="M57" s="150"/>
      <c r="N57" s="117" t="s">
        <v>466</v>
      </c>
      <c r="O57" s="156">
        <v>10</v>
      </c>
      <c r="P57" s="117" t="s">
        <v>377</v>
      </c>
      <c r="Q57" s="150"/>
      <c r="R57" s="125" t="s">
        <v>365</v>
      </c>
      <c r="S57" s="139">
        <v>3000</v>
      </c>
      <c r="T57" s="149" t="s">
        <v>366</v>
      </c>
      <c r="U57" s="150"/>
      <c r="V57" s="150"/>
      <c r="W57" s="150"/>
      <c r="X57" s="150"/>
    </row>
    <row r="58" spans="2:24" ht="14.4" customHeight="1">
      <c r="B58" s="173" t="s">
        <v>226</v>
      </c>
      <c r="C58" s="185">
        <f t="shared" ref="C58:E58" si="22">C57*C56/1000000*C59*1000</f>
        <v>4.9836404279183357</v>
      </c>
      <c r="D58" s="185">
        <f t="shared" si="22"/>
        <v>4.9836404279183357</v>
      </c>
      <c r="E58" s="185">
        <f t="shared" si="22"/>
        <v>4.9836404279183357</v>
      </c>
      <c r="F58" s="173" t="s">
        <v>267</v>
      </c>
      <c r="G58" s="118"/>
      <c r="H58" s="173"/>
      <c r="J58" s="173" t="s">
        <v>467</v>
      </c>
      <c r="K58" s="174"/>
      <c r="L58" s="173" t="s">
        <v>461</v>
      </c>
      <c r="M58" s="150"/>
      <c r="N58" s="117" t="s">
        <v>468</v>
      </c>
      <c r="O58" s="186">
        <f>O56*O57</f>
        <v>5.0594615125588511</v>
      </c>
      <c r="P58" s="117" t="s">
        <v>465</v>
      </c>
      <c r="Q58" s="150"/>
      <c r="R58" s="125" t="s">
        <v>54</v>
      </c>
      <c r="S58" s="151">
        <f>S57/S56</f>
        <v>48.346846155983215</v>
      </c>
      <c r="T58" s="149" t="s">
        <v>366</v>
      </c>
      <c r="U58" s="150"/>
      <c r="V58" s="150"/>
      <c r="W58" s="150"/>
      <c r="X58" s="150"/>
    </row>
    <row r="59" spans="2:24" ht="14.4" customHeight="1">
      <c r="B59" s="173" t="s">
        <v>227</v>
      </c>
      <c r="C59" s="182">
        <f>C21</f>
        <v>55.373782532425949</v>
      </c>
      <c r="D59" s="182">
        <f>D21</f>
        <v>55.373782532425949</v>
      </c>
      <c r="E59" s="182">
        <f>E21</f>
        <v>55.373782532425949</v>
      </c>
      <c r="F59" s="173" t="s">
        <v>10</v>
      </c>
      <c r="G59" s="118"/>
      <c r="H59" s="173" t="s">
        <v>278</v>
      </c>
      <c r="J59" s="173" t="s">
        <v>184</v>
      </c>
      <c r="K59" s="177"/>
      <c r="L59" s="173" t="s">
        <v>465</v>
      </c>
      <c r="M59" s="150"/>
      <c r="N59" s="150"/>
      <c r="O59" s="150"/>
      <c r="P59" s="150"/>
      <c r="Q59" s="150"/>
      <c r="R59" s="125" t="s">
        <v>371</v>
      </c>
      <c r="S59" s="151">
        <f>S46/100000000*(S57^2)/(S56/1000000)*S51/1000</f>
        <v>44570.957471200913</v>
      </c>
      <c r="T59" s="149" t="s">
        <v>372</v>
      </c>
      <c r="U59" s="150"/>
      <c r="V59" s="150"/>
      <c r="W59" s="150"/>
      <c r="X59" s="150"/>
    </row>
    <row r="60" spans="2:24" ht="14.4" customHeight="1">
      <c r="B60" s="173" t="s">
        <v>228</v>
      </c>
      <c r="C60" s="187">
        <f t="shared" ref="C60:E60" si="23">C55*1.414</f>
        <v>1573.607953794821</v>
      </c>
      <c r="D60" s="187">
        <f t="shared" si="23"/>
        <v>1723.8011459259415</v>
      </c>
      <c r="E60" s="187">
        <f t="shared" si="23"/>
        <v>1927.2682709912197</v>
      </c>
      <c r="F60" s="173" t="s">
        <v>1</v>
      </c>
      <c r="G60" s="118"/>
      <c r="H60" s="173" t="s">
        <v>287</v>
      </c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</row>
    <row r="61" spans="2:24" ht="14.4" customHeight="1">
      <c r="B61" s="173" t="s">
        <v>229</v>
      </c>
      <c r="C61" s="184">
        <v>25</v>
      </c>
      <c r="D61" s="184">
        <v>25</v>
      </c>
      <c r="E61" s="184">
        <v>25</v>
      </c>
      <c r="F61" s="173" t="s">
        <v>268</v>
      </c>
      <c r="G61" s="118">
        <v>12</v>
      </c>
      <c r="H61" s="179" t="s">
        <v>279</v>
      </c>
      <c r="J61" s="215" t="s">
        <v>469</v>
      </c>
      <c r="K61" s="215"/>
      <c r="L61" s="215"/>
      <c r="N61" s="150"/>
      <c r="O61" s="150"/>
      <c r="P61" s="150"/>
      <c r="Q61" s="150"/>
      <c r="R61" s="214" t="s">
        <v>470</v>
      </c>
      <c r="S61" s="214"/>
      <c r="T61" s="214"/>
      <c r="U61" s="150"/>
      <c r="V61" s="150"/>
      <c r="W61" s="150"/>
      <c r="X61" s="150"/>
    </row>
    <row r="62" spans="2:24" ht="14.4" customHeight="1">
      <c r="B62" s="173" t="s">
        <v>230</v>
      </c>
      <c r="C62" s="185">
        <v>0</v>
      </c>
      <c r="D62" s="185">
        <v>0</v>
      </c>
      <c r="E62" s="185">
        <v>0</v>
      </c>
      <c r="F62" s="173" t="s">
        <v>268</v>
      </c>
      <c r="G62" s="118"/>
      <c r="H62" s="173"/>
      <c r="J62" s="54"/>
      <c r="K62" s="55"/>
      <c r="L62" s="55" t="s">
        <v>471</v>
      </c>
      <c r="M62" s="55" t="s">
        <v>472</v>
      </c>
      <c r="N62" s="150"/>
      <c r="O62" s="150"/>
      <c r="P62" s="150"/>
      <c r="Q62" s="150"/>
      <c r="R62" s="50" t="s">
        <v>36</v>
      </c>
      <c r="S62" s="122" t="s">
        <v>37</v>
      </c>
      <c r="T62" s="122"/>
      <c r="U62" s="150"/>
      <c r="V62" s="150"/>
      <c r="W62" s="150"/>
      <c r="X62" s="150"/>
    </row>
    <row r="63" spans="2:24" ht="14.4" customHeight="1">
      <c r="B63" s="173" t="s">
        <v>231</v>
      </c>
      <c r="C63" s="185">
        <v>0</v>
      </c>
      <c r="D63" s="185">
        <v>0</v>
      </c>
      <c r="E63" s="185">
        <v>0</v>
      </c>
      <c r="F63" s="173" t="s">
        <v>268</v>
      </c>
      <c r="G63" s="118"/>
      <c r="H63" s="173"/>
      <c r="J63" s="55" t="s">
        <v>473</v>
      </c>
      <c r="K63" s="55"/>
      <c r="L63" s="55" t="s">
        <v>474</v>
      </c>
      <c r="M63" s="55" t="s">
        <v>475</v>
      </c>
      <c r="N63" s="150"/>
      <c r="O63" s="150"/>
      <c r="P63" s="150"/>
      <c r="Q63" s="150"/>
      <c r="R63" s="125" t="s">
        <v>323</v>
      </c>
      <c r="S63" s="126">
        <v>1.75</v>
      </c>
      <c r="T63" s="125" t="s">
        <v>169</v>
      </c>
      <c r="U63" s="150"/>
      <c r="V63" s="150"/>
      <c r="W63" s="150"/>
      <c r="X63" s="150"/>
    </row>
    <row r="64" spans="2:24" ht="14.4" customHeight="1">
      <c r="B64" s="173" t="s">
        <v>232</v>
      </c>
      <c r="C64" s="188">
        <f t="shared" ref="C64:E64" si="24">C61*C59+C62*C59</f>
        <v>1384.3445633106487</v>
      </c>
      <c r="D64" s="188">
        <f t="shared" si="24"/>
        <v>1384.3445633106487</v>
      </c>
      <c r="E64" s="188">
        <f t="shared" si="24"/>
        <v>1384.3445633106487</v>
      </c>
      <c r="F64" s="173" t="s">
        <v>267</v>
      </c>
      <c r="G64" s="118"/>
      <c r="H64" s="173"/>
      <c r="J64" s="54">
        <v>0.5</v>
      </c>
      <c r="K64" s="54"/>
      <c r="L64" s="54">
        <v>2.5</v>
      </c>
      <c r="M64" s="54"/>
      <c r="N64" s="150"/>
      <c r="O64" s="150"/>
      <c r="P64" s="150"/>
      <c r="Q64" s="150"/>
      <c r="R64" s="125" t="s">
        <v>40</v>
      </c>
      <c r="S64" s="128">
        <v>3.8999999999999998E-3</v>
      </c>
      <c r="T64" s="125" t="s">
        <v>41</v>
      </c>
      <c r="U64" s="150"/>
      <c r="V64" s="150"/>
      <c r="W64" s="150"/>
      <c r="X64" s="150"/>
    </row>
    <row r="65" spans="2:24" ht="14.4" customHeight="1">
      <c r="B65" s="173" t="s">
        <v>233</v>
      </c>
      <c r="C65" s="185">
        <f t="shared" ref="C65:E65" si="25">C59*C63</f>
        <v>0</v>
      </c>
      <c r="D65" s="185">
        <f t="shared" si="25"/>
        <v>0</v>
      </c>
      <c r="E65" s="185">
        <f t="shared" si="25"/>
        <v>0</v>
      </c>
      <c r="F65" s="173" t="s">
        <v>267</v>
      </c>
      <c r="G65" s="118"/>
      <c r="H65" s="173"/>
      <c r="J65" s="54">
        <v>0.8</v>
      </c>
      <c r="K65" s="54"/>
      <c r="L65" s="54">
        <v>1.42</v>
      </c>
      <c r="M65" s="54"/>
      <c r="N65" s="150"/>
      <c r="O65" s="150"/>
      <c r="P65" s="150"/>
      <c r="Q65" s="150"/>
      <c r="R65" s="125" t="s">
        <v>42</v>
      </c>
      <c r="S65" s="131">
        <v>45</v>
      </c>
      <c r="T65" s="125" t="s">
        <v>43</v>
      </c>
      <c r="U65" s="150"/>
      <c r="V65" s="150"/>
      <c r="W65" s="150"/>
      <c r="X65" s="150"/>
    </row>
    <row r="66" spans="2:24" ht="14.4" customHeight="1">
      <c r="B66" s="173" t="s">
        <v>234</v>
      </c>
      <c r="C66" s="184">
        <v>100</v>
      </c>
      <c r="D66" s="184">
        <v>100</v>
      </c>
      <c r="E66" s="184">
        <v>100</v>
      </c>
      <c r="F66" s="173" t="s">
        <v>2</v>
      </c>
      <c r="G66" s="118">
        <v>13</v>
      </c>
      <c r="H66" s="179" t="s">
        <v>280</v>
      </c>
      <c r="J66" s="54">
        <v>1</v>
      </c>
      <c r="K66" s="54"/>
      <c r="L66" s="189">
        <v>1.1000000000000001</v>
      </c>
      <c r="M66" s="54"/>
      <c r="N66" s="150"/>
      <c r="O66" s="150"/>
      <c r="P66" s="150"/>
      <c r="Q66" s="150"/>
      <c r="R66" s="125" t="s">
        <v>45</v>
      </c>
      <c r="S66" s="128">
        <f>S63*(1+S64*(S65-20))</f>
        <v>1.9206249999999998</v>
      </c>
      <c r="T66" s="125" t="s">
        <v>169</v>
      </c>
      <c r="U66" s="150"/>
      <c r="V66" s="150"/>
      <c r="W66" s="150"/>
      <c r="X66" s="150"/>
    </row>
    <row r="67" spans="2:24" ht="14.4" customHeight="1">
      <c r="B67" s="173" t="s">
        <v>235</v>
      </c>
      <c r="C67" s="190">
        <f t="shared" ref="C67:E67" si="26">C64*C66/100</f>
        <v>1384.3445633106487</v>
      </c>
      <c r="D67" s="190">
        <f t="shared" si="26"/>
        <v>1384.3445633106487</v>
      </c>
      <c r="E67" s="190">
        <f t="shared" si="26"/>
        <v>1384.3445633106487</v>
      </c>
      <c r="F67" s="173" t="s">
        <v>267</v>
      </c>
      <c r="G67" s="118"/>
      <c r="H67" s="173"/>
      <c r="J67" s="54">
        <v>1.2</v>
      </c>
      <c r="K67" s="54"/>
      <c r="L67" s="54">
        <v>1.04</v>
      </c>
      <c r="M67" s="54"/>
      <c r="N67" s="150"/>
      <c r="O67" s="150"/>
      <c r="P67" s="150"/>
      <c r="Q67" s="150"/>
      <c r="R67" s="125" t="s">
        <v>336</v>
      </c>
      <c r="S67" s="134">
        <f>1/(S66/100000000)</f>
        <v>52066384.64041654</v>
      </c>
      <c r="T67" s="125" t="s">
        <v>337</v>
      </c>
      <c r="U67" s="150"/>
      <c r="V67" s="150"/>
      <c r="W67" s="150"/>
      <c r="X67" s="150"/>
    </row>
    <row r="68" spans="2:24" ht="14.4" customHeight="1">
      <c r="B68" s="173" t="s">
        <v>236</v>
      </c>
      <c r="C68" s="187">
        <f t="shared" ref="C68:E68" si="27">C55*0.9</f>
        <v>1001.5892209443699</v>
      </c>
      <c r="D68" s="187">
        <f t="shared" si="27"/>
        <v>1097.1860193305145</v>
      </c>
      <c r="E68" s="187">
        <f t="shared" si="27"/>
        <v>1226.6912615927142</v>
      </c>
      <c r="F68" s="173" t="s">
        <v>1</v>
      </c>
      <c r="G68" s="118"/>
      <c r="H68" s="173"/>
      <c r="J68" s="54">
        <v>2</v>
      </c>
      <c r="K68" s="54"/>
      <c r="L68" s="54">
        <v>0.75</v>
      </c>
      <c r="M68" s="54"/>
      <c r="N68" s="150"/>
      <c r="O68" s="150"/>
      <c r="P68" s="150"/>
      <c r="Q68" s="150"/>
      <c r="R68" s="125" t="s">
        <v>340</v>
      </c>
      <c r="S68" s="122">
        <v>1</v>
      </c>
      <c r="T68" s="125" t="s">
        <v>341</v>
      </c>
      <c r="U68" s="150"/>
      <c r="V68" s="150"/>
      <c r="W68" s="150"/>
      <c r="X68" s="150"/>
    </row>
    <row r="69" spans="2:24" ht="14.4" customHeight="1">
      <c r="B69" s="173" t="s">
        <v>237</v>
      </c>
      <c r="C69" s="191">
        <v>1.35</v>
      </c>
      <c r="D69" s="191">
        <v>1.35</v>
      </c>
      <c r="E69" s="191">
        <v>1.35</v>
      </c>
      <c r="F69" s="173" t="s">
        <v>269</v>
      </c>
      <c r="G69" s="118">
        <v>14</v>
      </c>
      <c r="H69" s="179" t="s">
        <v>281</v>
      </c>
      <c r="J69" s="54">
        <v>3</v>
      </c>
      <c r="K69" s="54"/>
      <c r="L69" s="54">
        <v>0.57999999999999996</v>
      </c>
      <c r="M69" s="54"/>
      <c r="N69" s="150"/>
      <c r="O69" s="150"/>
      <c r="P69" s="150"/>
      <c r="Q69" s="150"/>
      <c r="R69" s="125" t="s">
        <v>48</v>
      </c>
      <c r="S69" s="139">
        <v>6126</v>
      </c>
      <c r="T69" s="125" t="s">
        <v>171</v>
      </c>
      <c r="U69" s="150"/>
      <c r="V69" s="150"/>
      <c r="W69" s="150"/>
      <c r="X69" s="150"/>
    </row>
    <row r="70" spans="2:24" ht="14.4" customHeight="1">
      <c r="B70" s="173" t="s">
        <v>238</v>
      </c>
      <c r="C70" s="184">
        <v>1.2</v>
      </c>
      <c r="D70" s="184">
        <v>1.2</v>
      </c>
      <c r="E70" s="184">
        <v>1.2</v>
      </c>
      <c r="F70" s="173" t="s">
        <v>269</v>
      </c>
      <c r="G70" s="118">
        <v>15</v>
      </c>
      <c r="H70" s="179" t="s">
        <v>288</v>
      </c>
      <c r="J70" s="54">
        <v>5</v>
      </c>
      <c r="K70" s="54"/>
      <c r="L70" s="54">
        <v>0.36</v>
      </c>
      <c r="M70" s="54"/>
      <c r="N70" s="150"/>
      <c r="O70" s="150"/>
      <c r="P70" s="150"/>
      <c r="Q70" s="150"/>
      <c r="R70" s="125" t="s">
        <v>49</v>
      </c>
      <c r="S70" s="139">
        <v>2</v>
      </c>
      <c r="T70" s="125" t="s">
        <v>171</v>
      </c>
      <c r="U70" s="150"/>
      <c r="V70" s="150"/>
      <c r="W70" s="150"/>
      <c r="X70" s="150"/>
    </row>
    <row r="71" spans="2:24" ht="14.4" customHeight="1">
      <c r="B71" s="173" t="s">
        <v>196</v>
      </c>
      <c r="C71" s="185">
        <f t="shared" ref="C71:E71" si="28">C46</f>
        <v>99.461538123799286</v>
      </c>
      <c r="D71" s="185">
        <f t="shared" si="28"/>
        <v>90.795546724274885</v>
      </c>
      <c r="E71" s="185">
        <f t="shared" si="28"/>
        <v>81.210005811894774</v>
      </c>
      <c r="F71" s="173" t="s">
        <v>2</v>
      </c>
      <c r="G71" s="118"/>
      <c r="H71" s="179"/>
      <c r="J71" s="54">
        <v>6</v>
      </c>
      <c r="K71" s="54"/>
      <c r="L71" s="54">
        <v>0.34</v>
      </c>
      <c r="M71" s="54">
        <v>0.62</v>
      </c>
      <c r="N71" s="150"/>
      <c r="O71" s="150"/>
      <c r="P71" s="150"/>
      <c r="Q71" s="150"/>
      <c r="R71" s="125" t="s">
        <v>358</v>
      </c>
      <c r="S71" s="139">
        <v>60</v>
      </c>
      <c r="T71" s="125" t="s">
        <v>171</v>
      </c>
      <c r="U71" s="150"/>
      <c r="V71" s="150"/>
      <c r="W71" s="150"/>
      <c r="X71" s="150"/>
    </row>
    <row r="72" spans="2:24" ht="14.4" customHeight="1">
      <c r="B72" s="173" t="s">
        <v>239</v>
      </c>
      <c r="C72" s="185">
        <f>C19</f>
        <v>30</v>
      </c>
      <c r="D72" s="185">
        <f>D19</f>
        <v>30</v>
      </c>
      <c r="E72" s="185">
        <f>E19</f>
        <v>30</v>
      </c>
      <c r="F72" s="173" t="s">
        <v>203</v>
      </c>
      <c r="G72" s="118"/>
      <c r="H72" s="173"/>
      <c r="J72" s="54">
        <v>8</v>
      </c>
      <c r="K72" s="54"/>
      <c r="L72" s="54">
        <v>0.25</v>
      </c>
      <c r="M72" s="54"/>
      <c r="N72" s="150"/>
      <c r="O72" s="150"/>
      <c r="P72" s="150"/>
      <c r="Q72" s="150"/>
      <c r="R72" s="125" t="s">
        <v>53</v>
      </c>
      <c r="S72" s="148">
        <f>S70*S71</f>
        <v>120</v>
      </c>
      <c r="T72" s="125" t="s">
        <v>172</v>
      </c>
      <c r="U72" s="150"/>
      <c r="V72" s="150"/>
      <c r="W72" s="150"/>
      <c r="X72" s="150"/>
    </row>
    <row r="73" spans="2:24" ht="14.4" customHeight="1">
      <c r="B73" s="173" t="s">
        <v>240</v>
      </c>
      <c r="C73" s="185">
        <f t="shared" ref="C73:E73" si="29">ROUNDUP((C68*C69*((C71*180/100-C72)/180))/2,0)</f>
        <v>560</v>
      </c>
      <c r="D73" s="185">
        <f t="shared" si="29"/>
        <v>549</v>
      </c>
      <c r="E73" s="185">
        <f t="shared" si="29"/>
        <v>535</v>
      </c>
      <c r="F73" s="173" t="s">
        <v>267</v>
      </c>
      <c r="G73" s="118"/>
      <c r="H73" s="173"/>
      <c r="J73" s="54">
        <v>10</v>
      </c>
      <c r="K73" s="54"/>
      <c r="L73" s="54"/>
      <c r="M73" s="54">
        <v>0.45</v>
      </c>
      <c r="N73" s="150"/>
      <c r="O73" s="150"/>
      <c r="P73" s="150"/>
      <c r="Q73" s="150"/>
      <c r="R73" s="125" t="s">
        <v>365</v>
      </c>
      <c r="S73" s="139">
        <v>850</v>
      </c>
      <c r="T73" s="149" t="s">
        <v>366</v>
      </c>
      <c r="U73" s="150"/>
      <c r="V73" s="150"/>
      <c r="W73" s="150"/>
      <c r="X73" s="150"/>
    </row>
    <row r="74" spans="2:24" ht="14.4" customHeight="1">
      <c r="B74" s="173" t="s">
        <v>241</v>
      </c>
      <c r="C74" s="185">
        <f t="shared" ref="C74:E74" si="30">ROUNDUP((C68*C70*(1-(C71*180/100-C72)/180))/2,0)</f>
        <v>104</v>
      </c>
      <c r="D74" s="185">
        <f t="shared" si="30"/>
        <v>171</v>
      </c>
      <c r="E74" s="185">
        <f t="shared" si="30"/>
        <v>261</v>
      </c>
      <c r="F74" s="173" t="s">
        <v>267</v>
      </c>
      <c r="G74" s="118"/>
      <c r="H74" s="173"/>
      <c r="J74" s="54">
        <v>15</v>
      </c>
      <c r="K74" s="54"/>
      <c r="L74" s="54"/>
      <c r="M74" s="54">
        <v>0.4</v>
      </c>
      <c r="N74" s="150"/>
      <c r="O74" s="150"/>
      <c r="P74" s="150"/>
      <c r="Q74" s="150"/>
      <c r="R74" s="125" t="s">
        <v>54</v>
      </c>
      <c r="S74" s="151">
        <f>S73/S72</f>
        <v>7.083333333333333</v>
      </c>
      <c r="T74" s="149" t="s">
        <v>366</v>
      </c>
      <c r="U74" s="150"/>
      <c r="V74" s="150"/>
      <c r="W74" s="150"/>
      <c r="X74" s="150"/>
    </row>
    <row r="75" spans="2:24" ht="14.4" customHeight="1">
      <c r="B75" s="173" t="s">
        <v>242</v>
      </c>
      <c r="C75" s="190">
        <f t="shared" ref="C75:E75" si="31">ROUNDUP(((C68*C69*(((C71*180/100-C72)/180))+(C68*C70*(1-(C71*180/100-C72)/180))))/2,0)</f>
        <v>664</v>
      </c>
      <c r="D75" s="190">
        <f t="shared" si="31"/>
        <v>720</v>
      </c>
      <c r="E75" s="190">
        <f t="shared" si="31"/>
        <v>796</v>
      </c>
      <c r="F75" s="173" t="s">
        <v>267</v>
      </c>
      <c r="G75" s="118"/>
      <c r="H75" s="173"/>
      <c r="J75" s="54">
        <v>20</v>
      </c>
      <c r="K75" s="54"/>
      <c r="L75" s="54"/>
      <c r="M75" s="54">
        <v>0.35</v>
      </c>
      <c r="N75" s="150"/>
      <c r="O75" s="150"/>
      <c r="P75" s="150"/>
      <c r="Q75" s="150"/>
      <c r="R75" s="125" t="s">
        <v>371</v>
      </c>
      <c r="S75" s="151">
        <f>S66/100000000*(S73^2)/(S72/1000000)*S69/1000</f>
        <v>708.39612265624987</v>
      </c>
      <c r="T75" s="149" t="s">
        <v>372</v>
      </c>
      <c r="U75" s="150"/>
      <c r="V75" s="150"/>
      <c r="W75" s="150"/>
      <c r="X75" s="150"/>
    </row>
    <row r="76" spans="2:24" ht="14.4" customHeight="1">
      <c r="B76" s="173" t="s">
        <v>243</v>
      </c>
      <c r="C76" s="185">
        <f t="shared" ref="C76:E76" si="32">C67+C73</f>
        <v>1944.3445633106487</v>
      </c>
      <c r="D76" s="185">
        <f t="shared" si="32"/>
        <v>1933.3445633106487</v>
      </c>
      <c r="E76" s="185">
        <f t="shared" si="32"/>
        <v>1919.3445633106487</v>
      </c>
      <c r="F76" s="173" t="s">
        <v>267</v>
      </c>
      <c r="G76" s="118"/>
      <c r="H76" s="173"/>
      <c r="J76" s="54">
        <v>30</v>
      </c>
      <c r="K76" s="54"/>
      <c r="L76" s="54"/>
      <c r="M76" s="54">
        <v>0.28939999999999999</v>
      </c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</row>
    <row r="77" spans="2:24" ht="14.4" customHeight="1">
      <c r="B77" s="173" t="s">
        <v>244</v>
      </c>
      <c r="C77" s="185">
        <f t="shared" ref="C77:E77" si="33">C74+C65</f>
        <v>104</v>
      </c>
      <c r="D77" s="185">
        <f t="shared" si="33"/>
        <v>171</v>
      </c>
      <c r="E77" s="185">
        <f t="shared" si="33"/>
        <v>261</v>
      </c>
      <c r="F77" s="173" t="s">
        <v>267</v>
      </c>
      <c r="G77" s="118"/>
      <c r="H77" s="173"/>
      <c r="J77" s="54">
        <v>50</v>
      </c>
      <c r="K77" s="54"/>
      <c r="L77" s="54"/>
      <c r="M77" s="54">
        <v>0.224</v>
      </c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</row>
    <row r="78" spans="2:24" ht="14.4" customHeight="1">
      <c r="B78" s="173" t="s">
        <v>245</v>
      </c>
      <c r="C78" s="190">
        <f t="shared" ref="C78:E78" si="34">ROUNDUP((C58+C67+C75),0)</f>
        <v>2054</v>
      </c>
      <c r="D78" s="190">
        <f t="shared" si="34"/>
        <v>2110</v>
      </c>
      <c r="E78" s="190">
        <f t="shared" si="34"/>
        <v>2186</v>
      </c>
      <c r="F78" s="173" t="s">
        <v>267</v>
      </c>
      <c r="G78" s="118"/>
      <c r="H78" s="173"/>
      <c r="J78" s="54">
        <v>100</v>
      </c>
      <c r="K78" s="54"/>
      <c r="L78" s="54"/>
      <c r="M78" s="54">
        <v>0.161</v>
      </c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</row>
    <row r="79" spans="2:24" ht="14.4" customHeight="1">
      <c r="B79" s="173" t="s">
        <v>246</v>
      </c>
      <c r="C79" s="192">
        <v>2</v>
      </c>
      <c r="D79" s="192">
        <v>2</v>
      </c>
      <c r="E79" s="192">
        <v>2</v>
      </c>
      <c r="F79" s="173"/>
      <c r="G79" s="118">
        <v>16</v>
      </c>
      <c r="H79" s="179" t="s">
        <v>282</v>
      </c>
      <c r="J79" s="54">
        <v>200</v>
      </c>
      <c r="K79" s="54"/>
      <c r="L79" s="54"/>
      <c r="M79" s="54">
        <v>7.7600000000000002E-2</v>
      </c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</row>
    <row r="80" spans="2:24" ht="14.4" customHeight="1">
      <c r="B80" s="173" t="s">
        <v>247</v>
      </c>
      <c r="C80" s="193">
        <f t="shared" ref="C80:E80" si="35">C78*C79</f>
        <v>4108</v>
      </c>
      <c r="D80" s="193">
        <f t="shared" si="35"/>
        <v>4220</v>
      </c>
      <c r="E80" s="193">
        <f t="shared" si="35"/>
        <v>4372</v>
      </c>
      <c r="F80" s="173" t="s">
        <v>270</v>
      </c>
      <c r="G80" s="118"/>
      <c r="H80" s="173"/>
      <c r="J80" s="54">
        <v>300</v>
      </c>
      <c r="K80" s="54"/>
      <c r="L80" s="54"/>
      <c r="M80" s="54">
        <v>5.2400000000000002E-2</v>
      </c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</row>
    <row r="81" spans="2:24" ht="14.4" customHeight="1">
      <c r="B81" s="173" t="s">
        <v>248</v>
      </c>
      <c r="C81" s="194">
        <v>2400</v>
      </c>
      <c r="D81" s="194">
        <v>2400</v>
      </c>
      <c r="E81" s="194">
        <v>2400</v>
      </c>
      <c r="F81" s="173" t="s">
        <v>267</v>
      </c>
      <c r="G81" s="118">
        <v>17</v>
      </c>
      <c r="H81" s="179" t="s">
        <v>276</v>
      </c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</row>
    <row r="82" spans="2:24" ht="14.4" customHeight="1">
      <c r="B82" s="173" t="s">
        <v>249</v>
      </c>
      <c r="C82" s="193">
        <f t="shared" ref="C82:E82" si="36">ROUNDUP(C80/C81*100,0)</f>
        <v>172</v>
      </c>
      <c r="D82" s="193">
        <f t="shared" si="36"/>
        <v>176</v>
      </c>
      <c r="E82" s="193">
        <f t="shared" si="36"/>
        <v>183</v>
      </c>
      <c r="F82" s="173" t="s">
        <v>2</v>
      </c>
      <c r="G82" s="118"/>
      <c r="H82" s="179" t="s">
        <v>283</v>
      </c>
      <c r="J82" s="215" t="s">
        <v>476</v>
      </c>
      <c r="K82" s="215"/>
      <c r="L82" s="215"/>
      <c r="M82" s="150"/>
      <c r="N82" s="215" t="s">
        <v>477</v>
      </c>
      <c r="O82" s="215"/>
      <c r="P82" s="215"/>
      <c r="Q82" s="150"/>
      <c r="R82" s="150"/>
      <c r="S82" s="150"/>
      <c r="T82" s="150"/>
      <c r="U82" s="150"/>
      <c r="V82" s="150"/>
      <c r="W82" s="150"/>
      <c r="X82" s="150"/>
    </row>
    <row r="83" spans="2:24" ht="14.4" customHeight="1">
      <c r="B83" s="173" t="s">
        <v>250</v>
      </c>
      <c r="C83" s="195">
        <v>6.4000000000000001E-2</v>
      </c>
      <c r="D83" s="195">
        <v>6.4000000000000001E-2</v>
      </c>
      <c r="E83" s="195">
        <v>6.4000000000000001E-2</v>
      </c>
      <c r="F83" s="173" t="s">
        <v>271</v>
      </c>
      <c r="G83" s="118">
        <v>18</v>
      </c>
      <c r="H83" s="196" t="s">
        <v>276</v>
      </c>
      <c r="J83" s="197" t="s">
        <v>478</v>
      </c>
      <c r="K83" s="197"/>
      <c r="L83" s="197"/>
      <c r="M83" s="150"/>
      <c r="N83" s="197" t="s">
        <v>479</v>
      </c>
      <c r="O83" s="197" t="s">
        <v>480</v>
      </c>
      <c r="P83" s="197" t="s">
        <v>481</v>
      </c>
      <c r="Q83" s="150"/>
      <c r="R83" s="150"/>
      <c r="S83" s="150"/>
      <c r="T83" s="150"/>
      <c r="U83" s="150"/>
      <c r="V83" s="150"/>
      <c r="W83" s="150"/>
      <c r="X83" s="150"/>
    </row>
    <row r="84" spans="2:24" ht="14.4" customHeight="1">
      <c r="B84" s="173" t="s">
        <v>251</v>
      </c>
      <c r="C84" s="195">
        <v>0.1</v>
      </c>
      <c r="D84" s="195">
        <v>0.1</v>
      </c>
      <c r="E84" s="195">
        <v>0.1</v>
      </c>
      <c r="F84" s="173" t="s">
        <v>271</v>
      </c>
      <c r="G84" s="118">
        <v>19</v>
      </c>
      <c r="H84" s="196" t="s">
        <v>276</v>
      </c>
      <c r="J84" s="117" t="s">
        <v>482</v>
      </c>
      <c r="K84" s="117"/>
      <c r="L84" s="117" t="s">
        <v>163</v>
      </c>
      <c r="M84" s="150"/>
      <c r="N84" s="198" t="s">
        <v>483</v>
      </c>
      <c r="O84" s="198" t="s">
        <v>484</v>
      </c>
      <c r="P84" s="199" t="s">
        <v>485</v>
      </c>
      <c r="Q84" s="150"/>
      <c r="R84" s="150"/>
      <c r="S84" s="150"/>
      <c r="T84" s="150"/>
      <c r="U84" s="150"/>
      <c r="V84" s="150"/>
      <c r="W84" s="150"/>
      <c r="X84" s="150"/>
    </row>
    <row r="85" spans="2:24" ht="14.4" customHeight="1">
      <c r="B85" s="173" t="s">
        <v>252</v>
      </c>
      <c r="C85" s="200">
        <f t="shared" ref="C85:E86" si="37">125-C83*C76</f>
        <v>0.56194794811848681</v>
      </c>
      <c r="D85" s="200">
        <f t="shared" si="37"/>
        <v>1.2659479481184803</v>
      </c>
      <c r="E85" s="200">
        <f t="shared" si="37"/>
        <v>2.1619479481184811</v>
      </c>
      <c r="F85" s="201" t="s">
        <v>272</v>
      </c>
      <c r="G85" s="118"/>
      <c r="H85" s="179" t="s">
        <v>284</v>
      </c>
      <c r="J85" s="117" t="s">
        <v>486</v>
      </c>
      <c r="K85" s="117"/>
      <c r="L85" s="117" t="s">
        <v>163</v>
      </c>
      <c r="M85" s="150"/>
      <c r="N85" s="198" t="s">
        <v>487</v>
      </c>
      <c r="O85" s="198" t="s">
        <v>488</v>
      </c>
      <c r="P85" s="199" t="s">
        <v>489</v>
      </c>
      <c r="Q85" s="150"/>
      <c r="R85" s="150"/>
      <c r="S85" s="150"/>
      <c r="T85" s="150"/>
      <c r="U85" s="150"/>
      <c r="V85" s="150"/>
      <c r="W85" s="150"/>
      <c r="X85" s="150"/>
    </row>
    <row r="86" spans="2:24" ht="14.4" customHeight="1">
      <c r="B86" s="173" t="s">
        <v>253</v>
      </c>
      <c r="C86" s="182">
        <f t="shared" si="37"/>
        <v>114.6</v>
      </c>
      <c r="D86" s="182">
        <f t="shared" si="37"/>
        <v>107.9</v>
      </c>
      <c r="E86" s="182">
        <f t="shared" si="37"/>
        <v>98.9</v>
      </c>
      <c r="F86" s="201" t="s">
        <v>272</v>
      </c>
      <c r="G86" s="118"/>
      <c r="H86" s="173"/>
      <c r="J86" s="117" t="s">
        <v>490</v>
      </c>
      <c r="K86" s="117"/>
      <c r="L86" s="117" t="s">
        <v>163</v>
      </c>
      <c r="M86" s="150"/>
      <c r="N86" s="198" t="s">
        <v>491</v>
      </c>
      <c r="O86" s="198" t="s">
        <v>492</v>
      </c>
      <c r="P86" s="199" t="s">
        <v>493</v>
      </c>
      <c r="Q86" s="150"/>
      <c r="R86" s="150"/>
      <c r="S86" s="150"/>
      <c r="T86" s="150"/>
      <c r="U86" s="150"/>
      <c r="V86" s="150"/>
      <c r="W86" s="150"/>
      <c r="X86" s="150"/>
    </row>
    <row r="87" spans="2:24" ht="14.4" customHeight="1">
      <c r="B87" s="173" t="s">
        <v>254</v>
      </c>
      <c r="C87" s="182">
        <f t="shared" ref="C87:E88" si="38">C83*C76</f>
        <v>124.43805205188151</v>
      </c>
      <c r="D87" s="182">
        <f t="shared" si="38"/>
        <v>123.73405205188152</v>
      </c>
      <c r="E87" s="182">
        <f t="shared" si="38"/>
        <v>122.83805205188152</v>
      </c>
      <c r="F87" s="201" t="s">
        <v>272</v>
      </c>
      <c r="G87" s="118"/>
      <c r="H87" s="173"/>
      <c r="J87" s="117" t="s">
        <v>494</v>
      </c>
      <c r="K87" s="117"/>
      <c r="L87" s="117" t="s">
        <v>163</v>
      </c>
      <c r="M87" s="150"/>
      <c r="N87" s="198" t="s">
        <v>495</v>
      </c>
      <c r="O87" s="198" t="s">
        <v>496</v>
      </c>
      <c r="P87" s="199" t="s">
        <v>497</v>
      </c>
      <c r="Q87" s="150"/>
      <c r="R87" s="150"/>
      <c r="S87" s="150"/>
      <c r="T87" s="150"/>
      <c r="U87" s="150"/>
      <c r="V87" s="150"/>
      <c r="W87" s="150"/>
      <c r="X87" s="150"/>
    </row>
    <row r="88" spans="2:24" ht="14.4" customHeight="1">
      <c r="B88" s="173" t="s">
        <v>255</v>
      </c>
      <c r="C88" s="182">
        <f t="shared" si="38"/>
        <v>10.4</v>
      </c>
      <c r="D88" s="182">
        <f t="shared" si="38"/>
        <v>17.100000000000001</v>
      </c>
      <c r="E88" s="182">
        <f t="shared" si="38"/>
        <v>26.1</v>
      </c>
      <c r="F88" s="201" t="s">
        <v>272</v>
      </c>
      <c r="G88" s="118"/>
      <c r="H88" s="173"/>
      <c r="J88" s="117" t="s">
        <v>498</v>
      </c>
      <c r="K88" s="117"/>
      <c r="L88" s="117" t="s">
        <v>163</v>
      </c>
      <c r="M88" s="150"/>
      <c r="N88" s="198" t="s">
        <v>499</v>
      </c>
      <c r="O88" s="198" t="s">
        <v>500</v>
      </c>
      <c r="P88" s="199" t="s">
        <v>501</v>
      </c>
      <c r="Q88" s="150"/>
      <c r="R88" s="150"/>
      <c r="S88" s="150"/>
      <c r="T88" s="150"/>
      <c r="U88" s="150"/>
      <c r="V88" s="150"/>
      <c r="W88" s="150"/>
      <c r="X88" s="150"/>
    </row>
    <row r="89" spans="2:24" ht="14.4" customHeight="1">
      <c r="B89" s="173" t="s">
        <v>256</v>
      </c>
      <c r="C89" s="195">
        <v>0.03</v>
      </c>
      <c r="D89" s="195">
        <v>0.03</v>
      </c>
      <c r="E89" s="195">
        <v>0.03</v>
      </c>
      <c r="F89" s="173" t="s">
        <v>271</v>
      </c>
      <c r="G89" s="118">
        <v>20</v>
      </c>
      <c r="H89" s="173" t="s">
        <v>276</v>
      </c>
      <c r="J89" s="117" t="s">
        <v>502</v>
      </c>
      <c r="K89" s="117"/>
      <c r="L89" s="117" t="s">
        <v>163</v>
      </c>
      <c r="M89" s="150"/>
      <c r="N89" s="198" t="s">
        <v>503</v>
      </c>
      <c r="O89" s="198" t="s">
        <v>504</v>
      </c>
      <c r="P89" s="199" t="s">
        <v>505</v>
      </c>
      <c r="Q89" s="150"/>
      <c r="R89" s="150"/>
      <c r="S89" s="150"/>
      <c r="T89" s="150"/>
      <c r="U89" s="150"/>
      <c r="V89" s="150"/>
      <c r="W89" s="150"/>
      <c r="X89" s="150"/>
    </row>
    <row r="90" spans="2:24" ht="14.4" customHeight="1">
      <c r="B90" s="173" t="s">
        <v>257</v>
      </c>
      <c r="C90" s="195">
        <v>0.06</v>
      </c>
      <c r="D90" s="195">
        <v>0.06</v>
      </c>
      <c r="E90" s="195">
        <v>0.06</v>
      </c>
      <c r="F90" s="173" t="s">
        <v>271</v>
      </c>
      <c r="G90" s="118">
        <v>21</v>
      </c>
      <c r="H90" s="173" t="s">
        <v>276</v>
      </c>
    </row>
    <row r="91" spans="2:24" ht="14.4" customHeight="1">
      <c r="B91" s="173" t="s">
        <v>258</v>
      </c>
      <c r="C91" s="202">
        <f t="shared" ref="C91:E92" si="39">C85-C89*C76</f>
        <v>-57.768388951200976</v>
      </c>
      <c r="D91" s="202">
        <f t="shared" si="39"/>
        <v>-56.734388951200977</v>
      </c>
      <c r="E91" s="202">
        <f t="shared" si="39"/>
        <v>-55.418388951200981</v>
      </c>
      <c r="F91" s="201" t="s">
        <v>272</v>
      </c>
      <c r="G91" s="118"/>
      <c r="H91" s="173" t="s">
        <v>284</v>
      </c>
    </row>
    <row r="92" spans="2:24" ht="14.4" customHeight="1">
      <c r="B92" s="173" t="s">
        <v>259</v>
      </c>
      <c r="C92" s="182">
        <f t="shared" si="39"/>
        <v>108.36</v>
      </c>
      <c r="D92" s="182">
        <f t="shared" si="39"/>
        <v>97.64</v>
      </c>
      <c r="E92" s="182">
        <f t="shared" si="39"/>
        <v>83.240000000000009</v>
      </c>
      <c r="F92" s="201" t="s">
        <v>272</v>
      </c>
      <c r="G92" s="118"/>
      <c r="H92" s="173"/>
    </row>
    <row r="93" spans="2:24" ht="14.4" customHeight="1">
      <c r="B93" s="173" t="s">
        <v>260</v>
      </c>
      <c r="C93" s="182">
        <f t="shared" ref="C93:E94" si="40">C89*C76</f>
        <v>58.330336899319462</v>
      </c>
      <c r="D93" s="182">
        <f t="shared" si="40"/>
        <v>58.000336899319457</v>
      </c>
      <c r="E93" s="182">
        <f t="shared" si="40"/>
        <v>57.580336899319462</v>
      </c>
      <c r="F93" s="201" t="s">
        <v>272</v>
      </c>
      <c r="G93" s="118"/>
      <c r="H93" s="173"/>
    </row>
    <row r="94" spans="2:24" ht="14.4" customHeight="1">
      <c r="B94" s="173" t="s">
        <v>261</v>
      </c>
      <c r="C94" s="182">
        <f t="shared" si="40"/>
        <v>6.24</v>
      </c>
      <c r="D94" s="182">
        <f t="shared" si="40"/>
        <v>10.26</v>
      </c>
      <c r="E94" s="182">
        <f t="shared" si="40"/>
        <v>15.66</v>
      </c>
      <c r="F94" s="201" t="s">
        <v>272</v>
      </c>
      <c r="G94" s="118"/>
      <c r="H94" s="173"/>
    </row>
    <row r="95" spans="2:24" ht="14.4" customHeight="1">
      <c r="B95" s="173" t="s">
        <v>262</v>
      </c>
      <c r="C95" s="182">
        <v>60</v>
      </c>
      <c r="D95" s="182">
        <v>60</v>
      </c>
      <c r="E95" s="182">
        <v>60</v>
      </c>
      <c r="F95" s="201" t="s">
        <v>272</v>
      </c>
      <c r="G95" s="118"/>
      <c r="H95" s="173" t="s">
        <v>285</v>
      </c>
    </row>
    <row r="96" spans="2:24" ht="14.4" customHeight="1">
      <c r="B96" s="173" t="s">
        <v>263</v>
      </c>
      <c r="C96" s="203">
        <v>8</v>
      </c>
      <c r="D96" s="203">
        <v>8</v>
      </c>
      <c r="E96" s="203">
        <v>8</v>
      </c>
      <c r="F96" s="201" t="s">
        <v>273</v>
      </c>
      <c r="G96" s="118"/>
      <c r="H96" s="173" t="s">
        <v>286</v>
      </c>
    </row>
    <row r="97" spans="2:8" ht="14.4" customHeight="1">
      <c r="B97" s="173" t="s">
        <v>264</v>
      </c>
      <c r="C97" s="204">
        <f t="shared" ref="C97:E97" si="41">C95-(C80/1000*860/C96/60)</f>
        <v>52.639833333333335</v>
      </c>
      <c r="D97" s="204">
        <f t="shared" si="41"/>
        <v>52.439166666666665</v>
      </c>
      <c r="E97" s="204">
        <f t="shared" si="41"/>
        <v>52.166833333333329</v>
      </c>
      <c r="F97" s="201" t="s">
        <v>272</v>
      </c>
      <c r="G97" s="118"/>
      <c r="H97" s="173"/>
    </row>
  </sheetData>
  <mergeCells count="27">
    <mergeCell ref="J82:L82"/>
    <mergeCell ref="N82:P82"/>
    <mergeCell ref="N44:P44"/>
    <mergeCell ref="J49:L49"/>
    <mergeCell ref="N50:P50"/>
    <mergeCell ref="V51:X51"/>
    <mergeCell ref="J55:L55"/>
    <mergeCell ref="J61:L61"/>
    <mergeCell ref="R61:T61"/>
    <mergeCell ref="O32:P32"/>
    <mergeCell ref="V32:X32"/>
    <mergeCell ref="V38:X38"/>
    <mergeCell ref="J40:L40"/>
    <mergeCell ref="R41:T41"/>
    <mergeCell ref="V43:X43"/>
    <mergeCell ref="J29:L29"/>
    <mergeCell ref="J3:L3"/>
    <mergeCell ref="N3:P3"/>
    <mergeCell ref="R3:T3"/>
    <mergeCell ref="V3:X3"/>
    <mergeCell ref="N10:P10"/>
    <mergeCell ref="V10:X10"/>
    <mergeCell ref="N15:P15"/>
    <mergeCell ref="J16:L16"/>
    <mergeCell ref="V19:X19"/>
    <mergeCell ref="N21:P21"/>
    <mergeCell ref="R22:T22"/>
  </mergeCells>
  <phoneticPr fontId="7" type="noConversion"/>
  <pageMargins left="0.7" right="0.7" top="0.75" bottom="0.75" header="0.3" footer="0.3"/>
  <pageSetup paperSize="9" scale="17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workbookViewId="0">
      <selection activeCell="F23" sqref="F23"/>
    </sheetView>
  </sheetViews>
  <sheetFormatPr defaultRowHeight="14.4"/>
  <cols>
    <col min="2" max="2" width="3.19921875" customWidth="1"/>
    <col min="3" max="3" width="52.59765625" customWidth="1"/>
    <col min="4" max="4" width="34.69921875" customWidth="1"/>
    <col min="5" max="5" width="4.296875" customWidth="1"/>
    <col min="6" max="6" width="24.8984375" customWidth="1"/>
    <col min="9" max="9" width="24.3984375" bestFit="1" customWidth="1"/>
    <col min="10" max="10" width="9" bestFit="1" customWidth="1"/>
    <col min="12" max="12" width="24.3984375" bestFit="1" customWidth="1"/>
    <col min="17" max="17" width="12.8984375" customWidth="1"/>
  </cols>
  <sheetData>
    <row r="3" spans="2:14" ht="19.2">
      <c r="C3" s="40" t="s">
        <v>151</v>
      </c>
      <c r="F3" s="39" t="s">
        <v>11</v>
      </c>
      <c r="G3" s="39"/>
      <c r="H3" s="39"/>
      <c r="I3" s="41" t="s">
        <v>11</v>
      </c>
      <c r="J3" s="41"/>
      <c r="K3" s="41"/>
      <c r="L3" s="46" t="s">
        <v>11</v>
      </c>
      <c r="M3" s="46"/>
      <c r="N3" s="46"/>
    </row>
    <row r="4" spans="2:14">
      <c r="B4" s="37"/>
      <c r="C4" s="37" t="s">
        <v>689</v>
      </c>
      <c r="D4" s="37" t="s">
        <v>690</v>
      </c>
      <c r="F4" s="39"/>
      <c r="G4" s="39"/>
      <c r="H4" s="39"/>
      <c r="I4" s="41"/>
      <c r="J4" s="41"/>
      <c r="K4" s="41"/>
      <c r="L4" s="46"/>
      <c r="M4" s="46"/>
      <c r="N4" s="46"/>
    </row>
    <row r="5" spans="2:14" ht="15.6">
      <c r="B5" s="18">
        <v>1</v>
      </c>
      <c r="C5" s="38" t="s">
        <v>706</v>
      </c>
      <c r="D5" s="50" t="s">
        <v>711</v>
      </c>
      <c r="E5" s="15"/>
      <c r="F5" s="39" t="s">
        <v>318</v>
      </c>
      <c r="G5" s="39">
        <v>5</v>
      </c>
      <c r="H5" s="39" t="s">
        <v>319</v>
      </c>
      <c r="I5" s="41" t="s">
        <v>318</v>
      </c>
      <c r="J5" s="41">
        <v>5</v>
      </c>
      <c r="K5" s="41" t="s">
        <v>319</v>
      </c>
      <c r="L5" s="46" t="s">
        <v>318</v>
      </c>
      <c r="M5" s="46">
        <v>5</v>
      </c>
      <c r="N5" s="46" t="s">
        <v>319</v>
      </c>
    </row>
    <row r="6" spans="2:14" ht="15.6">
      <c r="B6" s="18">
        <v>2</v>
      </c>
      <c r="C6" s="38" t="s">
        <v>708</v>
      </c>
      <c r="D6" s="50"/>
      <c r="E6" s="15"/>
      <c r="F6" s="39" t="s">
        <v>3</v>
      </c>
      <c r="G6" s="39">
        <v>140</v>
      </c>
      <c r="H6" s="39" t="s">
        <v>4</v>
      </c>
      <c r="I6" s="41" t="s">
        <v>3</v>
      </c>
      <c r="J6" s="41">
        <v>140</v>
      </c>
      <c r="K6" s="41" t="s">
        <v>4</v>
      </c>
      <c r="L6" s="46" t="s">
        <v>3</v>
      </c>
      <c r="M6" s="46">
        <v>140</v>
      </c>
      <c r="N6" s="46" t="s">
        <v>4</v>
      </c>
    </row>
    <row r="7" spans="2:14" ht="15.6">
      <c r="B7" s="18">
        <v>3</v>
      </c>
      <c r="C7" s="38" t="s">
        <v>709</v>
      </c>
      <c r="D7" s="50"/>
      <c r="E7" s="15"/>
      <c r="F7" s="39" t="s">
        <v>325</v>
      </c>
      <c r="G7" s="39">
        <v>125</v>
      </c>
      <c r="H7" s="39" t="s">
        <v>4</v>
      </c>
      <c r="I7" s="41" t="s">
        <v>325</v>
      </c>
      <c r="J7" s="41">
        <v>150</v>
      </c>
      <c r="K7" s="41" t="s">
        <v>4</v>
      </c>
      <c r="L7" s="46" t="s">
        <v>325</v>
      </c>
      <c r="M7" s="46">
        <v>100</v>
      </c>
      <c r="N7" s="46" t="s">
        <v>4</v>
      </c>
    </row>
    <row r="8" spans="2:14" ht="15.6">
      <c r="B8" s="18">
        <v>4</v>
      </c>
      <c r="C8" s="38" t="s">
        <v>710</v>
      </c>
      <c r="D8" s="50"/>
      <c r="E8" s="15"/>
      <c r="F8" s="39" t="s">
        <v>691</v>
      </c>
      <c r="G8" s="39">
        <f>(G6*G5)*(G6*G5)/(101.6*(4.5*G6+10*G7))</f>
        <v>2.5653375774836658</v>
      </c>
      <c r="H8" s="39" t="s">
        <v>5</v>
      </c>
      <c r="I8" s="41" t="s">
        <v>691</v>
      </c>
      <c r="J8" s="41">
        <f>(J6*J5)*(J6*J5)/(101.6*(4.5*J6+10*J7))</f>
        <v>2.2642416176851135</v>
      </c>
      <c r="K8" s="41" t="s">
        <v>5</v>
      </c>
      <c r="L8" s="46" t="s">
        <v>691</v>
      </c>
      <c r="M8" s="46">
        <f>(M6*M5)*(M6*M5)/(101.6*(4.5*M6+10*M7))</f>
        <v>2.9587942611468043</v>
      </c>
      <c r="N8" s="46" t="s">
        <v>5</v>
      </c>
    </row>
    <row r="9" spans="2:14" ht="15.6">
      <c r="B9" s="18">
        <v>5</v>
      </c>
      <c r="C9" s="38" t="s">
        <v>697</v>
      </c>
      <c r="D9" s="50"/>
      <c r="E9" s="15"/>
      <c r="F9" s="39" t="s">
        <v>692</v>
      </c>
      <c r="G9" s="39">
        <f>G8*2/2</f>
        <v>2.5653375774836658</v>
      </c>
      <c r="H9" s="39" t="s">
        <v>5</v>
      </c>
      <c r="I9" s="41" t="s">
        <v>693</v>
      </c>
      <c r="J9" s="41">
        <f>J8*2/2</f>
        <v>2.2642416176851135</v>
      </c>
      <c r="K9" s="41"/>
      <c r="L9" s="46" t="s">
        <v>693</v>
      </c>
      <c r="M9" s="46">
        <f>M8*2/2</f>
        <v>2.9587942611468043</v>
      </c>
      <c r="N9" s="46"/>
    </row>
    <row r="10" spans="2:14" ht="15.6">
      <c r="B10" s="18">
        <v>6</v>
      </c>
      <c r="C10" s="38" t="s">
        <v>696</v>
      </c>
      <c r="D10" s="50"/>
      <c r="E10" s="15"/>
      <c r="F10" s="45" t="s">
        <v>694</v>
      </c>
      <c r="G10" s="45">
        <v>78</v>
      </c>
      <c r="H10" s="45" t="s">
        <v>2</v>
      </c>
      <c r="I10" s="48" t="s">
        <v>694</v>
      </c>
      <c r="J10" s="48">
        <v>78</v>
      </c>
      <c r="K10" s="48" t="s">
        <v>2</v>
      </c>
      <c r="L10" s="47" t="s">
        <v>694</v>
      </c>
      <c r="M10" s="47">
        <v>78</v>
      </c>
      <c r="N10" s="47" t="s">
        <v>2</v>
      </c>
    </row>
    <row r="11" spans="2:14" ht="31.2">
      <c r="B11" s="18">
        <v>7</v>
      </c>
      <c r="C11" s="38" t="s">
        <v>150</v>
      </c>
      <c r="D11" s="50"/>
      <c r="E11" s="15"/>
      <c r="F11" s="45" t="s">
        <v>695</v>
      </c>
      <c r="G11" s="45">
        <f>G9*G10/100</f>
        <v>2.0009633104372595</v>
      </c>
      <c r="H11" s="39" t="s">
        <v>5</v>
      </c>
      <c r="I11" s="48" t="s">
        <v>695</v>
      </c>
      <c r="J11" s="48">
        <f>J9*J10/100</f>
        <v>1.7661084617943885</v>
      </c>
      <c r="K11" s="41" t="s">
        <v>5</v>
      </c>
      <c r="L11" s="47" t="s">
        <v>695</v>
      </c>
      <c r="M11" s="47">
        <f>M9*M10/100</f>
        <v>2.3078595236945074</v>
      </c>
      <c r="N11" s="46" t="s">
        <v>5</v>
      </c>
    </row>
    <row r="13" spans="2:14">
      <c r="F13" t="s">
        <v>688</v>
      </c>
      <c r="G13" s="212">
        <f>(G7-(G5*18))/(G5-1)</f>
        <v>8.75</v>
      </c>
      <c r="H13" s="211" t="s">
        <v>4</v>
      </c>
      <c r="I13" t="s">
        <v>688</v>
      </c>
      <c r="J13" s="212">
        <f>(J7-(J5*18))/(J5-1)</f>
        <v>15</v>
      </c>
      <c r="K13" s="211" t="s">
        <v>4</v>
      </c>
      <c r="L13" t="s">
        <v>688</v>
      </c>
      <c r="M13" s="212">
        <f>(M7-(M5*18))/(M5-1)</f>
        <v>2.5</v>
      </c>
      <c r="N13" s="211" t="s">
        <v>4</v>
      </c>
    </row>
  </sheetData>
  <phoneticPr fontId="7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D19" sqref="D19"/>
    </sheetView>
  </sheetViews>
  <sheetFormatPr defaultRowHeight="14.4"/>
  <cols>
    <col min="2" max="2" width="23.8984375" bestFit="1" customWidth="1"/>
    <col min="3" max="3" width="58.19921875" bestFit="1" customWidth="1"/>
    <col min="4" max="4" width="52" bestFit="1" customWidth="1"/>
  </cols>
  <sheetData>
    <row r="2" spans="2:4" ht="15" thickBot="1"/>
    <row r="3" spans="2:4" ht="16.2" thickBot="1">
      <c r="B3" s="1" t="s">
        <v>12</v>
      </c>
      <c r="C3" s="2" t="s">
        <v>677</v>
      </c>
      <c r="D3" s="2" t="s">
        <v>13</v>
      </c>
    </row>
    <row r="4" spans="2:4" ht="16.2" thickBot="1">
      <c r="B4" s="3" t="s">
        <v>14</v>
      </c>
      <c r="C4" s="2" t="s">
        <v>665</v>
      </c>
      <c r="D4" s="1"/>
    </row>
    <row r="5" spans="2:4" ht="15.6">
      <c r="B5" s="4" t="s">
        <v>15</v>
      </c>
      <c r="C5" s="5" t="s">
        <v>666</v>
      </c>
      <c r="D5" s="5"/>
    </row>
    <row r="6" spans="2:4" ht="15.6">
      <c r="B6" s="4" t="s">
        <v>16</v>
      </c>
      <c r="C6" s="5" t="s">
        <v>667</v>
      </c>
      <c r="D6" s="5"/>
    </row>
    <row r="7" spans="2:4" ht="15.6">
      <c r="B7" s="4" t="s">
        <v>669</v>
      </c>
      <c r="C7" s="205" t="s">
        <v>668</v>
      </c>
      <c r="D7" s="6" t="s">
        <v>681</v>
      </c>
    </row>
    <row r="8" spans="2:4" ht="15.6">
      <c r="B8" s="4" t="s">
        <v>17</v>
      </c>
      <c r="C8" s="206" t="s">
        <v>683</v>
      </c>
      <c r="D8" s="6" t="s">
        <v>682</v>
      </c>
    </row>
    <row r="9" spans="2:4" ht="15.6">
      <c r="B9" s="209" t="s">
        <v>18</v>
      </c>
      <c r="C9" s="209" t="s">
        <v>685</v>
      </c>
      <c r="D9" s="209" t="s">
        <v>684</v>
      </c>
    </row>
    <row r="10" spans="2:4" ht="15.6">
      <c r="B10" s="209" t="s">
        <v>19</v>
      </c>
      <c r="C10" s="210" t="s">
        <v>173</v>
      </c>
      <c r="D10" s="210" t="s">
        <v>167</v>
      </c>
    </row>
    <row r="11" spans="2:4" ht="15.6">
      <c r="B11" s="209" t="s">
        <v>20</v>
      </c>
      <c r="C11" s="210" t="s">
        <v>687</v>
      </c>
      <c r="D11" s="210" t="s">
        <v>686</v>
      </c>
    </row>
    <row r="12" spans="2:4" ht="15.6">
      <c r="B12" s="209" t="s">
        <v>21</v>
      </c>
      <c r="C12" s="209" t="s">
        <v>670</v>
      </c>
      <c r="D12" s="209"/>
    </row>
    <row r="13" spans="2:4" ht="62.4">
      <c r="B13" s="4" t="s">
        <v>152</v>
      </c>
      <c r="C13" s="207" t="s">
        <v>671</v>
      </c>
      <c r="D13" s="207" t="s">
        <v>705</v>
      </c>
    </row>
    <row r="14" spans="2:4" ht="46.8">
      <c r="B14" s="4" t="s">
        <v>153</v>
      </c>
      <c r="C14" s="208" t="s">
        <v>672</v>
      </c>
      <c r="D14" s="208" t="s">
        <v>703</v>
      </c>
    </row>
    <row r="15" spans="2:4" ht="15.6">
      <c r="B15" s="4" t="s">
        <v>659</v>
      </c>
      <c r="C15" s="7" t="s">
        <v>673</v>
      </c>
      <c r="D15" s="7"/>
    </row>
    <row r="16" spans="2:4" ht="31.2">
      <c r="B16" s="4" t="s">
        <v>22</v>
      </c>
      <c r="C16" s="42" t="s">
        <v>159</v>
      </c>
      <c r="D16" s="208" t="s">
        <v>704</v>
      </c>
    </row>
    <row r="17" spans="2:4" ht="15.6">
      <c r="B17" s="4" t="s">
        <v>23</v>
      </c>
      <c r="C17" s="6" t="s">
        <v>24</v>
      </c>
      <c r="D17" s="7"/>
    </row>
    <row r="18" spans="2:4" ht="15.6">
      <c r="B18" s="4" t="s">
        <v>158</v>
      </c>
      <c r="C18" s="52" t="s">
        <v>164</v>
      </c>
      <c r="D18" s="6" t="s">
        <v>707</v>
      </c>
    </row>
    <row r="19" spans="2:4" ht="15.6">
      <c r="B19" s="4" t="s">
        <v>161</v>
      </c>
      <c r="C19" s="7" t="s">
        <v>699</v>
      </c>
      <c r="D19" s="7"/>
    </row>
    <row r="20" spans="2:4" ht="15.6">
      <c r="B20" s="51" t="s">
        <v>162</v>
      </c>
      <c r="C20" s="52" t="s">
        <v>698</v>
      </c>
      <c r="D20" s="7"/>
    </row>
    <row r="21" spans="2:4" ht="15.6">
      <c r="B21" s="51" t="s">
        <v>160</v>
      </c>
      <c r="C21" s="52"/>
      <c r="D21" s="7"/>
    </row>
    <row r="22" spans="2:4" ht="13.5" customHeight="1">
      <c r="B22" s="8" t="s">
        <v>25</v>
      </c>
      <c r="C22" s="7"/>
      <c r="D22" s="7"/>
    </row>
    <row r="23" spans="2:4" ht="15.6">
      <c r="B23" s="4" t="s">
        <v>26</v>
      </c>
      <c r="C23" s="6"/>
      <c r="D23" s="6"/>
    </row>
    <row r="24" spans="2:4" ht="15.6">
      <c r="B24" s="4" t="s">
        <v>27</v>
      </c>
      <c r="C24" s="6" t="s">
        <v>680</v>
      </c>
      <c r="D24" s="4"/>
    </row>
    <row r="25" spans="2:4" ht="15.6">
      <c r="B25" s="4" t="s">
        <v>28</v>
      </c>
      <c r="C25" s="6" t="s">
        <v>675</v>
      </c>
      <c r="D25" s="4"/>
    </row>
    <row r="26" spans="2:4" ht="15.6">
      <c r="B26" s="4" t="s">
        <v>29</v>
      </c>
      <c r="C26" s="6" t="s">
        <v>674</v>
      </c>
      <c r="D26" s="4"/>
    </row>
    <row r="27" spans="2:4" ht="15.6">
      <c r="B27" s="4" t="s">
        <v>58</v>
      </c>
      <c r="C27" s="6" t="s">
        <v>700</v>
      </c>
      <c r="D27" s="4"/>
    </row>
    <row r="28" spans="2:4" ht="15.6">
      <c r="B28" s="9" t="s">
        <v>154</v>
      </c>
      <c r="C28" s="6" t="s">
        <v>701</v>
      </c>
      <c r="D28" s="4"/>
    </row>
    <row r="29" spans="2:4" ht="15.6">
      <c r="B29" s="9" t="s">
        <v>30</v>
      </c>
      <c r="C29" s="43" t="s">
        <v>702</v>
      </c>
      <c r="D29" s="9"/>
    </row>
    <row r="30" spans="2:4" ht="15.6">
      <c r="B30" s="4" t="s">
        <v>31</v>
      </c>
      <c r="C30" s="6" t="s">
        <v>155</v>
      </c>
      <c r="D30" s="6"/>
    </row>
    <row r="31" spans="2:4" ht="15.6">
      <c r="B31" s="9" t="s">
        <v>32</v>
      </c>
      <c r="C31" s="43" t="s">
        <v>660</v>
      </c>
      <c r="D31" s="9"/>
    </row>
    <row r="32" spans="2:4" ht="15.6">
      <c r="B32" s="9" t="s">
        <v>33</v>
      </c>
      <c r="C32" s="43" t="s">
        <v>156</v>
      </c>
      <c r="D32" s="9"/>
    </row>
    <row r="33" spans="2:4" ht="15.6">
      <c r="B33" s="9" t="s">
        <v>34</v>
      </c>
      <c r="C33" s="43" t="s">
        <v>157</v>
      </c>
      <c r="D33" s="9"/>
    </row>
    <row r="34" spans="2:4" ht="16.2" thickBot="1">
      <c r="B34" s="10" t="s">
        <v>35</v>
      </c>
      <c r="C34" s="44" t="s">
        <v>676</v>
      </c>
      <c r="D34" s="10"/>
    </row>
  </sheetData>
  <phoneticPr fontId="7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"/>
  <sheetViews>
    <sheetView workbookViewId="0">
      <selection activeCell="G39" sqref="G39"/>
    </sheetView>
  </sheetViews>
  <sheetFormatPr defaultRowHeight="14.4"/>
  <cols>
    <col min="2" max="2" width="10.3984375" bestFit="1" customWidth="1"/>
    <col min="3" max="3" width="15.09765625" bestFit="1" customWidth="1"/>
    <col min="4" max="4" width="22.59765625" customWidth="1"/>
    <col min="5" max="5" width="18.69921875" customWidth="1"/>
    <col min="6" max="6" width="13.8984375" customWidth="1"/>
  </cols>
  <sheetData>
    <row r="2" spans="2:6" ht="27.6">
      <c r="B2" s="217" t="s">
        <v>165</v>
      </c>
      <c r="C2" s="218"/>
      <c r="D2" s="218"/>
      <c r="E2" s="218"/>
      <c r="F2" s="219"/>
    </row>
    <row r="3" spans="2:6" ht="21">
      <c r="B3" s="220" t="s">
        <v>166</v>
      </c>
      <c r="C3" s="220"/>
      <c r="D3" s="221" t="s">
        <v>678</v>
      </c>
      <c r="E3" s="222"/>
      <c r="F3" s="223"/>
    </row>
    <row r="4" spans="2:6" ht="21">
      <c r="B4" s="11" t="s">
        <v>61</v>
      </c>
      <c r="C4" s="49" t="s">
        <v>712</v>
      </c>
      <c r="D4" s="12" t="s">
        <v>62</v>
      </c>
      <c r="E4" s="224" t="s">
        <v>713</v>
      </c>
      <c r="F4" s="225"/>
    </row>
    <row r="5" spans="2:6" ht="21">
      <c r="B5" s="13" t="s">
        <v>63</v>
      </c>
      <c r="C5" s="14"/>
      <c r="D5" s="12" t="s">
        <v>64</v>
      </c>
      <c r="E5" s="224" t="s">
        <v>714</v>
      </c>
      <c r="F5" s="225"/>
    </row>
    <row r="6" spans="2:6" ht="21">
      <c r="B6" s="221" t="s">
        <v>65</v>
      </c>
      <c r="C6" s="222"/>
      <c r="D6" s="222"/>
      <c r="E6" s="222"/>
      <c r="F6" s="223"/>
    </row>
    <row r="7" spans="2:6">
      <c r="B7" s="15"/>
      <c r="C7" s="15"/>
      <c r="D7" s="15"/>
      <c r="E7" s="16"/>
      <c r="F7" s="15"/>
    </row>
    <row r="8" spans="2:6" ht="17.399999999999999">
      <c r="B8" s="17">
        <v>1</v>
      </c>
      <c r="C8" s="18" t="s">
        <v>66</v>
      </c>
      <c r="D8" s="19" t="s">
        <v>67</v>
      </c>
      <c r="E8" s="20">
        <v>100</v>
      </c>
      <c r="F8" s="21" t="s">
        <v>68</v>
      </c>
    </row>
    <row r="9" spans="2:6" ht="17.399999999999999" hidden="1">
      <c r="B9" s="15"/>
      <c r="C9" s="15"/>
      <c r="D9" s="19" t="s">
        <v>69</v>
      </c>
      <c r="E9" s="20">
        <v>1</v>
      </c>
      <c r="F9" s="21" t="s">
        <v>70</v>
      </c>
    </row>
    <row r="10" spans="2:6" ht="17.399999999999999" hidden="1">
      <c r="B10" s="15"/>
      <c r="C10" s="15"/>
      <c r="D10" s="22" t="s">
        <v>71</v>
      </c>
      <c r="E10" s="23">
        <f>(10*10^6)/E9</f>
        <v>10000000</v>
      </c>
      <c r="F10" s="24"/>
    </row>
    <row r="11" spans="2:6" ht="17.399999999999999" hidden="1">
      <c r="B11" s="15"/>
      <c r="C11" s="15"/>
      <c r="D11" s="22" t="s">
        <v>72</v>
      </c>
      <c r="E11" s="23">
        <v>100000</v>
      </c>
      <c r="F11" s="24">
        <v>50000</v>
      </c>
    </row>
    <row r="12" spans="2:6" ht="17.399999999999999" hidden="1">
      <c r="B12" s="15"/>
      <c r="C12" s="15"/>
      <c r="D12" s="22" t="s">
        <v>73</v>
      </c>
      <c r="E12" s="23">
        <f>$E10/(E11/10)</f>
        <v>1000</v>
      </c>
      <c r="F12" s="24">
        <f>$E10/(F11/10)</f>
        <v>2000</v>
      </c>
    </row>
    <row r="13" spans="2:6" ht="17.399999999999999" hidden="1">
      <c r="B13" s="15"/>
      <c r="C13" s="15"/>
      <c r="D13" s="22" t="s">
        <v>74</v>
      </c>
      <c r="E13" s="23">
        <f>E12/2</f>
        <v>500</v>
      </c>
      <c r="F13" s="24">
        <f>F12/2</f>
        <v>1000</v>
      </c>
    </row>
    <row r="14" spans="2:6" ht="17.399999999999999">
      <c r="B14" s="226">
        <v>2</v>
      </c>
      <c r="C14" s="228" t="s">
        <v>75</v>
      </c>
      <c r="D14" s="19" t="s">
        <v>76</v>
      </c>
      <c r="E14" s="20">
        <v>500</v>
      </c>
      <c r="F14" s="18" t="s">
        <v>77</v>
      </c>
    </row>
    <row r="15" spans="2:6" ht="17.399999999999999">
      <c r="B15" s="227"/>
      <c r="C15" s="229"/>
      <c r="D15" s="19" t="s">
        <v>78</v>
      </c>
      <c r="E15" s="20">
        <v>50</v>
      </c>
      <c r="F15" s="18" t="s">
        <v>77</v>
      </c>
    </row>
    <row r="16" spans="2:6" ht="17.399999999999999">
      <c r="B16" s="226">
        <v>3</v>
      </c>
      <c r="C16" s="228" t="s">
        <v>79</v>
      </c>
      <c r="D16" s="19" t="s">
        <v>79</v>
      </c>
      <c r="E16" s="20">
        <v>440</v>
      </c>
      <c r="F16" s="18" t="s">
        <v>80</v>
      </c>
    </row>
    <row r="17" spans="2:7">
      <c r="B17" s="230"/>
      <c r="C17" s="231"/>
      <c r="D17" s="27" t="s">
        <v>81</v>
      </c>
      <c r="E17" s="20">
        <v>763</v>
      </c>
      <c r="F17" s="18" t="s">
        <v>82</v>
      </c>
    </row>
    <row r="18" spans="2:7">
      <c r="B18" s="230"/>
      <c r="C18" s="231"/>
      <c r="D18" s="27" t="s">
        <v>83</v>
      </c>
      <c r="E18" s="20">
        <v>500</v>
      </c>
      <c r="F18" s="18" t="s">
        <v>82</v>
      </c>
    </row>
    <row r="19" spans="2:7">
      <c r="B19" s="227"/>
      <c r="C19" s="229"/>
      <c r="D19" s="27" t="s">
        <v>84</v>
      </c>
      <c r="E19" s="20">
        <v>350</v>
      </c>
      <c r="F19" s="18" t="s">
        <v>85</v>
      </c>
    </row>
    <row r="20" spans="2:7" ht="17.399999999999999">
      <c r="B20" s="226">
        <v>4</v>
      </c>
      <c r="C20" s="228" t="s">
        <v>86</v>
      </c>
      <c r="D20" s="19" t="s">
        <v>87</v>
      </c>
      <c r="E20" s="20">
        <v>1500</v>
      </c>
      <c r="F20" s="18" t="s">
        <v>88</v>
      </c>
    </row>
    <row r="21" spans="2:7" ht="17.399999999999999">
      <c r="B21" s="227"/>
      <c r="C21" s="229"/>
      <c r="D21" s="27" t="s">
        <v>89</v>
      </c>
      <c r="E21" s="28">
        <v>1500</v>
      </c>
      <c r="F21" s="18" t="s">
        <v>90</v>
      </c>
    </row>
    <row r="22" spans="2:7" ht="17.399999999999999">
      <c r="B22" s="226">
        <v>5</v>
      </c>
      <c r="C22" s="232" t="s">
        <v>91</v>
      </c>
      <c r="D22" s="29" t="s">
        <v>92</v>
      </c>
      <c r="E22" s="53">
        <v>6.8</v>
      </c>
      <c r="F22" s="30" t="s">
        <v>93</v>
      </c>
    </row>
    <row r="23" spans="2:7" ht="17.399999999999999">
      <c r="B23" s="230"/>
      <c r="C23" s="231"/>
      <c r="D23" s="29" t="s">
        <v>94</v>
      </c>
      <c r="E23" s="108">
        <v>7</v>
      </c>
      <c r="F23" s="31" t="s">
        <v>95</v>
      </c>
    </row>
    <row r="24" spans="2:7" ht="17.399999999999999">
      <c r="B24" s="230"/>
      <c r="C24" s="231"/>
      <c r="D24" s="29" t="s">
        <v>96</v>
      </c>
      <c r="E24" s="20">
        <v>300</v>
      </c>
      <c r="F24" s="31" t="s">
        <v>97</v>
      </c>
    </row>
    <row r="25" spans="2:7" ht="17.399999999999999">
      <c r="B25" s="230"/>
      <c r="C25" s="231"/>
      <c r="D25" s="29" t="s">
        <v>98</v>
      </c>
      <c r="E25" s="20">
        <v>610</v>
      </c>
      <c r="F25" s="31" t="s">
        <v>90</v>
      </c>
      <c r="G25" t="s">
        <v>715</v>
      </c>
    </row>
    <row r="26" spans="2:7" ht="17.399999999999999">
      <c r="B26" s="230"/>
      <c r="C26" s="231"/>
      <c r="D26" s="18" t="s">
        <v>99</v>
      </c>
      <c r="E26" s="23">
        <f>(3/(E22/E23))*E24</f>
        <v>926.47058823529414</v>
      </c>
      <c r="F26" s="31" t="s">
        <v>90</v>
      </c>
    </row>
    <row r="27" spans="2:7" ht="17.399999999999999">
      <c r="B27" s="230"/>
      <c r="C27" s="231"/>
      <c r="D27" s="18" t="s">
        <v>100</v>
      </c>
      <c r="E27" s="23">
        <f>E26*1.11</f>
        <v>1028.3823529411766</v>
      </c>
      <c r="F27" s="31" t="s">
        <v>90</v>
      </c>
    </row>
    <row r="28" spans="2:7" ht="17.399999999999999">
      <c r="B28" s="227"/>
      <c r="C28" s="229"/>
      <c r="D28" s="32" t="s">
        <v>101</v>
      </c>
      <c r="E28" s="20">
        <v>800</v>
      </c>
      <c r="F28" s="31" t="s">
        <v>90</v>
      </c>
      <c r="G28" t="s">
        <v>716</v>
      </c>
    </row>
    <row r="29" spans="2:7" ht="17.399999999999999">
      <c r="B29" s="226">
        <v>6</v>
      </c>
      <c r="C29" s="232" t="s">
        <v>102</v>
      </c>
      <c r="D29" s="32" t="s">
        <v>76</v>
      </c>
      <c r="E29" s="20">
        <v>500</v>
      </c>
      <c r="F29" s="33" t="s">
        <v>103</v>
      </c>
    </row>
    <row r="30" spans="2:7" ht="17.399999999999999">
      <c r="B30" s="227"/>
      <c r="C30" s="229"/>
      <c r="D30" s="32" t="s">
        <v>104</v>
      </c>
      <c r="E30" s="20">
        <v>50</v>
      </c>
      <c r="F30" s="33" t="s">
        <v>103</v>
      </c>
    </row>
    <row r="31" spans="2:7" ht="17.399999999999999">
      <c r="B31" s="226">
        <v>7</v>
      </c>
      <c r="C31" s="228" t="s">
        <v>105</v>
      </c>
      <c r="D31" s="32" t="s">
        <v>76</v>
      </c>
      <c r="E31" s="20">
        <v>500</v>
      </c>
      <c r="F31" s="33" t="s">
        <v>103</v>
      </c>
    </row>
    <row r="32" spans="2:7" ht="17.399999999999999">
      <c r="B32" s="227"/>
      <c r="C32" s="229"/>
      <c r="D32" s="32" t="s">
        <v>104</v>
      </c>
      <c r="E32" s="20">
        <v>50</v>
      </c>
      <c r="F32" s="33" t="s">
        <v>103</v>
      </c>
    </row>
    <row r="33" spans="2:6" ht="17.399999999999999">
      <c r="B33" s="226">
        <v>8</v>
      </c>
      <c r="C33" s="228" t="s">
        <v>106</v>
      </c>
      <c r="D33" s="32" t="s">
        <v>76</v>
      </c>
      <c r="E33" s="20"/>
      <c r="F33" s="33" t="s">
        <v>107</v>
      </c>
    </row>
    <row r="34" spans="2:6" ht="17.399999999999999">
      <c r="B34" s="227"/>
      <c r="C34" s="229"/>
      <c r="D34" s="32" t="s">
        <v>104</v>
      </c>
      <c r="E34" s="20"/>
      <c r="F34" s="33" t="s">
        <v>107</v>
      </c>
    </row>
    <row r="35" spans="2:6" ht="17.399999999999999">
      <c r="B35" s="226">
        <v>9</v>
      </c>
      <c r="C35" s="228" t="s">
        <v>108</v>
      </c>
      <c r="D35" s="32" t="s">
        <v>109</v>
      </c>
      <c r="E35" s="53">
        <v>17</v>
      </c>
      <c r="F35" s="33" t="s">
        <v>110</v>
      </c>
    </row>
    <row r="36" spans="2:6" ht="17.399999999999999">
      <c r="B36" s="230"/>
      <c r="C36" s="231"/>
      <c r="D36" s="32" t="s">
        <v>111</v>
      </c>
      <c r="E36" s="20">
        <v>3000</v>
      </c>
      <c r="F36" s="33" t="s">
        <v>85</v>
      </c>
    </row>
    <row r="37" spans="2:6" ht="17.399999999999999">
      <c r="B37" s="227"/>
      <c r="C37" s="229"/>
      <c r="D37" s="32" t="s">
        <v>112</v>
      </c>
      <c r="E37" s="20">
        <v>1500</v>
      </c>
      <c r="F37" s="33" t="s">
        <v>85</v>
      </c>
    </row>
    <row r="38" spans="2:6" ht="17.399999999999999">
      <c r="B38" s="17">
        <v>10</v>
      </c>
      <c r="C38" s="18" t="s">
        <v>113</v>
      </c>
      <c r="D38" s="32" t="s">
        <v>114</v>
      </c>
      <c r="E38" s="108"/>
      <c r="F38" s="31"/>
    </row>
    <row r="39" spans="2:6" ht="17.399999999999999">
      <c r="B39" s="226">
        <v>11</v>
      </c>
      <c r="C39" s="228" t="s">
        <v>115</v>
      </c>
      <c r="D39" s="32" t="s">
        <v>104</v>
      </c>
      <c r="E39" s="20">
        <v>40000</v>
      </c>
      <c r="F39" s="31" t="s">
        <v>107</v>
      </c>
    </row>
    <row r="40" spans="2:6" ht="17.399999999999999">
      <c r="B40" s="230"/>
      <c r="C40" s="231"/>
      <c r="D40" s="32" t="s">
        <v>76</v>
      </c>
      <c r="E40" s="20">
        <v>80000</v>
      </c>
      <c r="F40" s="31" t="s">
        <v>107</v>
      </c>
    </row>
    <row r="41" spans="2:6" ht="17.399999999999999">
      <c r="B41" s="230"/>
      <c r="C41" s="231"/>
      <c r="D41" s="32" t="s">
        <v>116</v>
      </c>
      <c r="E41" s="20">
        <v>80000</v>
      </c>
      <c r="F41" s="31" t="s">
        <v>107</v>
      </c>
    </row>
    <row r="42" spans="2:6" ht="17.399999999999999">
      <c r="B42" s="227"/>
      <c r="C42" s="229"/>
      <c r="D42" s="32" t="s">
        <v>117</v>
      </c>
      <c r="E42" s="20"/>
      <c r="F42" s="31" t="s">
        <v>107</v>
      </c>
    </row>
    <row r="43" spans="2:6" ht="17.399999999999999">
      <c r="B43" s="25">
        <v>12</v>
      </c>
      <c r="C43" s="26" t="s">
        <v>118</v>
      </c>
      <c r="D43" s="32"/>
      <c r="E43" s="20">
        <v>2</v>
      </c>
      <c r="F43" s="31" t="s">
        <v>119</v>
      </c>
    </row>
    <row r="44" spans="2:6" ht="17.399999999999999">
      <c r="B44" s="226">
        <v>13</v>
      </c>
      <c r="C44" s="228" t="s">
        <v>120</v>
      </c>
      <c r="D44" s="32" t="s">
        <v>120</v>
      </c>
      <c r="E44" s="53">
        <v>1.8</v>
      </c>
      <c r="F44" s="33" t="s">
        <v>121</v>
      </c>
    </row>
    <row r="45" spans="2:6">
      <c r="B45" s="230"/>
      <c r="C45" s="231"/>
      <c r="D45" s="24" t="s">
        <v>122</v>
      </c>
      <c r="E45" s="23">
        <f>(100*10^6)/E9</f>
        <v>100000000</v>
      </c>
      <c r="F45" s="18"/>
    </row>
    <row r="46" spans="2:6" ht="17.399999999999999">
      <c r="B46" s="227"/>
      <c r="C46" s="229"/>
      <c r="D46" s="18" t="s">
        <v>123</v>
      </c>
      <c r="E46" s="23">
        <v>400</v>
      </c>
      <c r="F46" s="33" t="s">
        <v>124</v>
      </c>
    </row>
    <row r="47" spans="2:6" ht="17.399999999999999">
      <c r="B47" s="226">
        <v>14</v>
      </c>
      <c r="C47" s="228" t="s">
        <v>125</v>
      </c>
      <c r="D47" s="32" t="s">
        <v>126</v>
      </c>
      <c r="E47" s="32" t="s">
        <v>127</v>
      </c>
      <c r="F47" s="34" t="s">
        <v>128</v>
      </c>
    </row>
    <row r="48" spans="2:6" ht="17.399999999999999">
      <c r="B48" s="230"/>
      <c r="C48" s="231"/>
      <c r="D48" s="32" t="s">
        <v>129</v>
      </c>
      <c r="E48" s="32" t="s">
        <v>130</v>
      </c>
      <c r="F48" s="34" t="s">
        <v>128</v>
      </c>
    </row>
    <row r="49" spans="2:6" ht="17.399999999999999">
      <c r="B49" s="230"/>
      <c r="C49" s="231"/>
      <c r="D49" s="32" t="s">
        <v>131</v>
      </c>
      <c r="E49" s="32" t="s">
        <v>132</v>
      </c>
      <c r="F49" s="34" t="s">
        <v>128</v>
      </c>
    </row>
    <row r="50" spans="2:6" ht="17.399999999999999">
      <c r="B50" s="230"/>
      <c r="C50" s="231"/>
      <c r="D50" s="32" t="s">
        <v>133</v>
      </c>
      <c r="E50" s="32" t="s">
        <v>134</v>
      </c>
      <c r="F50" s="34" t="s">
        <v>128</v>
      </c>
    </row>
    <row r="51" spans="2:6" ht="17.399999999999999">
      <c r="B51" s="230"/>
      <c r="C51" s="231"/>
      <c r="D51" s="32" t="s">
        <v>135</v>
      </c>
      <c r="E51" s="32" t="s">
        <v>136</v>
      </c>
      <c r="F51" s="34" t="s">
        <v>128</v>
      </c>
    </row>
    <row r="52" spans="2:6" ht="17.399999999999999">
      <c r="B52" s="230"/>
      <c r="C52" s="231"/>
      <c r="D52" s="32" t="s">
        <v>137</v>
      </c>
      <c r="E52" s="32" t="s">
        <v>138</v>
      </c>
      <c r="F52" s="34" t="s">
        <v>663</v>
      </c>
    </row>
    <row r="53" spans="2:6" ht="17.399999999999999">
      <c r="B53" s="230"/>
      <c r="C53" s="231"/>
      <c r="D53" s="32" t="s">
        <v>139</v>
      </c>
      <c r="E53" s="32" t="s">
        <v>140</v>
      </c>
      <c r="F53" s="34" t="s">
        <v>662</v>
      </c>
    </row>
    <row r="54" spans="2:6" ht="17.399999999999999">
      <c r="B54" s="230"/>
      <c r="C54" s="231"/>
      <c r="D54" s="32" t="s">
        <v>141</v>
      </c>
      <c r="E54" s="35" t="s">
        <v>142</v>
      </c>
      <c r="F54" s="34" t="s">
        <v>661</v>
      </c>
    </row>
    <row r="55" spans="2:6" ht="17.399999999999999">
      <c r="B55" s="230"/>
      <c r="C55" s="231"/>
      <c r="D55" s="32"/>
      <c r="E55" s="35" t="s">
        <v>101</v>
      </c>
      <c r="F55" s="34" t="s">
        <v>128</v>
      </c>
    </row>
    <row r="56" spans="2:6" ht="17.399999999999999">
      <c r="B56" s="230"/>
      <c r="C56" s="231"/>
      <c r="D56" s="32"/>
      <c r="E56" s="35" t="s">
        <v>143</v>
      </c>
      <c r="F56" s="34" t="s">
        <v>128</v>
      </c>
    </row>
    <row r="57" spans="2:6" ht="17.399999999999999">
      <c r="B57" s="227"/>
      <c r="C57" s="231"/>
      <c r="D57" s="32"/>
      <c r="E57" s="35" t="s">
        <v>144</v>
      </c>
      <c r="F57" s="34" t="s">
        <v>128</v>
      </c>
    </row>
    <row r="58" spans="2:6">
      <c r="B58" s="17">
        <v>15</v>
      </c>
      <c r="C58" s="36" t="s">
        <v>145</v>
      </c>
      <c r="D58" s="233" t="s">
        <v>146</v>
      </c>
      <c r="E58" s="234"/>
      <c r="F58" s="235"/>
    </row>
    <row r="59" spans="2:6">
      <c r="B59" s="17">
        <v>15</v>
      </c>
      <c r="C59" s="36" t="s">
        <v>147</v>
      </c>
      <c r="D59" s="233" t="s">
        <v>148</v>
      </c>
      <c r="E59" s="234"/>
      <c r="F59" s="235"/>
    </row>
    <row r="60" spans="2:6">
      <c r="B60" s="15"/>
      <c r="C60" s="15"/>
      <c r="D60" s="15"/>
      <c r="E60" s="16"/>
      <c r="F60" s="15"/>
    </row>
    <row r="61" spans="2:6" ht="181.5" customHeight="1">
      <c r="B61" s="17" t="s">
        <v>149</v>
      </c>
      <c r="C61" s="236" t="s">
        <v>679</v>
      </c>
      <c r="D61" s="237"/>
      <c r="E61" s="237"/>
      <c r="F61" s="238"/>
    </row>
  </sheetData>
  <mergeCells count="31">
    <mergeCell ref="D58:F58"/>
    <mergeCell ref="D59:F59"/>
    <mergeCell ref="C61:F61"/>
    <mergeCell ref="B39:B42"/>
    <mergeCell ref="C39:C42"/>
    <mergeCell ref="B44:B46"/>
    <mergeCell ref="C44:C46"/>
    <mergeCell ref="B47:B57"/>
    <mergeCell ref="C47:C57"/>
    <mergeCell ref="B31:B32"/>
    <mergeCell ref="C31:C32"/>
    <mergeCell ref="B33:B34"/>
    <mergeCell ref="C33:C34"/>
    <mergeCell ref="B35:B37"/>
    <mergeCell ref="C35:C37"/>
    <mergeCell ref="B20:B21"/>
    <mergeCell ref="C20:C21"/>
    <mergeCell ref="B22:B28"/>
    <mergeCell ref="C22:C28"/>
    <mergeCell ref="B29:B30"/>
    <mergeCell ref="C29:C30"/>
    <mergeCell ref="B6:F6"/>
    <mergeCell ref="B14:B15"/>
    <mergeCell ref="C14:C15"/>
    <mergeCell ref="B16:B19"/>
    <mergeCell ref="C16:C19"/>
    <mergeCell ref="B2:F2"/>
    <mergeCell ref="B3:C3"/>
    <mergeCell ref="D3:F3"/>
    <mergeCell ref="E4:F4"/>
    <mergeCell ref="E5:F5"/>
  </mergeCells>
  <phoneticPr fontId="7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pane ySplit="1" topLeftCell="A2" activePane="bottomLeft" state="frozen"/>
      <selection pane="bottomLeft" activeCell="E15" sqref="E15"/>
    </sheetView>
  </sheetViews>
  <sheetFormatPr defaultColWidth="8.8984375" defaultRowHeight="17.399999999999999"/>
  <cols>
    <col min="1" max="1" width="8.8984375" style="96"/>
    <col min="2" max="2" width="11.3984375" style="96" customWidth="1"/>
    <col min="3" max="12" width="8.8984375" style="96"/>
    <col min="13" max="13" width="8.8984375" style="105"/>
    <col min="14" max="15" width="8.8984375" style="96" customWidth="1"/>
    <col min="16" max="16" width="8.8984375" style="96"/>
    <col min="17" max="18" width="8" style="106" customWidth="1"/>
    <col min="19" max="23" width="8.8984375" style="96"/>
    <col min="24" max="24" width="7" style="107" customWidth="1"/>
    <col min="25" max="16384" width="8.8984375" style="96"/>
  </cols>
  <sheetData>
    <row r="1" spans="1:30" ht="28.8">
      <c r="A1" s="239"/>
      <c r="B1" s="109"/>
      <c r="C1" s="239"/>
      <c r="D1" s="86" t="s">
        <v>628</v>
      </c>
      <c r="E1" s="86" t="s">
        <v>629</v>
      </c>
      <c r="F1" s="86" t="s">
        <v>630</v>
      </c>
      <c r="G1" s="86" t="s">
        <v>631</v>
      </c>
      <c r="H1" s="86" t="s">
        <v>614</v>
      </c>
      <c r="I1" s="86" t="s">
        <v>615</v>
      </c>
      <c r="J1" s="85" t="s">
        <v>632</v>
      </c>
      <c r="K1" s="86" t="s">
        <v>633</v>
      </c>
      <c r="L1" s="94" t="s">
        <v>616</v>
      </c>
      <c r="M1" s="87" t="s">
        <v>634</v>
      </c>
      <c r="N1" s="94" t="s">
        <v>635</v>
      </c>
      <c r="O1" s="94" t="s">
        <v>636</v>
      </c>
      <c r="P1" s="94" t="s">
        <v>637</v>
      </c>
      <c r="Q1" s="88" t="s">
        <v>617</v>
      </c>
      <c r="R1" s="89" t="s">
        <v>638</v>
      </c>
      <c r="S1" s="94" t="s">
        <v>639</v>
      </c>
      <c r="T1" s="94" t="s">
        <v>618</v>
      </c>
      <c r="U1" s="94" t="s">
        <v>640</v>
      </c>
      <c r="V1" s="94" t="s">
        <v>641</v>
      </c>
      <c r="W1" s="94" t="s">
        <v>642</v>
      </c>
      <c r="X1" s="90" t="s">
        <v>619</v>
      </c>
      <c r="Y1" s="94" t="s">
        <v>620</v>
      </c>
      <c r="Z1" s="94" t="s">
        <v>643</v>
      </c>
      <c r="AA1" s="94" t="s">
        <v>621</v>
      </c>
      <c r="AB1" s="94" t="s">
        <v>644</v>
      </c>
      <c r="AC1" s="94" t="s">
        <v>645</v>
      </c>
      <c r="AD1" s="94" t="s">
        <v>622</v>
      </c>
    </row>
    <row r="2" spans="1:30">
      <c r="A2" s="239"/>
      <c r="B2" s="109"/>
      <c r="C2" s="239"/>
      <c r="D2" s="91" t="s">
        <v>8</v>
      </c>
      <c r="E2" s="91" t="s">
        <v>646</v>
      </c>
      <c r="F2" s="91" t="s">
        <v>1</v>
      </c>
      <c r="G2" s="91" t="s">
        <v>647</v>
      </c>
      <c r="H2" s="91" t="s">
        <v>648</v>
      </c>
      <c r="I2" s="91" t="s">
        <v>649</v>
      </c>
      <c r="J2" s="91" t="s">
        <v>9</v>
      </c>
      <c r="K2" s="91" t="s">
        <v>647</v>
      </c>
      <c r="L2" s="91" t="s">
        <v>623</v>
      </c>
      <c r="M2" s="92" t="s">
        <v>650</v>
      </c>
      <c r="N2" s="92"/>
      <c r="O2" s="92"/>
      <c r="P2" s="92" t="s">
        <v>651</v>
      </c>
      <c r="Q2" s="92" t="s">
        <v>623</v>
      </c>
      <c r="R2" s="97" t="s">
        <v>652</v>
      </c>
      <c r="S2" s="97"/>
      <c r="T2" s="97"/>
      <c r="U2" s="97" t="s">
        <v>653</v>
      </c>
      <c r="V2" s="97" t="s">
        <v>624</v>
      </c>
      <c r="W2" s="97" t="s">
        <v>624</v>
      </c>
      <c r="X2" s="98"/>
      <c r="Y2" s="97" t="s">
        <v>654</v>
      </c>
      <c r="Z2" s="93" t="s">
        <v>1</v>
      </c>
      <c r="AA2" s="93" t="s">
        <v>655</v>
      </c>
      <c r="AB2" s="93" t="s">
        <v>656</v>
      </c>
      <c r="AC2" s="93" t="s">
        <v>623</v>
      </c>
      <c r="AD2" s="93" t="s">
        <v>657</v>
      </c>
    </row>
    <row r="3" spans="1:30" ht="17.399999999999999" customHeight="1">
      <c r="A3" s="110"/>
      <c r="B3" s="110"/>
      <c r="C3" s="110"/>
      <c r="D3" s="95">
        <v>605</v>
      </c>
      <c r="E3" s="95">
        <v>1606</v>
      </c>
      <c r="F3" s="95">
        <v>1090</v>
      </c>
      <c r="G3" s="95">
        <v>555.29999999999995</v>
      </c>
      <c r="H3" s="95">
        <v>12.51</v>
      </c>
      <c r="I3" s="95">
        <v>31.1</v>
      </c>
      <c r="J3" s="95">
        <v>56</v>
      </c>
      <c r="K3" s="95">
        <v>1092</v>
      </c>
      <c r="L3" s="99">
        <f>2*3.141592*H3*1000*J3/1000000*K3</f>
        <v>4806.70814227968</v>
      </c>
      <c r="M3" s="99">
        <f>L3-E3</f>
        <v>3200.70814227968</v>
      </c>
      <c r="N3" s="100">
        <f>M3/E3</f>
        <v>1.9929689553422665</v>
      </c>
      <c r="O3" s="100">
        <f>E3/M3</f>
        <v>0.50176396241368593</v>
      </c>
      <c r="P3" s="101">
        <v>1</v>
      </c>
      <c r="Q3" s="99">
        <f>M3*P3</f>
        <v>3200.70814227968</v>
      </c>
      <c r="R3" s="100">
        <f>D3*1000/Q3^2*1000</f>
        <v>59.055890874714493</v>
      </c>
      <c r="S3" s="100">
        <f>K3*L3/D3/1000</f>
        <v>8.6759095725114221</v>
      </c>
      <c r="T3" s="100">
        <f>K3*M3/D3/1000</f>
        <v>5.7771459361477868</v>
      </c>
      <c r="U3" s="100">
        <f>V3*N3</f>
        <v>8.650474283405142</v>
      </c>
      <c r="V3" s="102">
        <f t="shared" ref="V3" si="0">K3/2/PI()/H3/M3*1000</f>
        <v>4.3404962531990545</v>
      </c>
      <c r="W3" s="103">
        <f t="shared" ref="W3" si="1">V3/P3/P3</f>
        <v>4.3404962531990545</v>
      </c>
      <c r="X3" s="100">
        <f>2*3.141592*H3*1000*(W3/1000000)/(R3/1000)</f>
        <v>5.7771447342467015</v>
      </c>
      <c r="Y3" s="101"/>
      <c r="Z3" s="104">
        <f>(Y3/D3)^0.5*E3</f>
        <v>0</v>
      </c>
      <c r="AA3" s="104">
        <f>(Y3/D3)^0.5*M3</f>
        <v>0</v>
      </c>
      <c r="AB3" s="104">
        <f>(Y3/D3)^0.5*L3</f>
        <v>0</v>
      </c>
      <c r="AC3" s="104">
        <f>(Y3/D3)^0.5*Q3</f>
        <v>0</v>
      </c>
      <c r="AD3" s="104">
        <f t="shared" ref="AD3" si="2">(Y3/D3)^0.5*K3</f>
        <v>0</v>
      </c>
    </row>
    <row r="4" spans="1:30">
      <c r="X4" s="105"/>
    </row>
  </sheetData>
  <protectedRanges>
    <protectedRange sqref="D1:J3" name="범위1"/>
  </protectedRanges>
  <mergeCells count="2">
    <mergeCell ref="C1:C2"/>
    <mergeCell ref="A1:A2"/>
  </mergeCells>
  <phoneticPr fontId="7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A31" sqref="A31:XFD31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242" t="s">
        <v>506</v>
      </c>
      <c r="B2" s="244" t="s">
        <v>507</v>
      </c>
      <c r="C2" s="244" t="s">
        <v>508</v>
      </c>
      <c r="D2" s="244" t="s">
        <v>509</v>
      </c>
      <c r="E2" s="244" t="s">
        <v>510</v>
      </c>
      <c r="F2" s="240" t="s">
        <v>511</v>
      </c>
      <c r="G2" s="246" t="s">
        <v>512</v>
      </c>
      <c r="H2" s="244" t="s">
        <v>513</v>
      </c>
      <c r="I2" s="246" t="s">
        <v>514</v>
      </c>
      <c r="J2" s="248" t="s">
        <v>515</v>
      </c>
      <c r="K2" s="244" t="s">
        <v>516</v>
      </c>
      <c r="L2" s="240" t="s">
        <v>517</v>
      </c>
      <c r="M2" s="244" t="s">
        <v>518</v>
      </c>
      <c r="N2" s="244" t="s">
        <v>519</v>
      </c>
      <c r="O2" s="240" t="s">
        <v>520</v>
      </c>
      <c r="P2" s="244" t="s">
        <v>521</v>
      </c>
      <c r="Q2" s="244" t="s">
        <v>522</v>
      </c>
      <c r="R2" s="244"/>
      <c r="S2" s="246" t="s">
        <v>523</v>
      </c>
      <c r="T2" s="252" t="s">
        <v>524</v>
      </c>
      <c r="U2" s="254" t="s">
        <v>525</v>
      </c>
      <c r="V2" s="254" t="s">
        <v>526</v>
      </c>
    </row>
    <row r="3" spans="1:22" ht="18" thickBot="1">
      <c r="A3" s="243"/>
      <c r="B3" s="245"/>
      <c r="C3" s="245"/>
      <c r="D3" s="245"/>
      <c r="E3" s="245"/>
      <c r="F3" s="241"/>
      <c r="G3" s="247"/>
      <c r="H3" s="245"/>
      <c r="I3" s="247"/>
      <c r="J3" s="249"/>
      <c r="K3" s="245"/>
      <c r="L3" s="241"/>
      <c r="M3" s="245"/>
      <c r="N3" s="245"/>
      <c r="O3" s="241"/>
      <c r="P3" s="245"/>
      <c r="Q3" s="56" t="s">
        <v>527</v>
      </c>
      <c r="R3" s="56" t="s">
        <v>528</v>
      </c>
      <c r="S3" s="247"/>
      <c r="T3" s="253"/>
      <c r="U3" s="255"/>
      <c r="V3" s="255"/>
    </row>
    <row r="4" spans="1:22" ht="18" thickTop="1">
      <c r="A4" s="57">
        <v>20</v>
      </c>
      <c r="B4" s="58">
        <v>220</v>
      </c>
      <c r="C4" s="59">
        <f t="shared" ref="C4:C47" si="0">ROUNDUP(A4/(B4*0.9)/3^0.5*1000/0.9,0)</f>
        <v>65</v>
      </c>
      <c r="D4" s="59">
        <f t="shared" ref="D4:D47" si="1">ROUNDUP(B4*2^0.5*0.93,0)</f>
        <v>290</v>
      </c>
      <c r="E4" s="59">
        <f t="shared" ref="E4:E47" si="2">ROUNDUP(A4*1000/D4,0)</f>
        <v>69</v>
      </c>
      <c r="F4" s="60">
        <f t="shared" ref="F4:F47" si="3">30.8*100*C4/(1000*10)</f>
        <v>20.02</v>
      </c>
      <c r="G4" s="61">
        <f t="shared" ref="G4:G47" si="4">C4/(H4*I4)</f>
        <v>1.8571428571428572</v>
      </c>
      <c r="H4" s="58">
        <v>35</v>
      </c>
      <c r="I4" s="58">
        <v>1</v>
      </c>
      <c r="J4" s="58">
        <f t="shared" ref="J4:J47" si="5">L4*0.052</f>
        <v>3.9</v>
      </c>
      <c r="K4" s="58">
        <v>16</v>
      </c>
      <c r="L4" s="58">
        <v>75</v>
      </c>
      <c r="M4" s="58" t="s">
        <v>529</v>
      </c>
      <c r="N4" s="58" t="s">
        <v>530</v>
      </c>
      <c r="O4" s="62">
        <f t="shared" ref="O4:O47" si="6">SUM(C4*1.25)</f>
        <v>81.25</v>
      </c>
      <c r="P4" s="58" t="s">
        <v>531</v>
      </c>
      <c r="Q4" s="58" t="s">
        <v>532</v>
      </c>
      <c r="R4" s="58"/>
      <c r="S4" s="63" t="s">
        <v>533</v>
      </c>
      <c r="T4" s="63" t="s">
        <v>531</v>
      </c>
      <c r="U4" s="58" t="s">
        <v>534</v>
      </c>
      <c r="V4" s="64" t="s">
        <v>535</v>
      </c>
    </row>
    <row r="5" spans="1:22" ht="17.399999999999999">
      <c r="A5" s="57">
        <v>20</v>
      </c>
      <c r="B5" s="58">
        <v>380</v>
      </c>
      <c r="C5" s="59">
        <f t="shared" si="0"/>
        <v>38</v>
      </c>
      <c r="D5" s="59">
        <f t="shared" si="1"/>
        <v>500</v>
      </c>
      <c r="E5" s="59">
        <f t="shared" si="2"/>
        <v>40</v>
      </c>
      <c r="F5" s="60">
        <f t="shared" si="3"/>
        <v>11.704000000000001</v>
      </c>
      <c r="G5" s="61">
        <f t="shared" si="4"/>
        <v>1.52</v>
      </c>
      <c r="H5" s="58">
        <v>25</v>
      </c>
      <c r="I5" s="58">
        <v>1</v>
      </c>
      <c r="J5" s="58">
        <f t="shared" si="5"/>
        <v>2.6</v>
      </c>
      <c r="K5" s="58">
        <v>16</v>
      </c>
      <c r="L5" s="58">
        <v>50</v>
      </c>
      <c r="M5" s="58" t="s">
        <v>536</v>
      </c>
      <c r="N5" s="58" t="s">
        <v>537</v>
      </c>
      <c r="O5" s="62">
        <f t="shared" si="6"/>
        <v>47.5</v>
      </c>
      <c r="P5" s="58" t="s">
        <v>538</v>
      </c>
      <c r="Q5" s="58" t="s">
        <v>532</v>
      </c>
      <c r="R5" s="58"/>
      <c r="S5" s="63" t="s">
        <v>533</v>
      </c>
      <c r="T5" s="63" t="s">
        <v>531</v>
      </c>
      <c r="U5" s="58" t="s">
        <v>534</v>
      </c>
      <c r="V5" s="64" t="s">
        <v>535</v>
      </c>
    </row>
    <row r="6" spans="1:22" ht="17.399999999999999">
      <c r="A6" s="57">
        <v>20</v>
      </c>
      <c r="B6" s="58">
        <v>440</v>
      </c>
      <c r="C6" s="59">
        <f t="shared" si="0"/>
        <v>33</v>
      </c>
      <c r="D6" s="59">
        <f t="shared" si="1"/>
        <v>579</v>
      </c>
      <c r="E6" s="59">
        <f t="shared" si="2"/>
        <v>35</v>
      </c>
      <c r="F6" s="60">
        <f t="shared" si="3"/>
        <v>10.164</v>
      </c>
      <c r="G6" s="61">
        <f t="shared" si="4"/>
        <v>1.32</v>
      </c>
      <c r="H6" s="58">
        <v>25</v>
      </c>
      <c r="I6" s="58">
        <v>1</v>
      </c>
      <c r="J6" s="58">
        <f t="shared" si="5"/>
        <v>2.6</v>
      </c>
      <c r="K6" s="58">
        <v>16</v>
      </c>
      <c r="L6" s="58">
        <v>50</v>
      </c>
      <c r="M6" s="58" t="s">
        <v>536</v>
      </c>
      <c r="N6" s="58" t="s">
        <v>537</v>
      </c>
      <c r="O6" s="62">
        <f t="shared" si="6"/>
        <v>41.25</v>
      </c>
      <c r="P6" s="58" t="s">
        <v>538</v>
      </c>
      <c r="Q6" s="58" t="s">
        <v>532</v>
      </c>
      <c r="R6" s="58"/>
      <c r="S6" s="63" t="s">
        <v>533</v>
      </c>
      <c r="T6" s="63" t="s">
        <v>531</v>
      </c>
      <c r="U6" s="58" t="s">
        <v>534</v>
      </c>
      <c r="V6" s="64" t="s">
        <v>535</v>
      </c>
    </row>
    <row r="7" spans="1:22" ht="17.399999999999999">
      <c r="A7" s="57">
        <v>30</v>
      </c>
      <c r="B7" s="58">
        <v>220</v>
      </c>
      <c r="C7" s="59">
        <f t="shared" si="0"/>
        <v>98</v>
      </c>
      <c r="D7" s="59">
        <f t="shared" si="1"/>
        <v>290</v>
      </c>
      <c r="E7" s="59">
        <f t="shared" si="2"/>
        <v>104</v>
      </c>
      <c r="F7" s="60">
        <f t="shared" si="3"/>
        <v>30.184000000000001</v>
      </c>
      <c r="G7" s="61">
        <f t="shared" si="4"/>
        <v>1.96</v>
      </c>
      <c r="H7" s="58">
        <v>50</v>
      </c>
      <c r="I7" s="58">
        <v>1</v>
      </c>
      <c r="J7" s="58">
        <f t="shared" si="5"/>
        <v>6.5</v>
      </c>
      <c r="K7" s="58">
        <v>16</v>
      </c>
      <c r="L7" s="58">
        <v>125</v>
      </c>
      <c r="M7" s="58" t="s">
        <v>539</v>
      </c>
      <c r="N7" s="58" t="s">
        <v>540</v>
      </c>
      <c r="O7" s="62">
        <f t="shared" si="6"/>
        <v>122.5</v>
      </c>
      <c r="P7" s="58" t="s">
        <v>541</v>
      </c>
      <c r="Q7" s="58" t="s">
        <v>532</v>
      </c>
      <c r="R7" s="65" t="s">
        <v>535</v>
      </c>
      <c r="S7" s="63" t="s">
        <v>533</v>
      </c>
      <c r="T7" s="63" t="s">
        <v>542</v>
      </c>
      <c r="U7" s="58" t="s">
        <v>534</v>
      </c>
      <c r="V7" s="64" t="s">
        <v>535</v>
      </c>
    </row>
    <row r="8" spans="1:22" ht="17.399999999999999">
      <c r="A8" s="57">
        <v>30</v>
      </c>
      <c r="B8" s="58">
        <v>380</v>
      </c>
      <c r="C8" s="59">
        <f t="shared" si="0"/>
        <v>57</v>
      </c>
      <c r="D8" s="59">
        <f t="shared" si="1"/>
        <v>500</v>
      </c>
      <c r="E8" s="59">
        <f t="shared" si="2"/>
        <v>60</v>
      </c>
      <c r="F8" s="60">
        <f t="shared" si="3"/>
        <v>17.556000000000001</v>
      </c>
      <c r="G8" s="61">
        <f t="shared" si="4"/>
        <v>1.6285714285714286</v>
      </c>
      <c r="H8" s="58">
        <v>35</v>
      </c>
      <c r="I8" s="58">
        <v>1</v>
      </c>
      <c r="J8" s="58">
        <f t="shared" si="5"/>
        <v>3.9</v>
      </c>
      <c r="K8" s="58">
        <v>16</v>
      </c>
      <c r="L8" s="58">
        <v>75</v>
      </c>
      <c r="M8" s="58" t="s">
        <v>529</v>
      </c>
      <c r="N8" s="58" t="s">
        <v>530</v>
      </c>
      <c r="O8" s="62">
        <f t="shared" si="6"/>
        <v>71.25</v>
      </c>
      <c r="P8" s="58" t="s">
        <v>531</v>
      </c>
      <c r="Q8" s="58" t="s">
        <v>532</v>
      </c>
      <c r="R8" s="65" t="s">
        <v>535</v>
      </c>
      <c r="S8" s="63" t="s">
        <v>533</v>
      </c>
      <c r="T8" s="63" t="s">
        <v>531</v>
      </c>
      <c r="U8" s="58" t="s">
        <v>534</v>
      </c>
      <c r="V8" s="64" t="s">
        <v>535</v>
      </c>
    </row>
    <row r="9" spans="1:22" ht="17.399999999999999">
      <c r="A9" s="57">
        <v>30</v>
      </c>
      <c r="B9" s="58">
        <v>440</v>
      </c>
      <c r="C9" s="59">
        <f t="shared" si="0"/>
        <v>49</v>
      </c>
      <c r="D9" s="59">
        <f t="shared" si="1"/>
        <v>579</v>
      </c>
      <c r="E9" s="59">
        <f t="shared" si="2"/>
        <v>52</v>
      </c>
      <c r="F9" s="60">
        <f t="shared" si="3"/>
        <v>15.092000000000001</v>
      </c>
      <c r="G9" s="61">
        <f t="shared" si="4"/>
        <v>1.4</v>
      </c>
      <c r="H9" s="58">
        <v>35</v>
      </c>
      <c r="I9" s="58">
        <v>1</v>
      </c>
      <c r="J9" s="58">
        <f t="shared" si="5"/>
        <v>3.9</v>
      </c>
      <c r="K9" s="58">
        <v>16</v>
      </c>
      <c r="L9" s="58">
        <v>75</v>
      </c>
      <c r="M9" s="58" t="s">
        <v>529</v>
      </c>
      <c r="N9" s="58" t="s">
        <v>530</v>
      </c>
      <c r="O9" s="62">
        <f t="shared" si="6"/>
        <v>61.25</v>
      </c>
      <c r="P9" s="58" t="s">
        <v>531</v>
      </c>
      <c r="Q9" s="58" t="s">
        <v>532</v>
      </c>
      <c r="R9" s="65" t="s">
        <v>535</v>
      </c>
      <c r="S9" s="63" t="s">
        <v>533</v>
      </c>
      <c r="T9" s="63" t="s">
        <v>531</v>
      </c>
      <c r="U9" s="58" t="s">
        <v>534</v>
      </c>
      <c r="V9" s="64" t="s">
        <v>535</v>
      </c>
    </row>
    <row r="10" spans="1:22" ht="17.399999999999999">
      <c r="A10" s="57">
        <v>50</v>
      </c>
      <c r="B10" s="58">
        <v>220</v>
      </c>
      <c r="C10" s="59">
        <f t="shared" si="0"/>
        <v>162</v>
      </c>
      <c r="D10" s="59">
        <f t="shared" si="1"/>
        <v>290</v>
      </c>
      <c r="E10" s="59">
        <f t="shared" si="2"/>
        <v>173</v>
      </c>
      <c r="F10" s="60">
        <f t="shared" si="3"/>
        <v>49.896000000000001</v>
      </c>
      <c r="G10" s="61">
        <f t="shared" si="4"/>
        <v>2.3142857142857145</v>
      </c>
      <c r="H10" s="58">
        <v>70</v>
      </c>
      <c r="I10" s="58">
        <v>1</v>
      </c>
      <c r="J10" s="58">
        <f t="shared" si="5"/>
        <v>10.4</v>
      </c>
      <c r="K10" s="58">
        <v>16</v>
      </c>
      <c r="L10" s="58">
        <v>200</v>
      </c>
      <c r="M10" s="58" t="s">
        <v>543</v>
      </c>
      <c r="N10" s="58" t="s">
        <v>544</v>
      </c>
      <c r="O10" s="62">
        <f t="shared" si="6"/>
        <v>202.5</v>
      </c>
      <c r="P10" s="58" t="s">
        <v>545</v>
      </c>
      <c r="Q10" s="58" t="s">
        <v>546</v>
      </c>
      <c r="R10" s="65" t="s">
        <v>535</v>
      </c>
      <c r="S10" s="63" t="s">
        <v>547</v>
      </c>
      <c r="T10" s="63" t="s">
        <v>548</v>
      </c>
      <c r="U10" s="250" t="s">
        <v>549</v>
      </c>
      <c r="V10" s="251"/>
    </row>
    <row r="11" spans="1:22" ht="17.399999999999999">
      <c r="A11" s="57">
        <v>50</v>
      </c>
      <c r="B11" s="58">
        <v>380</v>
      </c>
      <c r="C11" s="59">
        <f t="shared" si="0"/>
        <v>94</v>
      </c>
      <c r="D11" s="59">
        <f t="shared" si="1"/>
        <v>500</v>
      </c>
      <c r="E11" s="59">
        <f t="shared" si="2"/>
        <v>100</v>
      </c>
      <c r="F11" s="60">
        <f t="shared" si="3"/>
        <v>28.952000000000002</v>
      </c>
      <c r="G11" s="61">
        <f t="shared" si="4"/>
        <v>1.3428571428571427</v>
      </c>
      <c r="H11" s="58">
        <v>70</v>
      </c>
      <c r="I11" s="58">
        <v>1</v>
      </c>
      <c r="J11" s="58">
        <f t="shared" si="5"/>
        <v>6.5</v>
      </c>
      <c r="K11" s="58">
        <v>16</v>
      </c>
      <c r="L11" s="58">
        <v>125</v>
      </c>
      <c r="M11" s="58" t="s">
        <v>550</v>
      </c>
      <c r="N11" s="58" t="s">
        <v>540</v>
      </c>
      <c r="O11" s="62">
        <f t="shared" si="6"/>
        <v>117.5</v>
      </c>
      <c r="P11" s="58" t="s">
        <v>541</v>
      </c>
      <c r="Q11" s="58" t="s">
        <v>532</v>
      </c>
      <c r="R11" s="65" t="s">
        <v>535</v>
      </c>
      <c r="S11" s="63" t="s">
        <v>533</v>
      </c>
      <c r="T11" s="63" t="s">
        <v>542</v>
      </c>
      <c r="U11" s="58" t="s">
        <v>534</v>
      </c>
      <c r="V11" s="64" t="s">
        <v>535</v>
      </c>
    </row>
    <row r="12" spans="1:22" ht="17.399999999999999">
      <c r="A12" s="57">
        <v>50</v>
      </c>
      <c r="B12" s="58">
        <v>440</v>
      </c>
      <c r="C12" s="59">
        <f t="shared" si="0"/>
        <v>81</v>
      </c>
      <c r="D12" s="59">
        <f t="shared" si="1"/>
        <v>579</v>
      </c>
      <c r="E12" s="59">
        <f t="shared" si="2"/>
        <v>87</v>
      </c>
      <c r="F12" s="60">
        <f t="shared" si="3"/>
        <v>24.948</v>
      </c>
      <c r="G12" s="61">
        <f t="shared" si="4"/>
        <v>1.1571428571428573</v>
      </c>
      <c r="H12" s="58">
        <v>70</v>
      </c>
      <c r="I12" s="58">
        <v>1</v>
      </c>
      <c r="J12" s="58">
        <f t="shared" si="5"/>
        <v>5.2</v>
      </c>
      <c r="K12" s="58">
        <v>16</v>
      </c>
      <c r="L12" s="58">
        <v>100</v>
      </c>
      <c r="M12" s="58" t="s">
        <v>550</v>
      </c>
      <c r="N12" s="58" t="s">
        <v>540</v>
      </c>
      <c r="O12" s="62">
        <f t="shared" si="6"/>
        <v>101.25</v>
      </c>
      <c r="P12" s="58" t="s">
        <v>541</v>
      </c>
      <c r="Q12" s="58" t="s">
        <v>532</v>
      </c>
      <c r="R12" s="65" t="s">
        <v>535</v>
      </c>
      <c r="S12" s="63" t="s">
        <v>533</v>
      </c>
      <c r="T12" s="63" t="s">
        <v>542</v>
      </c>
      <c r="U12" s="58" t="s">
        <v>534</v>
      </c>
      <c r="V12" s="64" t="s">
        <v>535</v>
      </c>
    </row>
    <row r="13" spans="1:22" ht="17.399999999999999">
      <c r="A13" s="57">
        <v>75</v>
      </c>
      <c r="B13" s="58">
        <v>220</v>
      </c>
      <c r="C13" s="59">
        <f t="shared" si="0"/>
        <v>243</v>
      </c>
      <c r="D13" s="59">
        <f t="shared" si="1"/>
        <v>290</v>
      </c>
      <c r="E13" s="59">
        <f t="shared" si="2"/>
        <v>259</v>
      </c>
      <c r="F13" s="60">
        <f t="shared" si="3"/>
        <v>74.843999999999994</v>
      </c>
      <c r="G13" s="61">
        <f t="shared" si="4"/>
        <v>1.7357142857142858</v>
      </c>
      <c r="H13" s="58">
        <v>70</v>
      </c>
      <c r="I13" s="58">
        <v>2</v>
      </c>
      <c r="J13" s="58">
        <f t="shared" si="5"/>
        <v>15.6</v>
      </c>
      <c r="K13" s="58">
        <v>16</v>
      </c>
      <c r="L13" s="58">
        <v>300</v>
      </c>
      <c r="M13" s="58" t="s">
        <v>551</v>
      </c>
      <c r="N13" s="58" t="s">
        <v>552</v>
      </c>
      <c r="O13" s="62">
        <f t="shared" si="6"/>
        <v>303.75</v>
      </c>
      <c r="P13" s="58" t="s">
        <v>548</v>
      </c>
      <c r="Q13" s="58" t="s">
        <v>546</v>
      </c>
      <c r="R13" s="65" t="s">
        <v>535</v>
      </c>
      <c r="S13" s="63" t="s">
        <v>547</v>
      </c>
      <c r="T13" s="63" t="s">
        <v>548</v>
      </c>
      <c r="U13" s="250" t="s">
        <v>549</v>
      </c>
      <c r="V13" s="251"/>
    </row>
    <row r="14" spans="1:22" ht="17.399999999999999">
      <c r="A14" s="57">
        <v>75</v>
      </c>
      <c r="B14" s="58">
        <v>380</v>
      </c>
      <c r="C14" s="59">
        <f t="shared" si="0"/>
        <v>141</v>
      </c>
      <c r="D14" s="59">
        <f t="shared" si="1"/>
        <v>500</v>
      </c>
      <c r="E14" s="59">
        <f t="shared" si="2"/>
        <v>150</v>
      </c>
      <c r="F14" s="60">
        <f t="shared" si="3"/>
        <v>43.427999999999997</v>
      </c>
      <c r="G14" s="61">
        <f t="shared" si="4"/>
        <v>2.0142857142857142</v>
      </c>
      <c r="H14" s="58">
        <v>70</v>
      </c>
      <c r="I14" s="58">
        <v>1</v>
      </c>
      <c r="J14" s="58">
        <f t="shared" si="5"/>
        <v>9.1</v>
      </c>
      <c r="K14" s="58">
        <v>16</v>
      </c>
      <c r="L14" s="58">
        <v>175</v>
      </c>
      <c r="M14" s="58" t="s">
        <v>543</v>
      </c>
      <c r="N14" s="58" t="s">
        <v>544</v>
      </c>
      <c r="O14" s="62">
        <f t="shared" si="6"/>
        <v>176.25</v>
      </c>
      <c r="P14" s="58" t="s">
        <v>545</v>
      </c>
      <c r="Q14" s="58" t="s">
        <v>546</v>
      </c>
      <c r="R14" s="65" t="s">
        <v>535</v>
      </c>
      <c r="S14" s="63" t="s">
        <v>547</v>
      </c>
      <c r="T14" s="63" t="s">
        <v>545</v>
      </c>
      <c r="U14" s="250" t="s">
        <v>549</v>
      </c>
      <c r="V14" s="251"/>
    </row>
    <row r="15" spans="1:22" ht="17.399999999999999">
      <c r="A15" s="57">
        <v>75</v>
      </c>
      <c r="B15" s="58">
        <v>440</v>
      </c>
      <c r="C15" s="59">
        <f t="shared" si="0"/>
        <v>122</v>
      </c>
      <c r="D15" s="59">
        <f t="shared" si="1"/>
        <v>579</v>
      </c>
      <c r="E15" s="59">
        <f t="shared" si="2"/>
        <v>130</v>
      </c>
      <c r="F15" s="60">
        <f t="shared" si="3"/>
        <v>37.576000000000001</v>
      </c>
      <c r="G15" s="61">
        <f t="shared" si="4"/>
        <v>1.7428571428571429</v>
      </c>
      <c r="H15" s="58">
        <v>70</v>
      </c>
      <c r="I15" s="58">
        <v>1</v>
      </c>
      <c r="J15" s="58">
        <f t="shared" si="5"/>
        <v>7.8</v>
      </c>
      <c r="K15" s="58">
        <v>16</v>
      </c>
      <c r="L15" s="58">
        <v>150</v>
      </c>
      <c r="M15" s="58" t="s">
        <v>543</v>
      </c>
      <c r="N15" s="58" t="s">
        <v>544</v>
      </c>
      <c r="O15" s="62">
        <f t="shared" si="6"/>
        <v>152.5</v>
      </c>
      <c r="P15" s="58" t="s">
        <v>545</v>
      </c>
      <c r="Q15" s="58" t="s">
        <v>546</v>
      </c>
      <c r="R15" s="65" t="s">
        <v>535</v>
      </c>
      <c r="S15" s="63" t="s">
        <v>547</v>
      </c>
      <c r="T15" s="63" t="s">
        <v>545</v>
      </c>
      <c r="U15" s="250" t="s">
        <v>549</v>
      </c>
      <c r="V15" s="251"/>
    </row>
    <row r="16" spans="1:22" ht="17.399999999999999">
      <c r="A16" s="57">
        <v>100</v>
      </c>
      <c r="B16" s="58">
        <v>380</v>
      </c>
      <c r="C16" s="59">
        <f t="shared" si="0"/>
        <v>188</v>
      </c>
      <c r="D16" s="59">
        <f t="shared" si="1"/>
        <v>500</v>
      </c>
      <c r="E16" s="59">
        <f t="shared" si="2"/>
        <v>200</v>
      </c>
      <c r="F16" s="60">
        <f t="shared" si="3"/>
        <v>57.904000000000003</v>
      </c>
      <c r="G16" s="61">
        <f t="shared" si="4"/>
        <v>1.9789473684210526</v>
      </c>
      <c r="H16" s="58">
        <v>95</v>
      </c>
      <c r="I16" s="58">
        <v>1</v>
      </c>
      <c r="J16" s="58">
        <f t="shared" si="5"/>
        <v>10.4</v>
      </c>
      <c r="K16" s="58">
        <v>16</v>
      </c>
      <c r="L16" s="58">
        <v>200</v>
      </c>
      <c r="M16" s="58" t="s">
        <v>543</v>
      </c>
      <c r="N16" s="58" t="s">
        <v>553</v>
      </c>
      <c r="O16" s="62">
        <f t="shared" si="6"/>
        <v>235</v>
      </c>
      <c r="P16" s="58" t="s">
        <v>554</v>
      </c>
      <c r="Q16" s="58" t="s">
        <v>546</v>
      </c>
      <c r="R16" s="65" t="s">
        <v>535</v>
      </c>
      <c r="S16" s="63" t="s">
        <v>547</v>
      </c>
      <c r="T16" s="63" t="s">
        <v>548</v>
      </c>
      <c r="U16" s="250" t="s">
        <v>549</v>
      </c>
      <c r="V16" s="251"/>
    </row>
    <row r="17" spans="1:22" ht="17.399999999999999">
      <c r="A17" s="57">
        <v>100</v>
      </c>
      <c r="B17" s="58">
        <v>440</v>
      </c>
      <c r="C17" s="59">
        <f t="shared" si="0"/>
        <v>162</v>
      </c>
      <c r="D17" s="59">
        <f t="shared" si="1"/>
        <v>579</v>
      </c>
      <c r="E17" s="59">
        <f t="shared" si="2"/>
        <v>173</v>
      </c>
      <c r="F17" s="60">
        <f t="shared" si="3"/>
        <v>49.896000000000001</v>
      </c>
      <c r="G17" s="61">
        <f t="shared" si="4"/>
        <v>1.7052631578947368</v>
      </c>
      <c r="H17" s="58">
        <v>95</v>
      </c>
      <c r="I17" s="58">
        <v>1</v>
      </c>
      <c r="J17" s="58">
        <f t="shared" si="5"/>
        <v>10.4</v>
      </c>
      <c r="K17" s="58">
        <v>16</v>
      </c>
      <c r="L17" s="58">
        <v>200</v>
      </c>
      <c r="M17" s="58" t="s">
        <v>543</v>
      </c>
      <c r="N17" s="58" t="s">
        <v>553</v>
      </c>
      <c r="O17" s="62">
        <f t="shared" si="6"/>
        <v>202.5</v>
      </c>
      <c r="P17" s="58" t="s">
        <v>554</v>
      </c>
      <c r="Q17" s="58" t="s">
        <v>546</v>
      </c>
      <c r="R17" s="65" t="s">
        <v>535</v>
      </c>
      <c r="S17" s="63" t="s">
        <v>547</v>
      </c>
      <c r="T17" s="63" t="s">
        <v>548</v>
      </c>
      <c r="U17" s="250" t="s">
        <v>549</v>
      </c>
      <c r="V17" s="251"/>
    </row>
    <row r="18" spans="1:22" ht="17.399999999999999">
      <c r="A18" s="57">
        <v>125</v>
      </c>
      <c r="B18" s="58">
        <v>380</v>
      </c>
      <c r="C18" s="59">
        <f t="shared" si="0"/>
        <v>235</v>
      </c>
      <c r="D18" s="59">
        <f t="shared" si="1"/>
        <v>500</v>
      </c>
      <c r="E18" s="59">
        <f t="shared" si="2"/>
        <v>250</v>
      </c>
      <c r="F18" s="60">
        <f t="shared" si="3"/>
        <v>72.38</v>
      </c>
      <c r="G18" s="61">
        <f t="shared" si="4"/>
        <v>1.6785714285714286</v>
      </c>
      <c r="H18" s="58">
        <v>70</v>
      </c>
      <c r="I18" s="58">
        <v>2</v>
      </c>
      <c r="J18" s="58">
        <f t="shared" si="5"/>
        <v>13</v>
      </c>
      <c r="K18" s="58">
        <v>16</v>
      </c>
      <c r="L18" s="58">
        <v>250</v>
      </c>
      <c r="M18" s="58" t="s">
        <v>551</v>
      </c>
      <c r="N18" s="58" t="s">
        <v>552</v>
      </c>
      <c r="O18" s="62">
        <f t="shared" si="6"/>
        <v>293.75</v>
      </c>
      <c r="P18" s="58" t="s">
        <v>548</v>
      </c>
      <c r="Q18" s="58" t="s">
        <v>546</v>
      </c>
      <c r="R18" s="65" t="s">
        <v>535</v>
      </c>
      <c r="S18" s="63" t="s">
        <v>555</v>
      </c>
      <c r="T18" s="63" t="s">
        <v>548</v>
      </c>
      <c r="U18" s="250" t="s">
        <v>549</v>
      </c>
      <c r="V18" s="251"/>
    </row>
    <row r="19" spans="1:22" ht="17.399999999999999">
      <c r="A19" s="57">
        <v>125</v>
      </c>
      <c r="B19" s="58">
        <v>440</v>
      </c>
      <c r="C19" s="59">
        <f t="shared" si="0"/>
        <v>203</v>
      </c>
      <c r="D19" s="59">
        <f t="shared" si="1"/>
        <v>579</v>
      </c>
      <c r="E19" s="59">
        <f t="shared" si="2"/>
        <v>216</v>
      </c>
      <c r="F19" s="60">
        <f t="shared" si="3"/>
        <v>62.524000000000001</v>
      </c>
      <c r="G19" s="61">
        <f t="shared" si="4"/>
        <v>1.45</v>
      </c>
      <c r="H19" s="58">
        <v>70</v>
      </c>
      <c r="I19" s="58">
        <v>2</v>
      </c>
      <c r="J19" s="58">
        <f t="shared" si="5"/>
        <v>13</v>
      </c>
      <c r="K19" s="58">
        <v>16</v>
      </c>
      <c r="L19" s="58">
        <v>250</v>
      </c>
      <c r="M19" s="58" t="s">
        <v>556</v>
      </c>
      <c r="N19" s="58" t="s">
        <v>553</v>
      </c>
      <c r="O19" s="62">
        <f t="shared" si="6"/>
        <v>253.75</v>
      </c>
      <c r="P19" s="58" t="s">
        <v>548</v>
      </c>
      <c r="Q19" s="58" t="s">
        <v>546</v>
      </c>
      <c r="R19" s="65" t="s">
        <v>535</v>
      </c>
      <c r="S19" s="63" t="s">
        <v>555</v>
      </c>
      <c r="T19" s="63" t="s">
        <v>548</v>
      </c>
      <c r="U19" s="250" t="s">
        <v>549</v>
      </c>
      <c r="V19" s="251"/>
    </row>
    <row r="20" spans="1:22" ht="17.399999999999999">
      <c r="A20" s="57">
        <v>150</v>
      </c>
      <c r="B20" s="58">
        <v>380</v>
      </c>
      <c r="C20" s="59">
        <f t="shared" si="0"/>
        <v>282</v>
      </c>
      <c r="D20" s="59">
        <f t="shared" si="1"/>
        <v>500</v>
      </c>
      <c r="E20" s="59">
        <f t="shared" si="2"/>
        <v>300</v>
      </c>
      <c r="F20" s="60">
        <f t="shared" si="3"/>
        <v>86.855999999999995</v>
      </c>
      <c r="G20" s="61">
        <f t="shared" si="4"/>
        <v>2.0142857142857142</v>
      </c>
      <c r="H20" s="58">
        <v>70</v>
      </c>
      <c r="I20" s="58">
        <v>2</v>
      </c>
      <c r="J20" s="58">
        <f t="shared" si="5"/>
        <v>15.6</v>
      </c>
      <c r="K20" s="58">
        <v>25</v>
      </c>
      <c r="L20" s="58">
        <v>300</v>
      </c>
      <c r="M20" s="58" t="s">
        <v>551</v>
      </c>
      <c r="N20" s="58" t="s">
        <v>552</v>
      </c>
      <c r="O20" s="62">
        <f t="shared" si="6"/>
        <v>352.5</v>
      </c>
      <c r="P20" s="58" t="s">
        <v>557</v>
      </c>
      <c r="Q20" s="58" t="s">
        <v>546</v>
      </c>
      <c r="R20" s="65" t="s">
        <v>535</v>
      </c>
      <c r="S20" s="63" t="s">
        <v>555</v>
      </c>
      <c r="T20" s="63" t="s">
        <v>557</v>
      </c>
      <c r="U20" s="250" t="s">
        <v>549</v>
      </c>
      <c r="V20" s="251"/>
    </row>
    <row r="21" spans="1:22" ht="17.399999999999999">
      <c r="A21" s="57">
        <v>150</v>
      </c>
      <c r="B21" s="58">
        <v>440</v>
      </c>
      <c r="C21" s="59">
        <f t="shared" si="0"/>
        <v>243</v>
      </c>
      <c r="D21" s="59">
        <f t="shared" si="1"/>
        <v>579</v>
      </c>
      <c r="E21" s="59">
        <f t="shared" si="2"/>
        <v>260</v>
      </c>
      <c r="F21" s="60">
        <f t="shared" si="3"/>
        <v>74.843999999999994</v>
      </c>
      <c r="G21" s="61">
        <f t="shared" si="4"/>
        <v>1.7357142857142858</v>
      </c>
      <c r="H21" s="58">
        <v>70</v>
      </c>
      <c r="I21" s="58">
        <v>2</v>
      </c>
      <c r="J21" s="58">
        <f t="shared" si="5"/>
        <v>15.6</v>
      </c>
      <c r="K21" s="58">
        <v>25</v>
      </c>
      <c r="L21" s="58">
        <v>300</v>
      </c>
      <c r="M21" s="58" t="s">
        <v>551</v>
      </c>
      <c r="N21" s="58" t="s">
        <v>552</v>
      </c>
      <c r="O21" s="62">
        <f t="shared" si="6"/>
        <v>303.75</v>
      </c>
      <c r="P21" s="58" t="s">
        <v>548</v>
      </c>
      <c r="Q21" s="58" t="s">
        <v>546</v>
      </c>
      <c r="R21" s="65" t="s">
        <v>535</v>
      </c>
      <c r="S21" s="63" t="s">
        <v>555</v>
      </c>
      <c r="T21" s="63" t="s">
        <v>557</v>
      </c>
      <c r="U21" s="250" t="s">
        <v>549</v>
      </c>
      <c r="V21" s="251"/>
    </row>
    <row r="22" spans="1:22" ht="17.399999999999999">
      <c r="A22" s="57">
        <v>200</v>
      </c>
      <c r="B22" s="58">
        <v>380</v>
      </c>
      <c r="C22" s="59">
        <f t="shared" si="0"/>
        <v>376</v>
      </c>
      <c r="D22" s="59">
        <f t="shared" si="1"/>
        <v>500</v>
      </c>
      <c r="E22" s="59">
        <f t="shared" si="2"/>
        <v>400</v>
      </c>
      <c r="F22" s="60">
        <f t="shared" si="3"/>
        <v>115.80800000000001</v>
      </c>
      <c r="G22" s="61">
        <f t="shared" si="4"/>
        <v>1.9789473684210526</v>
      </c>
      <c r="H22" s="58">
        <v>95</v>
      </c>
      <c r="I22" s="58">
        <v>2</v>
      </c>
      <c r="J22" s="58">
        <f t="shared" si="5"/>
        <v>20.8</v>
      </c>
      <c r="K22" s="58">
        <v>25</v>
      </c>
      <c r="L22" s="58">
        <v>400</v>
      </c>
      <c r="M22" s="58" t="s">
        <v>558</v>
      </c>
      <c r="N22" s="58" t="s">
        <v>552</v>
      </c>
      <c r="O22" s="62">
        <f t="shared" si="6"/>
        <v>470</v>
      </c>
      <c r="P22" s="58" t="s">
        <v>559</v>
      </c>
      <c r="Q22" s="58" t="s">
        <v>560</v>
      </c>
      <c r="R22" s="65" t="s">
        <v>535</v>
      </c>
      <c r="S22" s="63" t="s">
        <v>555</v>
      </c>
      <c r="T22" s="63" t="s">
        <v>559</v>
      </c>
      <c r="U22" s="250" t="s">
        <v>549</v>
      </c>
      <c r="V22" s="251"/>
    </row>
    <row r="23" spans="1:22" ht="17.399999999999999">
      <c r="A23" s="57">
        <v>200</v>
      </c>
      <c r="B23" s="58">
        <v>440</v>
      </c>
      <c r="C23" s="59">
        <f t="shared" si="0"/>
        <v>324</v>
      </c>
      <c r="D23" s="59">
        <f t="shared" si="1"/>
        <v>579</v>
      </c>
      <c r="E23" s="59">
        <f t="shared" si="2"/>
        <v>346</v>
      </c>
      <c r="F23" s="60">
        <f t="shared" si="3"/>
        <v>99.792000000000002</v>
      </c>
      <c r="G23" s="61">
        <f t="shared" si="4"/>
        <v>1.7052631578947368</v>
      </c>
      <c r="H23" s="58">
        <v>95</v>
      </c>
      <c r="I23" s="58">
        <v>2</v>
      </c>
      <c r="J23" s="58">
        <f t="shared" si="5"/>
        <v>20.8</v>
      </c>
      <c r="K23" s="58">
        <v>25</v>
      </c>
      <c r="L23" s="58">
        <v>400</v>
      </c>
      <c r="M23" s="58" t="s">
        <v>558</v>
      </c>
      <c r="N23" s="58" t="s">
        <v>552</v>
      </c>
      <c r="O23" s="62">
        <f t="shared" si="6"/>
        <v>405</v>
      </c>
      <c r="P23" s="58" t="s">
        <v>557</v>
      </c>
      <c r="Q23" s="58" t="s">
        <v>560</v>
      </c>
      <c r="R23" s="65" t="s">
        <v>535</v>
      </c>
      <c r="S23" s="63" t="s">
        <v>555</v>
      </c>
      <c r="T23" s="63" t="s">
        <v>559</v>
      </c>
      <c r="U23" s="250" t="s">
        <v>549</v>
      </c>
      <c r="V23" s="251"/>
    </row>
    <row r="24" spans="1:22" ht="17.399999999999999">
      <c r="A24" s="57">
        <v>250</v>
      </c>
      <c r="B24" s="58">
        <v>380</v>
      </c>
      <c r="C24" s="59">
        <f t="shared" si="0"/>
        <v>469</v>
      </c>
      <c r="D24" s="59">
        <f t="shared" si="1"/>
        <v>500</v>
      </c>
      <c r="E24" s="59">
        <f t="shared" si="2"/>
        <v>500</v>
      </c>
      <c r="F24" s="60">
        <f t="shared" si="3"/>
        <v>144.452</v>
      </c>
      <c r="G24" s="61">
        <f t="shared" si="4"/>
        <v>1.9541666666666666</v>
      </c>
      <c r="H24" s="58">
        <v>120</v>
      </c>
      <c r="I24" s="58">
        <v>2</v>
      </c>
      <c r="J24" s="58">
        <f t="shared" si="5"/>
        <v>26</v>
      </c>
      <c r="K24" s="58">
        <v>35</v>
      </c>
      <c r="L24" s="58">
        <v>500</v>
      </c>
      <c r="M24" s="58" t="s">
        <v>561</v>
      </c>
      <c r="N24" s="58" t="s">
        <v>562</v>
      </c>
      <c r="O24" s="62">
        <f t="shared" si="6"/>
        <v>586.25</v>
      </c>
      <c r="P24" s="58" t="s">
        <v>563</v>
      </c>
      <c r="Q24" s="58" t="s">
        <v>560</v>
      </c>
      <c r="R24" s="65" t="s">
        <v>535</v>
      </c>
      <c r="S24" s="63" t="s">
        <v>564</v>
      </c>
      <c r="T24" s="63" t="s">
        <v>563</v>
      </c>
      <c r="U24" s="250" t="s">
        <v>549</v>
      </c>
      <c r="V24" s="251"/>
    </row>
    <row r="25" spans="1:22" ht="17.399999999999999">
      <c r="A25" s="57">
        <v>250</v>
      </c>
      <c r="B25" s="58">
        <v>440</v>
      </c>
      <c r="C25" s="59">
        <f t="shared" si="0"/>
        <v>405</v>
      </c>
      <c r="D25" s="59">
        <f t="shared" si="1"/>
        <v>579</v>
      </c>
      <c r="E25" s="59">
        <f t="shared" si="2"/>
        <v>432</v>
      </c>
      <c r="F25" s="60">
        <f t="shared" si="3"/>
        <v>124.74</v>
      </c>
      <c r="G25" s="61">
        <f t="shared" si="4"/>
        <v>1.6875</v>
      </c>
      <c r="H25" s="58">
        <v>120</v>
      </c>
      <c r="I25" s="58">
        <v>2</v>
      </c>
      <c r="J25" s="58">
        <f t="shared" si="5"/>
        <v>26</v>
      </c>
      <c r="K25" s="58">
        <v>35</v>
      </c>
      <c r="L25" s="58">
        <v>500</v>
      </c>
      <c r="M25" s="58" t="s">
        <v>561</v>
      </c>
      <c r="N25" s="58" t="s">
        <v>565</v>
      </c>
      <c r="O25" s="62">
        <f t="shared" si="6"/>
        <v>506.25</v>
      </c>
      <c r="P25" s="58" t="s">
        <v>559</v>
      </c>
      <c r="Q25" s="58" t="s">
        <v>560</v>
      </c>
      <c r="R25" s="65" t="s">
        <v>535</v>
      </c>
      <c r="S25" s="63" t="s">
        <v>564</v>
      </c>
      <c r="T25" s="63" t="s">
        <v>563</v>
      </c>
      <c r="U25" s="250" t="s">
        <v>549</v>
      </c>
      <c r="V25" s="251"/>
    </row>
    <row r="26" spans="1:22" ht="17.399999999999999">
      <c r="A26" s="57">
        <v>300</v>
      </c>
      <c r="B26" s="58">
        <v>380</v>
      </c>
      <c r="C26" s="59">
        <f t="shared" si="0"/>
        <v>563</v>
      </c>
      <c r="D26" s="59">
        <f t="shared" si="1"/>
        <v>500</v>
      </c>
      <c r="E26" s="59">
        <f t="shared" si="2"/>
        <v>600</v>
      </c>
      <c r="F26" s="60">
        <f t="shared" si="3"/>
        <v>173.404</v>
      </c>
      <c r="G26" s="61">
        <f t="shared" si="4"/>
        <v>1.8766666666666667</v>
      </c>
      <c r="H26" s="58">
        <v>150</v>
      </c>
      <c r="I26" s="58">
        <v>2</v>
      </c>
      <c r="J26" s="58">
        <f t="shared" si="5"/>
        <v>32.76</v>
      </c>
      <c r="K26" s="58">
        <v>35</v>
      </c>
      <c r="L26" s="58">
        <v>630</v>
      </c>
      <c r="M26" s="58" t="s">
        <v>566</v>
      </c>
      <c r="N26" s="58" t="s">
        <v>562</v>
      </c>
      <c r="O26" s="62">
        <f t="shared" si="6"/>
        <v>703.75</v>
      </c>
      <c r="P26" s="58" t="s">
        <v>567</v>
      </c>
      <c r="Q26" s="58" t="s">
        <v>560</v>
      </c>
      <c r="R26" s="65" t="s">
        <v>535</v>
      </c>
      <c r="S26" s="63" t="s">
        <v>564</v>
      </c>
      <c r="T26" s="63" t="s">
        <v>567</v>
      </c>
      <c r="U26" s="250" t="s">
        <v>549</v>
      </c>
      <c r="V26" s="251"/>
    </row>
    <row r="27" spans="1:22" ht="17.399999999999999">
      <c r="A27" s="57">
        <v>300</v>
      </c>
      <c r="B27" s="58">
        <v>440</v>
      </c>
      <c r="C27" s="59">
        <f t="shared" si="0"/>
        <v>486</v>
      </c>
      <c r="D27" s="59">
        <f t="shared" si="1"/>
        <v>579</v>
      </c>
      <c r="E27" s="59">
        <f t="shared" si="2"/>
        <v>519</v>
      </c>
      <c r="F27" s="60">
        <f t="shared" si="3"/>
        <v>149.68799999999999</v>
      </c>
      <c r="G27" s="61">
        <f t="shared" si="4"/>
        <v>1.62</v>
      </c>
      <c r="H27" s="58">
        <v>150</v>
      </c>
      <c r="I27" s="58">
        <v>2</v>
      </c>
      <c r="J27" s="58">
        <f t="shared" si="5"/>
        <v>32.76</v>
      </c>
      <c r="K27" s="58">
        <v>35</v>
      </c>
      <c r="L27" s="58">
        <v>630</v>
      </c>
      <c r="M27" s="58" t="s">
        <v>566</v>
      </c>
      <c r="N27" s="58" t="s">
        <v>562</v>
      </c>
      <c r="O27" s="62">
        <f t="shared" si="6"/>
        <v>607.5</v>
      </c>
      <c r="P27" s="58" t="s">
        <v>563</v>
      </c>
      <c r="Q27" s="58" t="s">
        <v>560</v>
      </c>
      <c r="R27" s="65" t="s">
        <v>535</v>
      </c>
      <c r="S27" s="63" t="s">
        <v>564</v>
      </c>
      <c r="T27" s="63" t="s">
        <v>567</v>
      </c>
      <c r="U27" s="250" t="s">
        <v>549</v>
      </c>
      <c r="V27" s="251"/>
    </row>
    <row r="28" spans="1:22" ht="17.399999999999999">
      <c r="A28" s="57">
        <v>350</v>
      </c>
      <c r="B28" s="58">
        <v>440</v>
      </c>
      <c r="C28" s="59">
        <f t="shared" si="0"/>
        <v>567</v>
      </c>
      <c r="D28" s="59">
        <f t="shared" si="1"/>
        <v>579</v>
      </c>
      <c r="E28" s="59">
        <f t="shared" si="2"/>
        <v>605</v>
      </c>
      <c r="F28" s="60">
        <f t="shared" si="3"/>
        <v>174.636</v>
      </c>
      <c r="G28" s="61">
        <f t="shared" si="4"/>
        <v>1.89</v>
      </c>
      <c r="H28" s="58">
        <v>150</v>
      </c>
      <c r="I28" s="58">
        <v>2</v>
      </c>
      <c r="J28" s="58">
        <f t="shared" si="5"/>
        <v>36.4</v>
      </c>
      <c r="K28" s="58">
        <v>50</v>
      </c>
      <c r="L28" s="58">
        <v>700</v>
      </c>
      <c r="M28" s="58" t="s">
        <v>568</v>
      </c>
      <c r="N28" s="58" t="s">
        <v>569</v>
      </c>
      <c r="O28" s="62">
        <f t="shared" si="6"/>
        <v>708.75</v>
      </c>
      <c r="P28" s="58" t="s">
        <v>567</v>
      </c>
      <c r="Q28" s="58" t="s">
        <v>560</v>
      </c>
      <c r="R28" s="65" t="s">
        <v>535</v>
      </c>
      <c r="S28" s="63" t="s">
        <v>564</v>
      </c>
      <c r="T28" s="63" t="s">
        <v>567</v>
      </c>
      <c r="U28" s="250" t="s">
        <v>549</v>
      </c>
      <c r="V28" s="251"/>
    </row>
    <row r="29" spans="1:22" ht="17.399999999999999">
      <c r="A29" s="57">
        <v>400</v>
      </c>
      <c r="B29" s="58">
        <v>440</v>
      </c>
      <c r="C29" s="59">
        <f t="shared" si="0"/>
        <v>648</v>
      </c>
      <c r="D29" s="59">
        <f t="shared" si="1"/>
        <v>579</v>
      </c>
      <c r="E29" s="59">
        <f t="shared" si="2"/>
        <v>691</v>
      </c>
      <c r="F29" s="60">
        <f t="shared" si="3"/>
        <v>199.584</v>
      </c>
      <c r="G29" s="61">
        <f t="shared" si="4"/>
        <v>2.16</v>
      </c>
      <c r="H29" s="58">
        <v>150</v>
      </c>
      <c r="I29" s="58">
        <v>2</v>
      </c>
      <c r="J29" s="58">
        <f t="shared" si="5"/>
        <v>41.6</v>
      </c>
      <c r="K29" s="58">
        <v>50</v>
      </c>
      <c r="L29" s="58">
        <v>800</v>
      </c>
      <c r="M29" s="58" t="s">
        <v>568</v>
      </c>
      <c r="N29" s="58" t="s">
        <v>569</v>
      </c>
      <c r="O29" s="62">
        <f t="shared" si="6"/>
        <v>810</v>
      </c>
      <c r="P29" s="58" t="s">
        <v>567</v>
      </c>
      <c r="Q29" s="58" t="s">
        <v>570</v>
      </c>
      <c r="R29" s="65" t="s">
        <v>535</v>
      </c>
      <c r="S29" s="63" t="s">
        <v>564</v>
      </c>
      <c r="T29" s="63" t="s">
        <v>571</v>
      </c>
      <c r="U29" s="250" t="s">
        <v>549</v>
      </c>
      <c r="V29" s="251"/>
    </row>
    <row r="30" spans="1:22" ht="17.399999999999999">
      <c r="A30" s="57">
        <v>450</v>
      </c>
      <c r="B30" s="58">
        <v>440</v>
      </c>
      <c r="C30" s="59">
        <f t="shared" si="0"/>
        <v>729</v>
      </c>
      <c r="D30" s="59">
        <f t="shared" si="1"/>
        <v>579</v>
      </c>
      <c r="E30" s="59">
        <f t="shared" si="2"/>
        <v>778</v>
      </c>
      <c r="F30" s="60"/>
      <c r="G30" s="61">
        <f t="shared" si="4"/>
        <v>1.9702702702702704</v>
      </c>
      <c r="H30" s="58">
        <v>185</v>
      </c>
      <c r="I30" s="58">
        <v>2</v>
      </c>
      <c r="J30" s="58">
        <f t="shared" si="5"/>
        <v>41.6</v>
      </c>
      <c r="K30" s="58">
        <v>50</v>
      </c>
      <c r="L30" s="58">
        <v>800</v>
      </c>
      <c r="M30" s="58" t="s">
        <v>568</v>
      </c>
      <c r="N30" s="58" t="s">
        <v>572</v>
      </c>
      <c r="O30" s="62">
        <f t="shared" si="6"/>
        <v>911.25</v>
      </c>
      <c r="P30" s="58" t="s">
        <v>573</v>
      </c>
      <c r="Q30" s="58" t="s">
        <v>570</v>
      </c>
      <c r="R30" s="65" t="s">
        <v>535</v>
      </c>
      <c r="S30" s="63" t="s">
        <v>564</v>
      </c>
      <c r="T30" s="63" t="s">
        <v>571</v>
      </c>
      <c r="U30" s="250" t="s">
        <v>549</v>
      </c>
      <c r="V30" s="251"/>
    </row>
    <row r="31" spans="1:22" ht="17.399999999999999">
      <c r="A31" s="57">
        <v>500</v>
      </c>
      <c r="B31" s="58">
        <v>440</v>
      </c>
      <c r="C31" s="59">
        <f t="shared" si="0"/>
        <v>810</v>
      </c>
      <c r="D31" s="59">
        <f t="shared" si="1"/>
        <v>579</v>
      </c>
      <c r="E31" s="59">
        <f t="shared" si="2"/>
        <v>864</v>
      </c>
      <c r="F31" s="60">
        <f t="shared" si="3"/>
        <v>249.48</v>
      </c>
      <c r="G31" s="61">
        <f t="shared" si="4"/>
        <v>2.189189189189189</v>
      </c>
      <c r="H31" s="58">
        <v>185</v>
      </c>
      <c r="I31" s="58">
        <v>2</v>
      </c>
      <c r="J31" s="58">
        <f t="shared" si="5"/>
        <v>52</v>
      </c>
      <c r="K31" s="58">
        <v>70</v>
      </c>
      <c r="L31" s="58">
        <v>1000</v>
      </c>
      <c r="M31" s="58" t="s">
        <v>574</v>
      </c>
      <c r="N31" s="58" t="s">
        <v>575</v>
      </c>
      <c r="O31" s="62">
        <f t="shared" si="6"/>
        <v>1012.5</v>
      </c>
      <c r="P31" s="58" t="s">
        <v>571</v>
      </c>
      <c r="Q31" s="58" t="s">
        <v>570</v>
      </c>
      <c r="R31" s="65" t="s">
        <v>535</v>
      </c>
      <c r="S31" s="63" t="s">
        <v>576</v>
      </c>
      <c r="T31" s="63" t="s">
        <v>577</v>
      </c>
      <c r="U31" s="250" t="s">
        <v>549</v>
      </c>
      <c r="V31" s="251"/>
    </row>
    <row r="32" spans="1:22" ht="17.399999999999999">
      <c r="A32" s="57">
        <v>600</v>
      </c>
      <c r="B32" s="58">
        <v>460</v>
      </c>
      <c r="C32" s="59">
        <f t="shared" si="0"/>
        <v>930</v>
      </c>
      <c r="D32" s="59">
        <f t="shared" si="1"/>
        <v>606</v>
      </c>
      <c r="E32" s="59">
        <f t="shared" si="2"/>
        <v>991</v>
      </c>
      <c r="F32" s="60">
        <f t="shared" si="3"/>
        <v>286.44</v>
      </c>
      <c r="G32" s="61">
        <f t="shared" si="4"/>
        <v>1.6756756756756757</v>
      </c>
      <c r="H32" s="58">
        <v>185</v>
      </c>
      <c r="I32" s="58">
        <v>3</v>
      </c>
      <c r="J32" s="58">
        <f t="shared" si="5"/>
        <v>62.4</v>
      </c>
      <c r="K32" s="58">
        <v>70</v>
      </c>
      <c r="L32" s="58">
        <v>1200</v>
      </c>
      <c r="M32" s="58" t="s">
        <v>578</v>
      </c>
      <c r="N32" s="58" t="s">
        <v>575</v>
      </c>
      <c r="O32" s="62">
        <f t="shared" si="6"/>
        <v>1162.5</v>
      </c>
      <c r="P32" s="58" t="s">
        <v>579</v>
      </c>
      <c r="Q32" s="58" t="s">
        <v>570</v>
      </c>
      <c r="R32" s="65" t="s">
        <v>535</v>
      </c>
      <c r="S32" s="63" t="s">
        <v>580</v>
      </c>
      <c r="T32" s="63" t="s">
        <v>577</v>
      </c>
      <c r="U32" s="58" t="s">
        <v>581</v>
      </c>
      <c r="V32" s="66" t="s">
        <v>582</v>
      </c>
    </row>
    <row r="33" spans="1:22" ht="17.399999999999999">
      <c r="A33" s="57">
        <v>700</v>
      </c>
      <c r="B33" s="58">
        <v>460</v>
      </c>
      <c r="C33" s="59">
        <f t="shared" si="0"/>
        <v>1085</v>
      </c>
      <c r="D33" s="59">
        <f t="shared" si="1"/>
        <v>606</v>
      </c>
      <c r="E33" s="59">
        <f t="shared" si="2"/>
        <v>1156</v>
      </c>
      <c r="F33" s="60">
        <f t="shared" si="3"/>
        <v>334.18</v>
      </c>
      <c r="G33" s="61">
        <f t="shared" si="4"/>
        <v>1.4662162162162162</v>
      </c>
      <c r="H33" s="58">
        <v>185</v>
      </c>
      <c r="I33" s="58">
        <v>4</v>
      </c>
      <c r="J33" s="58">
        <f t="shared" si="5"/>
        <v>65</v>
      </c>
      <c r="K33" s="58">
        <v>70</v>
      </c>
      <c r="L33" s="58">
        <v>1250</v>
      </c>
      <c r="M33" s="58" t="s">
        <v>583</v>
      </c>
      <c r="N33" s="58" t="s">
        <v>584</v>
      </c>
      <c r="O33" s="62">
        <f t="shared" si="6"/>
        <v>1356.25</v>
      </c>
      <c r="P33" s="65" t="s">
        <v>535</v>
      </c>
      <c r="Q33" s="58" t="s">
        <v>570</v>
      </c>
      <c r="R33" s="65" t="s">
        <v>535</v>
      </c>
      <c r="S33" s="63" t="s">
        <v>585</v>
      </c>
      <c r="T33" s="63" t="s">
        <v>577</v>
      </c>
      <c r="U33" s="58" t="s">
        <v>581</v>
      </c>
      <c r="V33" s="66" t="s">
        <v>582</v>
      </c>
    </row>
    <row r="34" spans="1:22" ht="17.399999999999999">
      <c r="A34" s="57">
        <v>750</v>
      </c>
      <c r="B34" s="58">
        <v>460</v>
      </c>
      <c r="C34" s="59">
        <f t="shared" si="0"/>
        <v>1163</v>
      </c>
      <c r="D34" s="59">
        <f t="shared" si="1"/>
        <v>606</v>
      </c>
      <c r="E34" s="59">
        <f t="shared" si="2"/>
        <v>1238</v>
      </c>
      <c r="F34" s="60">
        <f t="shared" si="3"/>
        <v>358.20400000000001</v>
      </c>
      <c r="G34" s="61">
        <f t="shared" si="4"/>
        <v>1.5716216216216217</v>
      </c>
      <c r="H34" s="58">
        <v>185</v>
      </c>
      <c r="I34" s="58">
        <v>4</v>
      </c>
      <c r="J34" s="58">
        <f t="shared" si="5"/>
        <v>65</v>
      </c>
      <c r="K34" s="58">
        <v>70</v>
      </c>
      <c r="L34" s="58">
        <v>1250</v>
      </c>
      <c r="M34" s="58" t="s">
        <v>583</v>
      </c>
      <c r="N34" s="58" t="s">
        <v>584</v>
      </c>
      <c r="O34" s="62">
        <f t="shared" si="6"/>
        <v>1453.75</v>
      </c>
      <c r="P34" s="65" t="s">
        <v>535</v>
      </c>
      <c r="Q34" s="58" t="s">
        <v>570</v>
      </c>
      <c r="R34" s="65" t="s">
        <v>535</v>
      </c>
      <c r="S34" s="63" t="s">
        <v>585</v>
      </c>
      <c r="T34" s="63" t="s">
        <v>174</v>
      </c>
      <c r="U34" s="58" t="s">
        <v>581</v>
      </c>
      <c r="V34" s="66" t="s">
        <v>582</v>
      </c>
    </row>
    <row r="35" spans="1:22" ht="17.399999999999999">
      <c r="A35" s="57">
        <v>800</v>
      </c>
      <c r="B35" s="58">
        <v>460</v>
      </c>
      <c r="C35" s="59">
        <f t="shared" si="0"/>
        <v>1240</v>
      </c>
      <c r="D35" s="59">
        <f t="shared" si="1"/>
        <v>606</v>
      </c>
      <c r="E35" s="59">
        <f t="shared" si="2"/>
        <v>1321</v>
      </c>
      <c r="F35" s="60">
        <f t="shared" si="3"/>
        <v>381.92</v>
      </c>
      <c r="G35" s="61">
        <f t="shared" si="4"/>
        <v>1.6756756756756757</v>
      </c>
      <c r="H35" s="58">
        <v>185</v>
      </c>
      <c r="I35" s="58">
        <v>4</v>
      </c>
      <c r="J35" s="58">
        <f t="shared" si="5"/>
        <v>83.2</v>
      </c>
      <c r="K35" s="58">
        <v>95</v>
      </c>
      <c r="L35" s="58">
        <v>1600</v>
      </c>
      <c r="M35" s="58" t="s">
        <v>586</v>
      </c>
      <c r="N35" s="58" t="s">
        <v>587</v>
      </c>
      <c r="O35" s="62">
        <f t="shared" si="6"/>
        <v>1550</v>
      </c>
      <c r="P35" s="65" t="s">
        <v>535</v>
      </c>
      <c r="Q35" s="58" t="s">
        <v>570</v>
      </c>
      <c r="R35" s="65" t="s">
        <v>535</v>
      </c>
      <c r="S35" s="63" t="s">
        <v>585</v>
      </c>
      <c r="T35" s="63" t="s">
        <v>174</v>
      </c>
      <c r="U35" s="58" t="s">
        <v>581</v>
      </c>
      <c r="V35" s="66" t="s">
        <v>582</v>
      </c>
    </row>
    <row r="36" spans="1:22" ht="17.399999999999999">
      <c r="A36" s="57">
        <v>1000</v>
      </c>
      <c r="B36" s="58">
        <v>460</v>
      </c>
      <c r="C36" s="59">
        <f t="shared" si="0"/>
        <v>1550</v>
      </c>
      <c r="D36" s="59">
        <f t="shared" si="1"/>
        <v>606</v>
      </c>
      <c r="E36" s="59">
        <f t="shared" si="2"/>
        <v>1651</v>
      </c>
      <c r="F36" s="60">
        <f t="shared" si="3"/>
        <v>477.4</v>
      </c>
      <c r="G36" s="61">
        <f t="shared" si="4"/>
        <v>1.6145833333333333</v>
      </c>
      <c r="H36" s="58">
        <v>240</v>
      </c>
      <c r="I36" s="58">
        <v>4</v>
      </c>
      <c r="J36" s="58">
        <f t="shared" si="5"/>
        <v>104</v>
      </c>
      <c r="K36" s="58">
        <v>120</v>
      </c>
      <c r="L36" s="58">
        <v>2000</v>
      </c>
      <c r="M36" s="58" t="s">
        <v>588</v>
      </c>
      <c r="N36" s="58" t="s">
        <v>589</v>
      </c>
      <c r="O36" s="62">
        <f t="shared" si="6"/>
        <v>1937.5</v>
      </c>
      <c r="P36" s="65" t="s">
        <v>535</v>
      </c>
      <c r="Q36" s="58" t="s">
        <v>590</v>
      </c>
      <c r="R36" s="58" t="s">
        <v>591</v>
      </c>
      <c r="S36" s="63" t="s">
        <v>585</v>
      </c>
      <c r="T36" s="63" t="s">
        <v>592</v>
      </c>
      <c r="U36" s="58" t="s">
        <v>581</v>
      </c>
      <c r="V36" s="66" t="s">
        <v>582</v>
      </c>
    </row>
    <row r="37" spans="1:22" ht="17.399999999999999">
      <c r="A37" s="57">
        <v>1200</v>
      </c>
      <c r="B37" s="58">
        <v>460</v>
      </c>
      <c r="C37" s="59">
        <f t="shared" si="0"/>
        <v>1860</v>
      </c>
      <c r="D37" s="59">
        <f t="shared" si="1"/>
        <v>606</v>
      </c>
      <c r="E37" s="59">
        <f t="shared" si="2"/>
        <v>1981</v>
      </c>
      <c r="F37" s="60">
        <f t="shared" si="3"/>
        <v>572.88</v>
      </c>
      <c r="G37" s="61">
        <f t="shared" si="4"/>
        <v>1.55</v>
      </c>
      <c r="H37" s="58">
        <v>300</v>
      </c>
      <c r="I37" s="58">
        <v>4</v>
      </c>
      <c r="J37" s="58">
        <f t="shared" si="5"/>
        <v>130</v>
      </c>
      <c r="K37" s="58">
        <v>150</v>
      </c>
      <c r="L37" s="58">
        <v>2500</v>
      </c>
      <c r="M37" s="58" t="s">
        <v>593</v>
      </c>
      <c r="N37" s="58" t="s">
        <v>594</v>
      </c>
      <c r="O37" s="62">
        <f t="shared" si="6"/>
        <v>2325</v>
      </c>
      <c r="P37" s="65" t="s">
        <v>535</v>
      </c>
      <c r="Q37" s="58"/>
      <c r="R37" s="58" t="s">
        <v>591</v>
      </c>
      <c r="S37" s="63" t="s">
        <v>585</v>
      </c>
      <c r="T37" s="63" t="s">
        <v>592</v>
      </c>
      <c r="U37" s="58" t="s">
        <v>581</v>
      </c>
      <c r="V37" s="66" t="s">
        <v>595</v>
      </c>
    </row>
    <row r="38" spans="1:22" ht="17.399999999999999">
      <c r="A38" s="57">
        <v>1250</v>
      </c>
      <c r="B38" s="58">
        <v>460</v>
      </c>
      <c r="C38" s="59">
        <f t="shared" si="0"/>
        <v>1937</v>
      </c>
      <c r="D38" s="59">
        <f t="shared" si="1"/>
        <v>606</v>
      </c>
      <c r="E38" s="59">
        <f t="shared" si="2"/>
        <v>2063</v>
      </c>
      <c r="F38" s="60">
        <f t="shared" si="3"/>
        <v>596.596</v>
      </c>
      <c r="G38" s="61">
        <f t="shared" si="4"/>
        <v>1.6141666666666667</v>
      </c>
      <c r="H38" s="58">
        <v>300</v>
      </c>
      <c r="I38" s="58">
        <v>4</v>
      </c>
      <c r="J38" s="58">
        <f t="shared" si="5"/>
        <v>130</v>
      </c>
      <c r="K38" s="58">
        <v>150</v>
      </c>
      <c r="L38" s="58">
        <v>2500</v>
      </c>
      <c r="M38" s="58" t="s">
        <v>593</v>
      </c>
      <c r="N38" s="58" t="s">
        <v>594</v>
      </c>
      <c r="O38" s="62">
        <f t="shared" si="6"/>
        <v>2421.25</v>
      </c>
      <c r="P38" s="65" t="s">
        <v>535</v>
      </c>
      <c r="Q38" s="58"/>
      <c r="R38" s="58" t="s">
        <v>591</v>
      </c>
      <c r="S38" s="63" t="s">
        <v>585</v>
      </c>
      <c r="T38" s="63" t="s">
        <v>592</v>
      </c>
      <c r="U38" s="58" t="s">
        <v>581</v>
      </c>
      <c r="V38" s="66" t="s">
        <v>595</v>
      </c>
    </row>
    <row r="39" spans="1:22" ht="17.399999999999999">
      <c r="A39" s="57">
        <v>1500</v>
      </c>
      <c r="B39" s="58">
        <v>460</v>
      </c>
      <c r="C39" s="59">
        <f t="shared" si="0"/>
        <v>2325</v>
      </c>
      <c r="D39" s="59">
        <f t="shared" si="1"/>
        <v>606</v>
      </c>
      <c r="E39" s="59">
        <f t="shared" si="2"/>
        <v>2476</v>
      </c>
      <c r="F39" s="60">
        <f t="shared" si="3"/>
        <v>716.1</v>
      </c>
      <c r="G39" s="61">
        <f t="shared" si="4"/>
        <v>1.55</v>
      </c>
      <c r="H39" s="58">
        <v>300</v>
      </c>
      <c r="I39" s="58">
        <v>5</v>
      </c>
      <c r="J39" s="58">
        <f t="shared" si="5"/>
        <v>130</v>
      </c>
      <c r="K39" s="58">
        <v>150</v>
      </c>
      <c r="L39" s="58">
        <v>2500</v>
      </c>
      <c r="M39" s="58" t="s">
        <v>593</v>
      </c>
      <c r="N39" s="58" t="s">
        <v>594</v>
      </c>
      <c r="O39" s="62">
        <f t="shared" si="6"/>
        <v>2906.25</v>
      </c>
      <c r="P39" s="65" t="s">
        <v>535</v>
      </c>
      <c r="Q39" s="58" t="s">
        <v>596</v>
      </c>
      <c r="R39" s="58" t="s">
        <v>591</v>
      </c>
      <c r="S39" s="63" t="s">
        <v>585</v>
      </c>
      <c r="T39" s="63" t="s">
        <v>597</v>
      </c>
      <c r="U39" s="58" t="s">
        <v>581</v>
      </c>
      <c r="V39" s="66" t="s">
        <v>595</v>
      </c>
    </row>
    <row r="40" spans="1:22" ht="17.399999999999999">
      <c r="A40" s="57">
        <v>1500</v>
      </c>
      <c r="B40" s="58">
        <v>650</v>
      </c>
      <c r="C40" s="59">
        <f t="shared" si="0"/>
        <v>1645</v>
      </c>
      <c r="D40" s="59">
        <f t="shared" si="1"/>
        <v>855</v>
      </c>
      <c r="E40" s="59">
        <f t="shared" si="2"/>
        <v>1755</v>
      </c>
      <c r="F40" s="60">
        <f t="shared" si="3"/>
        <v>506.66</v>
      </c>
      <c r="G40" s="61">
        <f t="shared" si="4"/>
        <v>1.7135416666666667</v>
      </c>
      <c r="H40" s="58">
        <v>240</v>
      </c>
      <c r="I40" s="58">
        <v>4</v>
      </c>
      <c r="J40" s="58">
        <f t="shared" si="5"/>
        <v>104</v>
      </c>
      <c r="K40" s="58">
        <v>120</v>
      </c>
      <c r="L40" s="58">
        <v>2000</v>
      </c>
      <c r="M40" s="58" t="s">
        <v>588</v>
      </c>
      <c r="N40" s="58" t="s">
        <v>589</v>
      </c>
      <c r="O40" s="62">
        <f t="shared" si="6"/>
        <v>2056.25</v>
      </c>
      <c r="P40" s="65" t="s">
        <v>535</v>
      </c>
      <c r="Q40" s="58"/>
      <c r="R40" s="58" t="s">
        <v>591</v>
      </c>
      <c r="S40" s="63" t="s">
        <v>585</v>
      </c>
      <c r="T40" s="63" t="s">
        <v>592</v>
      </c>
      <c r="U40" s="58" t="s">
        <v>581</v>
      </c>
      <c r="V40" s="66" t="s">
        <v>595</v>
      </c>
    </row>
    <row r="41" spans="1:22" ht="17.399999999999999">
      <c r="A41" s="57">
        <v>1600</v>
      </c>
      <c r="B41" s="58">
        <v>690</v>
      </c>
      <c r="C41" s="59">
        <f>ROUNDUP(A41/(B41*0.9)/3^0.5*1000/0.9,0)</f>
        <v>1653</v>
      </c>
      <c r="D41" s="59">
        <f>ROUNDUP(B41*2^0.5*0.93,0)</f>
        <v>908</v>
      </c>
      <c r="E41" s="59">
        <f>ROUNDUP(A41*1000/D41,0)</f>
        <v>1763</v>
      </c>
      <c r="F41" s="60">
        <f>30.8*100*C41/(1000*10)</f>
        <v>509.12400000000002</v>
      </c>
      <c r="G41" s="61">
        <f>C41/(H41*I41)</f>
        <v>1.721875</v>
      </c>
      <c r="H41" s="58">
        <v>240</v>
      </c>
      <c r="I41" s="58">
        <v>4</v>
      </c>
      <c r="J41" s="58">
        <f>L41*0.052</f>
        <v>104</v>
      </c>
      <c r="K41" s="58">
        <v>120</v>
      </c>
      <c r="L41" s="58">
        <v>2000</v>
      </c>
      <c r="M41" s="58" t="s">
        <v>588</v>
      </c>
      <c r="N41" s="58" t="s">
        <v>589</v>
      </c>
      <c r="O41" s="62">
        <f>SUM(C41*1.25)</f>
        <v>2066.25</v>
      </c>
      <c r="P41" s="65" t="s">
        <v>535</v>
      </c>
      <c r="Q41" s="58"/>
      <c r="R41" s="58" t="s">
        <v>591</v>
      </c>
      <c r="S41" s="63" t="s">
        <v>585</v>
      </c>
      <c r="T41" s="63" t="s">
        <v>592</v>
      </c>
      <c r="U41" s="58" t="s">
        <v>581</v>
      </c>
      <c r="V41" s="66" t="s">
        <v>598</v>
      </c>
    </row>
    <row r="42" spans="1:22" ht="17.399999999999999">
      <c r="A42" s="57">
        <v>2000</v>
      </c>
      <c r="B42" s="58">
        <v>460</v>
      </c>
      <c r="C42" s="59">
        <f t="shared" si="0"/>
        <v>3100</v>
      </c>
      <c r="D42" s="59">
        <f t="shared" si="1"/>
        <v>606</v>
      </c>
      <c r="E42" s="59">
        <f t="shared" si="2"/>
        <v>3301</v>
      </c>
      <c r="F42" s="60">
        <f t="shared" si="3"/>
        <v>954.8</v>
      </c>
      <c r="G42" s="61">
        <f t="shared" si="4"/>
        <v>1.2916666666666667</v>
      </c>
      <c r="H42" s="58">
        <v>400</v>
      </c>
      <c r="I42" s="58">
        <v>6</v>
      </c>
      <c r="J42" s="58">
        <f t="shared" si="5"/>
        <v>166.4</v>
      </c>
      <c r="K42" s="58">
        <v>185</v>
      </c>
      <c r="L42" s="58">
        <v>3200</v>
      </c>
      <c r="M42" s="58" t="s">
        <v>599</v>
      </c>
      <c r="N42" s="58" t="s">
        <v>600</v>
      </c>
      <c r="O42" s="62">
        <f t="shared" si="6"/>
        <v>3875</v>
      </c>
      <c r="P42" s="65" t="s">
        <v>535</v>
      </c>
      <c r="Q42" s="58" t="s">
        <v>601</v>
      </c>
      <c r="R42" s="58" t="s">
        <v>602</v>
      </c>
      <c r="S42" s="63" t="s">
        <v>585</v>
      </c>
      <c r="T42" s="63" t="s">
        <v>603</v>
      </c>
      <c r="U42" s="58" t="s">
        <v>581</v>
      </c>
      <c r="V42" s="66" t="s">
        <v>604</v>
      </c>
    </row>
    <row r="43" spans="1:22" ht="17.399999999999999">
      <c r="A43" s="57">
        <v>2000</v>
      </c>
      <c r="B43" s="58">
        <v>650</v>
      </c>
      <c r="C43" s="59">
        <f t="shared" si="0"/>
        <v>2194</v>
      </c>
      <c r="D43" s="59">
        <f t="shared" si="1"/>
        <v>855</v>
      </c>
      <c r="E43" s="59">
        <f t="shared" si="2"/>
        <v>2340</v>
      </c>
      <c r="F43" s="60">
        <f t="shared" si="3"/>
        <v>675.75199999999995</v>
      </c>
      <c r="G43" s="61">
        <f t="shared" si="4"/>
        <v>1.4626666666666666</v>
      </c>
      <c r="H43" s="58">
        <v>300</v>
      </c>
      <c r="I43" s="58">
        <v>5</v>
      </c>
      <c r="J43" s="58">
        <f t="shared" si="5"/>
        <v>130</v>
      </c>
      <c r="K43" s="58">
        <v>150</v>
      </c>
      <c r="L43" s="58">
        <v>2500</v>
      </c>
      <c r="M43" s="58" t="s">
        <v>593</v>
      </c>
      <c r="N43" s="58" t="s">
        <v>594</v>
      </c>
      <c r="O43" s="62">
        <f t="shared" si="6"/>
        <v>2742.5</v>
      </c>
      <c r="P43" s="65" t="s">
        <v>535</v>
      </c>
      <c r="Q43" s="58" t="s">
        <v>596</v>
      </c>
      <c r="R43" s="58" t="s">
        <v>591</v>
      </c>
      <c r="S43" s="63" t="s">
        <v>585</v>
      </c>
      <c r="T43" s="63" t="s">
        <v>597</v>
      </c>
      <c r="U43" s="58" t="s">
        <v>581</v>
      </c>
      <c r="V43" s="66" t="s">
        <v>595</v>
      </c>
    </row>
    <row r="44" spans="1:22" ht="17.399999999999999">
      <c r="A44" s="57">
        <v>2500</v>
      </c>
      <c r="B44" s="58">
        <v>460</v>
      </c>
      <c r="C44" s="59">
        <f t="shared" si="0"/>
        <v>3874</v>
      </c>
      <c r="D44" s="59">
        <f t="shared" si="1"/>
        <v>606</v>
      </c>
      <c r="E44" s="59">
        <f t="shared" si="2"/>
        <v>4126</v>
      </c>
      <c r="F44" s="60">
        <f t="shared" si="3"/>
        <v>1193.192</v>
      </c>
      <c r="G44" s="61">
        <f t="shared" si="4"/>
        <v>1.6141666666666667</v>
      </c>
      <c r="H44" s="58">
        <v>400</v>
      </c>
      <c r="I44" s="58">
        <v>6</v>
      </c>
      <c r="J44" s="58">
        <f t="shared" si="5"/>
        <v>208</v>
      </c>
      <c r="K44" s="58">
        <v>240</v>
      </c>
      <c r="L44" s="58">
        <v>4000</v>
      </c>
      <c r="M44" s="58" t="s">
        <v>605</v>
      </c>
      <c r="N44" s="58" t="s">
        <v>600</v>
      </c>
      <c r="O44" s="62">
        <f t="shared" si="6"/>
        <v>4842.5</v>
      </c>
      <c r="P44" s="65" t="s">
        <v>535</v>
      </c>
      <c r="Q44" s="58" t="s">
        <v>601</v>
      </c>
      <c r="R44" s="58" t="s">
        <v>602</v>
      </c>
      <c r="S44" s="63" t="s">
        <v>585</v>
      </c>
      <c r="T44" s="63" t="s">
        <v>606</v>
      </c>
      <c r="U44" s="58" t="s">
        <v>581</v>
      </c>
      <c r="V44" s="66" t="s">
        <v>604</v>
      </c>
    </row>
    <row r="45" spans="1:22" ht="17.399999999999999">
      <c r="A45" s="67">
        <v>2500</v>
      </c>
      <c r="B45" s="58">
        <v>650</v>
      </c>
      <c r="C45" s="59">
        <f t="shared" si="0"/>
        <v>2742</v>
      </c>
      <c r="D45" s="59">
        <f t="shared" si="1"/>
        <v>855</v>
      </c>
      <c r="E45" s="59">
        <f t="shared" si="2"/>
        <v>2924</v>
      </c>
      <c r="F45" s="68"/>
      <c r="G45" s="61">
        <f t="shared" si="4"/>
        <v>1.1425000000000001</v>
      </c>
      <c r="H45" s="58">
        <v>400</v>
      </c>
      <c r="I45" s="58">
        <v>6</v>
      </c>
      <c r="J45" s="58">
        <f t="shared" si="5"/>
        <v>166.4</v>
      </c>
      <c r="K45" s="58">
        <v>185</v>
      </c>
      <c r="L45" s="58">
        <v>3200</v>
      </c>
      <c r="M45" s="58" t="s">
        <v>599</v>
      </c>
      <c r="N45" s="58" t="s">
        <v>600</v>
      </c>
      <c r="O45" s="62">
        <f t="shared" si="6"/>
        <v>3427.5</v>
      </c>
      <c r="P45" s="65" t="s">
        <v>535</v>
      </c>
      <c r="Q45" s="58" t="s">
        <v>601</v>
      </c>
      <c r="R45" s="58" t="s">
        <v>602</v>
      </c>
      <c r="S45" s="63" t="s">
        <v>585</v>
      </c>
      <c r="T45" s="63" t="s">
        <v>603</v>
      </c>
      <c r="U45" s="58" t="s">
        <v>581</v>
      </c>
      <c r="V45" s="66" t="s">
        <v>604</v>
      </c>
    </row>
    <row r="46" spans="1:22" ht="17.399999999999999">
      <c r="A46" s="67">
        <v>3000</v>
      </c>
      <c r="B46" s="69">
        <v>460</v>
      </c>
      <c r="C46" s="70">
        <f>ROUNDUP(A46/(B46*0.9)/3^0.5*1000/0.9,0)</f>
        <v>4649</v>
      </c>
      <c r="D46" s="70">
        <f t="shared" si="1"/>
        <v>606</v>
      </c>
      <c r="E46" s="70">
        <f t="shared" si="2"/>
        <v>4951</v>
      </c>
      <c r="F46" s="68">
        <f>30.8*100*C46/(1000*10)</f>
        <v>1431.8920000000001</v>
      </c>
      <c r="G46" s="71">
        <f t="shared" si="4"/>
        <v>1.5496666666666667</v>
      </c>
      <c r="H46" s="69">
        <v>500</v>
      </c>
      <c r="I46" s="69">
        <v>6</v>
      </c>
      <c r="J46" s="69">
        <f t="shared" si="5"/>
        <v>208</v>
      </c>
      <c r="K46" s="69">
        <v>240</v>
      </c>
      <c r="L46" s="69">
        <v>4000</v>
      </c>
      <c r="M46" s="69" t="s">
        <v>605</v>
      </c>
      <c r="N46" s="69" t="s">
        <v>600</v>
      </c>
      <c r="O46" s="72">
        <f t="shared" si="6"/>
        <v>5811.25</v>
      </c>
      <c r="P46" s="73" t="s">
        <v>535</v>
      </c>
      <c r="Q46" s="69" t="s">
        <v>601</v>
      </c>
      <c r="R46" s="69" t="s">
        <v>602</v>
      </c>
      <c r="S46" s="63" t="s">
        <v>585</v>
      </c>
      <c r="T46" s="74" t="s">
        <v>607</v>
      </c>
      <c r="U46" s="69" t="s">
        <v>608</v>
      </c>
      <c r="V46" s="75" t="s">
        <v>609</v>
      </c>
    </row>
    <row r="47" spans="1:22" ht="18" thickBot="1">
      <c r="A47" s="76">
        <v>3000</v>
      </c>
      <c r="B47" s="77">
        <v>650</v>
      </c>
      <c r="C47" s="78">
        <f t="shared" si="0"/>
        <v>3290</v>
      </c>
      <c r="D47" s="78">
        <f t="shared" si="1"/>
        <v>855</v>
      </c>
      <c r="E47" s="78">
        <f t="shared" si="2"/>
        <v>3509</v>
      </c>
      <c r="F47" s="79">
        <f t="shared" si="3"/>
        <v>1013.32</v>
      </c>
      <c r="G47" s="80">
        <f t="shared" si="4"/>
        <v>1.3708333333333333</v>
      </c>
      <c r="H47" s="77">
        <v>400</v>
      </c>
      <c r="I47" s="77">
        <v>6</v>
      </c>
      <c r="J47" s="77">
        <f t="shared" si="5"/>
        <v>166.4</v>
      </c>
      <c r="K47" s="77">
        <v>185</v>
      </c>
      <c r="L47" s="77">
        <v>3200</v>
      </c>
      <c r="M47" s="77" t="s">
        <v>599</v>
      </c>
      <c r="N47" s="77" t="s">
        <v>600</v>
      </c>
      <c r="O47" s="81">
        <f t="shared" si="6"/>
        <v>4112.5</v>
      </c>
      <c r="P47" s="82" t="s">
        <v>535</v>
      </c>
      <c r="Q47" s="77" t="s">
        <v>601</v>
      </c>
      <c r="R47" s="77" t="s">
        <v>602</v>
      </c>
      <c r="S47" s="83" t="s">
        <v>610</v>
      </c>
      <c r="T47" s="77" t="s">
        <v>611</v>
      </c>
      <c r="U47" s="77" t="s">
        <v>612</v>
      </c>
      <c r="V47" s="84" t="s">
        <v>613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직병렬공진 동작점설계</vt:lpstr>
      <vt:lpstr>직렬 인덕터 설계</vt:lpstr>
      <vt:lpstr>설계 결과표</vt:lpstr>
      <vt:lpstr>SW 요청자료</vt:lpstr>
      <vt:lpstr>시운전데이터 및 매칭확인</vt:lpstr>
      <vt:lpstr>입력정류부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2020-12-03T06:34:16Z</cp:lastPrinted>
  <dcterms:created xsi:type="dcterms:W3CDTF">2002-10-01T05:20:05Z</dcterms:created>
  <dcterms:modified xsi:type="dcterms:W3CDTF">2021-07-21T23:53:19Z</dcterms:modified>
</cp:coreProperties>
</file>