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0" yWindow="0" windowWidth="23256" windowHeight="12972" tabRatio="821"/>
  </bookViews>
  <sheets>
    <sheet name="38파이" sheetId="57" r:id="rId1"/>
    <sheet name="27.2파이" sheetId="56" r:id="rId2"/>
    <sheet name="76파이" sheetId="55" r:id="rId3"/>
    <sheet name="한두철강" sheetId="54" r:id="rId4"/>
    <sheet name="설계 결과표" sheetId="47" r:id="rId5"/>
    <sheet name="SW 요청자료" sheetId="46" r:id="rId6"/>
    <sheet name="입력정류부" sheetId="45" r:id="rId7"/>
    <sheet name="스킨뎁스_금속종류별" sheetId="44" r:id="rId8"/>
    <sheet name="LCD 데이터를 이용한 듀티계산" sheetId="40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AH10" i="57" l="1"/>
  <c r="C14" i="57" l="1"/>
  <c r="AP10" i="54"/>
  <c r="Z74" i="57" l="1"/>
  <c r="Z76" i="57" s="1"/>
  <c r="J69" i="57"/>
  <c r="I69" i="57"/>
  <c r="H69" i="57"/>
  <c r="G69" i="57"/>
  <c r="E69" i="57"/>
  <c r="C69" i="57"/>
  <c r="Z68" i="57"/>
  <c r="Z77" i="57" s="1"/>
  <c r="R61" i="57"/>
  <c r="V55" i="57"/>
  <c r="V58" i="57" s="1"/>
  <c r="V60" i="57" s="1"/>
  <c r="R55" i="57"/>
  <c r="V50" i="57"/>
  <c r="AD49" i="57"/>
  <c r="Z48" i="57"/>
  <c r="Z52" i="57" s="1"/>
  <c r="Z55" i="57" s="1"/>
  <c r="Z58" i="57" s="1"/>
  <c r="Z60" i="57" s="1"/>
  <c r="R48" i="57"/>
  <c r="R49" i="57" s="1"/>
  <c r="R47" i="57"/>
  <c r="AD43" i="57"/>
  <c r="AD38" i="57"/>
  <c r="R38" i="57"/>
  <c r="AD37" i="57"/>
  <c r="R37" i="57"/>
  <c r="R39" i="57" s="1"/>
  <c r="R40" i="57" s="1"/>
  <c r="V36" i="57"/>
  <c r="J34" i="57"/>
  <c r="I34" i="57"/>
  <c r="H34" i="57"/>
  <c r="G34" i="57"/>
  <c r="E34" i="57"/>
  <c r="C34" i="57"/>
  <c r="AD32" i="57"/>
  <c r="V32" i="57"/>
  <c r="Z30" i="57"/>
  <c r="Z29" i="57"/>
  <c r="AD28" i="57"/>
  <c r="V28" i="57"/>
  <c r="V40" i="57" s="1"/>
  <c r="V41" i="57" s="1"/>
  <c r="V42" i="57" s="1"/>
  <c r="V43" i="57" s="1"/>
  <c r="V44" i="57" s="1"/>
  <c r="R28" i="57"/>
  <c r="R27" i="57"/>
  <c r="R29" i="57" s="1"/>
  <c r="R26" i="57"/>
  <c r="AD24" i="57"/>
  <c r="V21" i="57"/>
  <c r="J20" i="57"/>
  <c r="I20" i="57"/>
  <c r="H20" i="57"/>
  <c r="G20" i="57"/>
  <c r="E20" i="57"/>
  <c r="C20" i="57"/>
  <c r="AD17" i="57"/>
  <c r="AD18" i="57" s="1"/>
  <c r="AD19" i="57" s="1"/>
  <c r="J14" i="57"/>
  <c r="J18" i="57" s="1"/>
  <c r="I14" i="57"/>
  <c r="I18" i="57" s="1"/>
  <c r="H14" i="57"/>
  <c r="H18" i="57" s="1"/>
  <c r="G14" i="57"/>
  <c r="G18" i="57" s="1"/>
  <c r="E14" i="57"/>
  <c r="E18" i="57" s="1"/>
  <c r="C18" i="57"/>
  <c r="V13" i="57"/>
  <c r="J10" i="57"/>
  <c r="J39" i="57" s="1"/>
  <c r="J41" i="57" s="1"/>
  <c r="I10" i="57"/>
  <c r="I39" i="57" s="1"/>
  <c r="I41" i="57" s="1"/>
  <c r="H10" i="57"/>
  <c r="H11" i="57" s="1"/>
  <c r="G10" i="57"/>
  <c r="G11" i="57" s="1"/>
  <c r="E10" i="57"/>
  <c r="E39" i="57" s="1"/>
  <c r="E41" i="57" s="1"/>
  <c r="C10" i="57"/>
  <c r="C39" i="57" s="1"/>
  <c r="C41" i="57" s="1"/>
  <c r="Z9" i="57"/>
  <c r="R9" i="57"/>
  <c r="R14" i="57" s="1"/>
  <c r="AD8" i="57"/>
  <c r="Z8" i="57"/>
  <c r="V8" i="57"/>
  <c r="R7" i="57"/>
  <c r="J6" i="57"/>
  <c r="J8" i="57" s="1"/>
  <c r="I6" i="57"/>
  <c r="I8" i="57" s="1"/>
  <c r="H6" i="57"/>
  <c r="H8" i="57" s="1"/>
  <c r="G6" i="57"/>
  <c r="G8" i="57" s="1"/>
  <c r="E6" i="57"/>
  <c r="E8" i="57" s="1"/>
  <c r="C6" i="57"/>
  <c r="C8" i="57" s="1"/>
  <c r="C24" i="57" l="1"/>
  <c r="C27" i="57" s="1"/>
  <c r="C23" i="57"/>
  <c r="J24" i="57"/>
  <c r="J27" i="57" s="1"/>
  <c r="J23" i="57"/>
  <c r="I24" i="57"/>
  <c r="I27" i="57" s="1"/>
  <c r="I23" i="57"/>
  <c r="E24" i="57"/>
  <c r="E22" i="57"/>
  <c r="E23" i="57" s="1"/>
  <c r="G23" i="57"/>
  <c r="G24" i="57"/>
  <c r="G27" i="57" s="1"/>
  <c r="H23" i="57"/>
  <c r="H24" i="57"/>
  <c r="H27" i="57" s="1"/>
  <c r="C11" i="57"/>
  <c r="I11" i="57"/>
  <c r="G39" i="57"/>
  <c r="G41" i="57" s="1"/>
  <c r="Z61" i="57"/>
  <c r="E11" i="57"/>
  <c r="J11" i="57"/>
  <c r="V37" i="57"/>
  <c r="H39" i="57"/>
  <c r="H41" i="57" s="1"/>
  <c r="Z12" i="57"/>
  <c r="Z17" i="57" s="1"/>
  <c r="Z19" i="57" s="1"/>
  <c r="Z21" i="57" s="1"/>
  <c r="Z49" i="57"/>
  <c r="Z69" i="57"/>
  <c r="Z33" i="57"/>
  <c r="Z36" i="57" s="1"/>
  <c r="Z38" i="57" s="1"/>
  <c r="Z40" i="57" s="1"/>
  <c r="AH10" i="56"/>
  <c r="G56" i="57" l="1"/>
  <c r="G25" i="57"/>
  <c r="G26" i="57"/>
  <c r="G28" i="57" s="1"/>
  <c r="H30" i="57"/>
  <c r="E56" i="57"/>
  <c r="E25" i="57"/>
  <c r="E26" i="57"/>
  <c r="I26" i="57"/>
  <c r="I56" i="57"/>
  <c r="I25" i="57"/>
  <c r="J30" i="57"/>
  <c r="H26" i="57"/>
  <c r="H56" i="57"/>
  <c r="H25" i="57"/>
  <c r="I30" i="57"/>
  <c r="C26" i="57"/>
  <c r="C56" i="57"/>
  <c r="C25" i="57"/>
  <c r="Z41" i="57"/>
  <c r="J56" i="57"/>
  <c r="J25" i="57"/>
  <c r="J28" i="57" s="1"/>
  <c r="J26" i="57"/>
  <c r="G30" i="57"/>
  <c r="E27" i="57"/>
  <c r="Z22" i="57"/>
  <c r="C30" i="57"/>
  <c r="Z74" i="56"/>
  <c r="Z76" i="56" s="1"/>
  <c r="J69" i="56"/>
  <c r="I69" i="56"/>
  <c r="H69" i="56"/>
  <c r="G69" i="56"/>
  <c r="E69" i="56"/>
  <c r="C69" i="56"/>
  <c r="Z68" i="56"/>
  <c r="Z69" i="56" s="1"/>
  <c r="R61" i="56"/>
  <c r="V55" i="56"/>
  <c r="V58" i="56" s="1"/>
  <c r="V60" i="56" s="1"/>
  <c r="R55" i="56"/>
  <c r="V50" i="56"/>
  <c r="AD49" i="56"/>
  <c r="Z48" i="56"/>
  <c r="R48" i="56"/>
  <c r="R49" i="56" s="1"/>
  <c r="R47" i="56"/>
  <c r="AD43" i="56"/>
  <c r="AD38" i="56"/>
  <c r="R38" i="56"/>
  <c r="AD37" i="56"/>
  <c r="R37" i="56"/>
  <c r="V36" i="56"/>
  <c r="J34" i="56"/>
  <c r="I34" i="56"/>
  <c r="H34" i="56"/>
  <c r="G34" i="56"/>
  <c r="E34" i="56"/>
  <c r="C34" i="56"/>
  <c r="AD32" i="56"/>
  <c r="V32" i="56"/>
  <c r="Z29" i="56"/>
  <c r="AD28" i="56"/>
  <c r="V28" i="56"/>
  <c r="R28" i="56"/>
  <c r="R27" i="56"/>
  <c r="R26" i="56"/>
  <c r="AD24" i="56"/>
  <c r="V21" i="56"/>
  <c r="J20" i="56"/>
  <c r="I20" i="56"/>
  <c r="H20" i="56"/>
  <c r="G20" i="56"/>
  <c r="E20" i="56"/>
  <c r="C20" i="56"/>
  <c r="AD17" i="56"/>
  <c r="AD18" i="56" s="1"/>
  <c r="AD19" i="56" s="1"/>
  <c r="J14" i="56"/>
  <c r="J18" i="56" s="1"/>
  <c r="I14" i="56"/>
  <c r="I18" i="56" s="1"/>
  <c r="H14" i="56"/>
  <c r="H18" i="56" s="1"/>
  <c r="G14" i="56"/>
  <c r="G18" i="56" s="1"/>
  <c r="E14" i="56"/>
  <c r="E18" i="56" s="1"/>
  <c r="C14" i="56"/>
  <c r="C18" i="56" s="1"/>
  <c r="V13" i="56"/>
  <c r="J10" i="56"/>
  <c r="J39" i="56" s="1"/>
  <c r="J41" i="56" s="1"/>
  <c r="I10" i="56"/>
  <c r="I39" i="56" s="1"/>
  <c r="I41" i="56" s="1"/>
  <c r="H10" i="56"/>
  <c r="H39" i="56" s="1"/>
  <c r="H41" i="56" s="1"/>
  <c r="G10" i="56"/>
  <c r="G39" i="56" s="1"/>
  <c r="G41" i="56" s="1"/>
  <c r="E10" i="56"/>
  <c r="E39" i="56" s="1"/>
  <c r="E41" i="56" s="1"/>
  <c r="C10" i="56"/>
  <c r="C39" i="56" s="1"/>
  <c r="C41" i="56" s="1"/>
  <c r="AD8" i="56"/>
  <c r="Z8" i="56"/>
  <c r="V8" i="56"/>
  <c r="R7" i="56"/>
  <c r="R9" i="56" s="1"/>
  <c r="R14" i="56" s="1"/>
  <c r="J6" i="56"/>
  <c r="J8" i="56" s="1"/>
  <c r="I6" i="56"/>
  <c r="I8" i="56" s="1"/>
  <c r="H6" i="56"/>
  <c r="H8" i="56" s="1"/>
  <c r="G6" i="56"/>
  <c r="G8" i="56" s="1"/>
  <c r="E6" i="56"/>
  <c r="E8" i="56" s="1"/>
  <c r="C6" i="56"/>
  <c r="C8" i="56" s="1"/>
  <c r="Z74" i="55"/>
  <c r="Z76" i="55" s="1"/>
  <c r="J69" i="55"/>
  <c r="I69" i="55"/>
  <c r="H69" i="55"/>
  <c r="G69" i="55"/>
  <c r="E69" i="55"/>
  <c r="C69" i="55"/>
  <c r="Z68" i="55"/>
  <c r="R61" i="55"/>
  <c r="V55" i="55"/>
  <c r="V58" i="55" s="1"/>
  <c r="V60" i="55" s="1"/>
  <c r="R55" i="55"/>
  <c r="V50" i="55"/>
  <c r="AD49" i="55"/>
  <c r="Z48" i="55"/>
  <c r="R48" i="55"/>
  <c r="R49" i="55" s="1"/>
  <c r="R47" i="55"/>
  <c r="AD43" i="55"/>
  <c r="AD38" i="55"/>
  <c r="R38" i="55"/>
  <c r="AD37" i="55"/>
  <c r="R37" i="55"/>
  <c r="V36" i="55"/>
  <c r="J34" i="55"/>
  <c r="I34" i="55"/>
  <c r="H34" i="55"/>
  <c r="G34" i="55"/>
  <c r="E34" i="55"/>
  <c r="C34" i="55"/>
  <c r="AD32" i="55"/>
  <c r="V32" i="55"/>
  <c r="Z29" i="55"/>
  <c r="Z33" i="55" s="1"/>
  <c r="Z36" i="55" s="1"/>
  <c r="Z38" i="55" s="1"/>
  <c r="Z40" i="55" s="1"/>
  <c r="AD28" i="55"/>
  <c r="V28" i="55"/>
  <c r="V37" i="55" s="1"/>
  <c r="R28" i="55"/>
  <c r="R27" i="55"/>
  <c r="R26" i="55"/>
  <c r="AD24" i="55"/>
  <c r="V21" i="55"/>
  <c r="J20" i="55"/>
  <c r="I20" i="55"/>
  <c r="H20" i="55"/>
  <c r="G20" i="55"/>
  <c r="E20" i="55"/>
  <c r="C20" i="55"/>
  <c r="AD17" i="55"/>
  <c r="AD18" i="55" s="1"/>
  <c r="AD19" i="55" s="1"/>
  <c r="J14" i="55"/>
  <c r="J18" i="55" s="1"/>
  <c r="J24" i="55" s="1"/>
  <c r="J27" i="55" s="1"/>
  <c r="I14" i="55"/>
  <c r="I18" i="55" s="1"/>
  <c r="H14" i="55"/>
  <c r="H18" i="55" s="1"/>
  <c r="G14" i="55"/>
  <c r="G18" i="55" s="1"/>
  <c r="E14" i="55"/>
  <c r="E18" i="55" s="1"/>
  <c r="C14" i="55"/>
  <c r="C18" i="55" s="1"/>
  <c r="V13" i="55"/>
  <c r="J10" i="55"/>
  <c r="J39" i="55" s="1"/>
  <c r="J41" i="55" s="1"/>
  <c r="I10" i="55"/>
  <c r="I39" i="55" s="1"/>
  <c r="I41" i="55" s="1"/>
  <c r="H10" i="55"/>
  <c r="H39" i="55" s="1"/>
  <c r="H41" i="55" s="1"/>
  <c r="G10" i="55"/>
  <c r="G39" i="55" s="1"/>
  <c r="G41" i="55" s="1"/>
  <c r="E10" i="55"/>
  <c r="E39" i="55" s="1"/>
  <c r="E41" i="55" s="1"/>
  <c r="C10" i="55"/>
  <c r="C39" i="55" s="1"/>
  <c r="C41" i="55" s="1"/>
  <c r="AD8" i="55"/>
  <c r="Z8" i="55"/>
  <c r="Z12" i="55" s="1"/>
  <c r="Z17" i="55" s="1"/>
  <c r="Z19" i="55" s="1"/>
  <c r="V8" i="55"/>
  <c r="R7" i="55"/>
  <c r="R9" i="55" s="1"/>
  <c r="R14" i="55" s="1"/>
  <c r="J6" i="55"/>
  <c r="J8" i="55" s="1"/>
  <c r="I6" i="55"/>
  <c r="I8" i="55" s="1"/>
  <c r="H6" i="55"/>
  <c r="H8" i="55" s="1"/>
  <c r="G6" i="55"/>
  <c r="G8" i="55" s="1"/>
  <c r="E6" i="55"/>
  <c r="E8" i="55" s="1"/>
  <c r="C6" i="55"/>
  <c r="C8" i="55" s="1"/>
  <c r="H28" i="57" l="1"/>
  <c r="H33" i="57" s="1"/>
  <c r="H43" i="57" s="1"/>
  <c r="I28" i="57"/>
  <c r="C28" i="57"/>
  <c r="E28" i="57"/>
  <c r="E30" i="57"/>
  <c r="C62" i="57"/>
  <c r="C61" i="57"/>
  <c r="C64" i="57" s="1"/>
  <c r="C55" i="57"/>
  <c r="H31" i="57"/>
  <c r="H45" i="57"/>
  <c r="H32" i="57"/>
  <c r="C31" i="57"/>
  <c r="C45" i="57"/>
  <c r="C33" i="57"/>
  <c r="C43" i="57" s="1"/>
  <c r="C32" i="57"/>
  <c r="G33" i="57"/>
  <c r="G43" i="57" s="1"/>
  <c r="G32" i="57"/>
  <c r="G31" i="57"/>
  <c r="G45" i="57"/>
  <c r="J62" i="57"/>
  <c r="J61" i="57"/>
  <c r="J64" i="57" s="1"/>
  <c r="J55" i="57"/>
  <c r="H55" i="57"/>
  <c r="H62" i="57"/>
  <c r="H61" i="57"/>
  <c r="H64" i="57" s="1"/>
  <c r="I31" i="57"/>
  <c r="I45" i="57"/>
  <c r="I33" i="57"/>
  <c r="I43" i="57" s="1"/>
  <c r="I32" i="57"/>
  <c r="I62" i="57"/>
  <c r="I61" i="57"/>
  <c r="I64" i="57" s="1"/>
  <c r="I55" i="57"/>
  <c r="E62" i="57"/>
  <c r="E61" i="57"/>
  <c r="E64" i="57" s="1"/>
  <c r="E55" i="57"/>
  <c r="J45" i="57"/>
  <c r="J33" i="57"/>
  <c r="J43" i="57" s="1"/>
  <c r="J32" i="57"/>
  <c r="J31" i="57"/>
  <c r="G62" i="57"/>
  <c r="G61" i="57"/>
  <c r="G64" i="57" s="1"/>
  <c r="G55" i="57"/>
  <c r="G23" i="56"/>
  <c r="G56" i="56" s="1"/>
  <c r="Z77" i="55"/>
  <c r="Z9" i="55"/>
  <c r="R39" i="55"/>
  <c r="R40" i="55" s="1"/>
  <c r="Z69" i="55"/>
  <c r="R29" i="55"/>
  <c r="R39" i="56"/>
  <c r="R40" i="56" s="1"/>
  <c r="R29" i="56"/>
  <c r="J24" i="56"/>
  <c r="J27" i="56" s="1"/>
  <c r="J23" i="56"/>
  <c r="C24" i="56"/>
  <c r="C27" i="56" s="1"/>
  <c r="C23" i="56"/>
  <c r="H24" i="56"/>
  <c r="H27" i="56" s="1"/>
  <c r="H23" i="56"/>
  <c r="E22" i="56"/>
  <c r="E23" i="56" s="1"/>
  <c r="E24" i="56"/>
  <c r="I24" i="56"/>
  <c r="I27" i="56" s="1"/>
  <c r="I23" i="56"/>
  <c r="Z9" i="56"/>
  <c r="G11" i="56"/>
  <c r="Z30" i="56"/>
  <c r="C11" i="56"/>
  <c r="H11" i="56"/>
  <c r="Z12" i="56"/>
  <c r="Z17" i="56" s="1"/>
  <c r="Z19" i="56" s="1"/>
  <c r="Z21" i="56" s="1"/>
  <c r="G24" i="56"/>
  <c r="G27" i="56" s="1"/>
  <c r="V37" i="56"/>
  <c r="V40" i="56"/>
  <c r="V41" i="56" s="1"/>
  <c r="V42" i="56" s="1"/>
  <c r="V43" i="56" s="1"/>
  <c r="V44" i="56" s="1"/>
  <c r="E11" i="56"/>
  <c r="I11" i="56"/>
  <c r="J11" i="56"/>
  <c r="Z33" i="56"/>
  <c r="Z36" i="56" s="1"/>
  <c r="Z38" i="56" s="1"/>
  <c r="Z40" i="56" s="1"/>
  <c r="Z49" i="56"/>
  <c r="Z77" i="56"/>
  <c r="Z52" i="56"/>
  <c r="Z55" i="56" s="1"/>
  <c r="Z58" i="56" s="1"/>
  <c r="Z60" i="56" s="1"/>
  <c r="Z22" i="55"/>
  <c r="Z21" i="55"/>
  <c r="H24" i="55"/>
  <c r="H27" i="55" s="1"/>
  <c r="H23" i="55"/>
  <c r="E22" i="55"/>
  <c r="E23" i="55" s="1"/>
  <c r="E24" i="55"/>
  <c r="J30" i="55"/>
  <c r="I24" i="55"/>
  <c r="I27" i="55" s="1"/>
  <c r="I23" i="55"/>
  <c r="C24" i="55"/>
  <c r="C27" i="55" s="1"/>
  <c r="C23" i="55"/>
  <c r="G24" i="55"/>
  <c r="G27" i="55" s="1"/>
  <c r="G23" i="55"/>
  <c r="C11" i="55"/>
  <c r="E11" i="55"/>
  <c r="H11" i="55"/>
  <c r="Z30" i="55"/>
  <c r="I11" i="55"/>
  <c r="J11" i="55"/>
  <c r="J23" i="55"/>
  <c r="Z41" i="55"/>
  <c r="G11" i="55"/>
  <c r="V40" i="55"/>
  <c r="V41" i="55" s="1"/>
  <c r="V42" i="55" s="1"/>
  <c r="V43" i="55" s="1"/>
  <c r="V44" i="55" s="1"/>
  <c r="Z49" i="55"/>
  <c r="Z52" i="55"/>
  <c r="Z55" i="55" s="1"/>
  <c r="Z58" i="55" s="1"/>
  <c r="Z60" i="55" s="1"/>
  <c r="S69" i="54"/>
  <c r="R69" i="54"/>
  <c r="Q69" i="54"/>
  <c r="P69" i="54"/>
  <c r="O69" i="54"/>
  <c r="S34" i="54"/>
  <c r="R34" i="54"/>
  <c r="Q34" i="54"/>
  <c r="P34" i="54"/>
  <c r="O34" i="54"/>
  <c r="S20" i="54"/>
  <c r="R20" i="54"/>
  <c r="Q20" i="54"/>
  <c r="P20" i="54"/>
  <c r="O20" i="54"/>
  <c r="S14" i="54"/>
  <c r="S18" i="54" s="1"/>
  <c r="R14" i="54"/>
  <c r="R18" i="54" s="1"/>
  <c r="Q14" i="54"/>
  <c r="Q18" i="54" s="1"/>
  <c r="P14" i="54"/>
  <c r="P18" i="54" s="1"/>
  <c r="O14" i="54"/>
  <c r="O18" i="54" s="1"/>
  <c r="S10" i="54"/>
  <c r="S39" i="54" s="1"/>
  <c r="S41" i="54" s="1"/>
  <c r="R10" i="54"/>
  <c r="R39" i="54" s="1"/>
  <c r="R41" i="54" s="1"/>
  <c r="Q10" i="54"/>
  <c r="Q11" i="54" s="1"/>
  <c r="P10" i="54"/>
  <c r="P11" i="54" s="1"/>
  <c r="O10" i="54"/>
  <c r="O39" i="54" s="1"/>
  <c r="O41" i="54" s="1"/>
  <c r="S6" i="54"/>
  <c r="S8" i="54" s="1"/>
  <c r="R6" i="54"/>
  <c r="R8" i="54" s="1"/>
  <c r="Q6" i="54"/>
  <c r="Q8" i="54" s="1"/>
  <c r="P6" i="54"/>
  <c r="P8" i="54" s="1"/>
  <c r="O6" i="54"/>
  <c r="O8" i="54" s="1"/>
  <c r="I14" i="54"/>
  <c r="J14" i="54"/>
  <c r="J18" i="54" s="1"/>
  <c r="K14" i="54"/>
  <c r="K18" i="54" s="1"/>
  <c r="K24" i="54" s="1"/>
  <c r="L14" i="54"/>
  <c r="L18" i="54" s="1"/>
  <c r="L24" i="54" s="1"/>
  <c r="M14" i="54"/>
  <c r="M18" i="54" s="1"/>
  <c r="M24" i="54" s="1"/>
  <c r="D14" i="54"/>
  <c r="E14" i="54"/>
  <c r="F14" i="54"/>
  <c r="G14" i="54"/>
  <c r="C14" i="54"/>
  <c r="M69" i="54"/>
  <c r="L69" i="54"/>
  <c r="K69" i="54"/>
  <c r="J69" i="54"/>
  <c r="I69" i="54"/>
  <c r="M34" i="54"/>
  <c r="L34" i="54"/>
  <c r="K34" i="54"/>
  <c r="J34" i="54"/>
  <c r="I34" i="54"/>
  <c r="M20" i="54"/>
  <c r="L20" i="54"/>
  <c r="K20" i="54"/>
  <c r="J20" i="54"/>
  <c r="I20" i="54"/>
  <c r="I18" i="54"/>
  <c r="I24" i="54" s="1"/>
  <c r="M10" i="54"/>
  <c r="M39" i="54" s="1"/>
  <c r="M41" i="54" s="1"/>
  <c r="L10" i="54"/>
  <c r="L39" i="54" s="1"/>
  <c r="L41" i="54" s="1"/>
  <c r="K10" i="54"/>
  <c r="K39" i="54" s="1"/>
  <c r="K41" i="54" s="1"/>
  <c r="J10" i="54"/>
  <c r="J39" i="54" s="1"/>
  <c r="J41" i="54" s="1"/>
  <c r="I10" i="54"/>
  <c r="I39" i="54" s="1"/>
  <c r="I41" i="54" s="1"/>
  <c r="M6" i="54"/>
  <c r="M8" i="54" s="1"/>
  <c r="L6" i="54"/>
  <c r="L8" i="54" s="1"/>
  <c r="K6" i="54"/>
  <c r="K8" i="54" s="1"/>
  <c r="J6" i="54"/>
  <c r="J8" i="54" s="1"/>
  <c r="I6" i="54"/>
  <c r="I8" i="54" s="1"/>
  <c r="G69" i="54"/>
  <c r="G34" i="54"/>
  <c r="G20" i="54"/>
  <c r="G18" i="54"/>
  <c r="G10" i="54"/>
  <c r="G39" i="54" s="1"/>
  <c r="G41" i="54" s="1"/>
  <c r="G6" i="54"/>
  <c r="G8" i="54" s="1"/>
  <c r="J35" i="57" l="1"/>
  <c r="J36" i="57"/>
  <c r="I35" i="57"/>
  <c r="I36" i="57"/>
  <c r="G36" i="57"/>
  <c r="G35" i="57"/>
  <c r="C52" i="57"/>
  <c r="C46" i="57"/>
  <c r="C47" i="57" s="1"/>
  <c r="C48" i="57" s="1"/>
  <c r="H46" i="57"/>
  <c r="H47" i="57" s="1"/>
  <c r="H48" i="57" s="1"/>
  <c r="H52" i="57"/>
  <c r="J52" i="57"/>
  <c r="J46" i="57"/>
  <c r="J47" i="57" s="1"/>
  <c r="J48" i="57" s="1"/>
  <c r="E45" i="57"/>
  <c r="E33" i="57"/>
  <c r="E43" i="57" s="1"/>
  <c r="E32" i="57"/>
  <c r="E31" i="57"/>
  <c r="I52" i="57"/>
  <c r="I46" i="57"/>
  <c r="I47" i="57" s="1"/>
  <c r="I48" i="57" s="1"/>
  <c r="G52" i="57"/>
  <c r="G46" i="57"/>
  <c r="G47" i="57" s="1"/>
  <c r="G48" i="57" s="1"/>
  <c r="C35" i="57"/>
  <c r="C36" i="57"/>
  <c r="H36" i="57"/>
  <c r="H35" i="57"/>
  <c r="G25" i="56"/>
  <c r="G26" i="56"/>
  <c r="E27" i="55"/>
  <c r="E30" i="55" s="1"/>
  <c r="E27" i="56"/>
  <c r="Z22" i="56"/>
  <c r="H56" i="56"/>
  <c r="H26" i="56"/>
  <c r="H25" i="56"/>
  <c r="J56" i="56"/>
  <c r="J25" i="56"/>
  <c r="J26" i="56"/>
  <c r="I56" i="56"/>
  <c r="I26" i="56"/>
  <c r="I25" i="56"/>
  <c r="H30" i="56"/>
  <c r="C56" i="56"/>
  <c r="C25" i="56"/>
  <c r="C26" i="56"/>
  <c r="G61" i="56"/>
  <c r="G64" i="56" s="1"/>
  <c r="G62" i="56"/>
  <c r="G55" i="56"/>
  <c r="J30" i="56"/>
  <c r="Z61" i="56"/>
  <c r="G30" i="56"/>
  <c r="Z41" i="56"/>
  <c r="I30" i="56"/>
  <c r="E56" i="56"/>
  <c r="E26" i="56"/>
  <c r="E25" i="56"/>
  <c r="C30" i="56"/>
  <c r="G30" i="55"/>
  <c r="I30" i="55"/>
  <c r="J45" i="55"/>
  <c r="J32" i="55"/>
  <c r="J31" i="55"/>
  <c r="H30" i="55"/>
  <c r="J56" i="55"/>
  <c r="J26" i="55"/>
  <c r="J25" i="55"/>
  <c r="C56" i="55"/>
  <c r="C26" i="55"/>
  <c r="C25" i="55"/>
  <c r="C30" i="55"/>
  <c r="E56" i="55"/>
  <c r="E26" i="55"/>
  <c r="E25" i="55"/>
  <c r="Z61" i="55"/>
  <c r="G56" i="55"/>
  <c r="G26" i="55"/>
  <c r="G25" i="55"/>
  <c r="I56" i="55"/>
  <c r="I26" i="55"/>
  <c r="I25" i="55"/>
  <c r="H56" i="55"/>
  <c r="H26" i="55"/>
  <c r="H25" i="55"/>
  <c r="M22" i="54"/>
  <c r="M27" i="54" s="1"/>
  <c r="M30" i="54" s="1"/>
  <c r="S24" i="54"/>
  <c r="S23" i="54"/>
  <c r="P23" i="54"/>
  <c r="P24" i="54"/>
  <c r="Q23" i="54"/>
  <c r="Q24" i="54"/>
  <c r="O24" i="54"/>
  <c r="O23" i="54"/>
  <c r="R24" i="54"/>
  <c r="R23" i="54"/>
  <c r="R11" i="54"/>
  <c r="P39" i="54"/>
  <c r="P41" i="54" s="1"/>
  <c r="O11" i="54"/>
  <c r="S11" i="54"/>
  <c r="Q39" i="54"/>
  <c r="Q41" i="54" s="1"/>
  <c r="J11" i="54"/>
  <c r="J24" i="54"/>
  <c r="K11" i="54"/>
  <c r="L11" i="54"/>
  <c r="I11" i="54"/>
  <c r="M11" i="54"/>
  <c r="G23" i="54"/>
  <c r="G25" i="54" s="1"/>
  <c r="G11" i="54"/>
  <c r="G24" i="54"/>
  <c r="G27" i="54" s="1"/>
  <c r="E52" i="57" l="1"/>
  <c r="E46" i="57"/>
  <c r="E47" i="57" s="1"/>
  <c r="E48" i="57" s="1"/>
  <c r="C57" i="57"/>
  <c r="C65" i="57"/>
  <c r="I57" i="57"/>
  <c r="I65" i="57"/>
  <c r="H57" i="57"/>
  <c r="H65" i="57"/>
  <c r="E35" i="57"/>
  <c r="E36" i="57"/>
  <c r="G65" i="57"/>
  <c r="G57" i="57"/>
  <c r="J65" i="57"/>
  <c r="J57" i="57"/>
  <c r="C28" i="56"/>
  <c r="J28" i="56"/>
  <c r="G28" i="56"/>
  <c r="G33" i="56" s="1"/>
  <c r="G43" i="56" s="1"/>
  <c r="E28" i="55"/>
  <c r="E33" i="55" s="1"/>
  <c r="E43" i="55" s="1"/>
  <c r="G28" i="55"/>
  <c r="G33" i="55" s="1"/>
  <c r="G43" i="55" s="1"/>
  <c r="I28" i="55"/>
  <c r="I33" i="55" s="1"/>
  <c r="I43" i="55" s="1"/>
  <c r="C28" i="55"/>
  <c r="C33" i="55" s="1"/>
  <c r="C43" i="55" s="1"/>
  <c r="H28" i="55"/>
  <c r="H33" i="55" s="1"/>
  <c r="H43" i="55" s="1"/>
  <c r="H28" i="56"/>
  <c r="H33" i="56" s="1"/>
  <c r="H43" i="56" s="1"/>
  <c r="I28" i="56"/>
  <c r="I33" i="56" s="1"/>
  <c r="I43" i="56" s="1"/>
  <c r="E62" i="56"/>
  <c r="E61" i="56"/>
  <c r="E64" i="56" s="1"/>
  <c r="E55" i="56"/>
  <c r="C55" i="56"/>
  <c r="C61" i="56"/>
  <c r="C64" i="56" s="1"/>
  <c r="C62" i="56"/>
  <c r="E28" i="56"/>
  <c r="E30" i="56"/>
  <c r="I45" i="56"/>
  <c r="I32" i="56"/>
  <c r="I31" i="56"/>
  <c r="J45" i="56"/>
  <c r="J31" i="56"/>
  <c r="J33" i="56"/>
  <c r="J43" i="56" s="1"/>
  <c r="J32" i="56"/>
  <c r="H45" i="56"/>
  <c r="H32" i="56"/>
  <c r="H31" i="56"/>
  <c r="J55" i="56"/>
  <c r="J61" i="56"/>
  <c r="J64" i="56" s="1"/>
  <c r="J62" i="56"/>
  <c r="H55" i="56"/>
  <c r="H62" i="56"/>
  <c r="H61" i="56"/>
  <c r="H64" i="56" s="1"/>
  <c r="C45" i="56"/>
  <c r="C31" i="56"/>
  <c r="C33" i="56"/>
  <c r="C43" i="56" s="1"/>
  <c r="C32" i="56"/>
  <c r="G45" i="56"/>
  <c r="G32" i="56"/>
  <c r="G31" i="56"/>
  <c r="I62" i="56"/>
  <c r="I61" i="56"/>
  <c r="I64" i="56" s="1"/>
  <c r="I55" i="56"/>
  <c r="H55" i="55"/>
  <c r="H61" i="55"/>
  <c r="H64" i="55" s="1"/>
  <c r="H62" i="55"/>
  <c r="E55" i="55"/>
  <c r="E61" i="55"/>
  <c r="E64" i="55" s="1"/>
  <c r="E62" i="55"/>
  <c r="E45" i="55"/>
  <c r="E31" i="55"/>
  <c r="E32" i="55"/>
  <c r="J36" i="55"/>
  <c r="J35" i="55"/>
  <c r="C62" i="55"/>
  <c r="C55" i="55"/>
  <c r="C61" i="55"/>
  <c r="C64" i="55" s="1"/>
  <c r="J62" i="55"/>
  <c r="J61" i="55"/>
  <c r="J64" i="55" s="1"/>
  <c r="J55" i="55"/>
  <c r="J52" i="55"/>
  <c r="J46" i="55"/>
  <c r="J47" i="55" s="1"/>
  <c r="J48" i="55" s="1"/>
  <c r="G45" i="55"/>
  <c r="G32" i="55"/>
  <c r="G31" i="55"/>
  <c r="G62" i="55"/>
  <c r="G55" i="55"/>
  <c r="G61" i="55"/>
  <c r="G64" i="55" s="1"/>
  <c r="C32" i="55"/>
  <c r="C31" i="55"/>
  <c r="C45" i="55"/>
  <c r="H31" i="55"/>
  <c r="H32" i="55"/>
  <c r="H45" i="55"/>
  <c r="I45" i="55"/>
  <c r="I31" i="55"/>
  <c r="I32" i="55"/>
  <c r="I61" i="55"/>
  <c r="I64" i="55" s="1"/>
  <c r="I55" i="55"/>
  <c r="I62" i="55"/>
  <c r="J28" i="55"/>
  <c r="J33" i="55" s="1"/>
  <c r="J43" i="55" s="1"/>
  <c r="M23" i="54"/>
  <c r="M32" i="54" s="1"/>
  <c r="R56" i="54"/>
  <c r="R25" i="54"/>
  <c r="R26" i="54"/>
  <c r="Q26" i="54"/>
  <c r="Q56" i="54"/>
  <c r="Q25" i="54"/>
  <c r="P26" i="54"/>
  <c r="P56" i="54"/>
  <c r="P25" i="54"/>
  <c r="S26" i="54"/>
  <c r="S56" i="54"/>
  <c r="S25" i="54"/>
  <c r="Q27" i="54"/>
  <c r="O26" i="54"/>
  <c r="O56" i="54"/>
  <c r="O25" i="54"/>
  <c r="O27" i="54"/>
  <c r="P27" i="54"/>
  <c r="R27" i="54"/>
  <c r="S27" i="54"/>
  <c r="M45" i="54"/>
  <c r="M31" i="54"/>
  <c r="G56" i="54"/>
  <c r="G55" i="54" s="1"/>
  <c r="G26" i="54"/>
  <c r="G28" i="54" s="1"/>
  <c r="G30" i="54"/>
  <c r="Z7" i="54"/>
  <c r="Z9" i="54" s="1"/>
  <c r="Z14" i="54" s="1"/>
  <c r="AH74" i="54"/>
  <c r="AH76" i="54" s="1"/>
  <c r="F69" i="54"/>
  <c r="E69" i="54"/>
  <c r="D69" i="54"/>
  <c r="C69" i="54"/>
  <c r="AH68" i="54"/>
  <c r="AH69" i="54" s="1"/>
  <c r="Z61" i="54"/>
  <c r="AD55" i="54"/>
  <c r="AD58" i="54" s="1"/>
  <c r="AD60" i="54" s="1"/>
  <c r="Z55" i="54"/>
  <c r="AD50" i="54"/>
  <c r="AL49" i="54"/>
  <c r="AH48" i="54"/>
  <c r="AH52" i="54" s="1"/>
  <c r="AH55" i="54" s="1"/>
  <c r="AH58" i="54" s="1"/>
  <c r="AH60" i="54" s="1"/>
  <c r="Z48" i="54"/>
  <c r="Z49" i="54" s="1"/>
  <c r="Z47" i="54"/>
  <c r="AL43" i="54"/>
  <c r="AL38" i="54"/>
  <c r="Z38" i="54"/>
  <c r="AL37" i="54"/>
  <c r="Z37" i="54"/>
  <c r="AD36" i="54"/>
  <c r="F34" i="54"/>
  <c r="E34" i="54"/>
  <c r="D34" i="54"/>
  <c r="C34" i="54"/>
  <c r="AL32" i="54"/>
  <c r="AD32" i="54"/>
  <c r="AH29" i="54"/>
  <c r="AH30" i="54" s="1"/>
  <c r="AL28" i="54"/>
  <c r="AD28" i="54"/>
  <c r="Z28" i="54"/>
  <c r="Z27" i="54"/>
  <c r="Z26" i="54"/>
  <c r="AL24" i="54"/>
  <c r="AD21" i="54"/>
  <c r="F20" i="54"/>
  <c r="E20" i="54"/>
  <c r="D20" i="54"/>
  <c r="C20" i="54"/>
  <c r="F18" i="54"/>
  <c r="E18" i="54"/>
  <c r="D18" i="54"/>
  <c r="J22" i="54" s="1"/>
  <c r="J23" i="54" s="1"/>
  <c r="J26" i="54" s="1"/>
  <c r="C18" i="54"/>
  <c r="I22" i="54" s="1"/>
  <c r="I27" i="54" s="1"/>
  <c r="I30" i="54" s="1"/>
  <c r="I45" i="54" s="1"/>
  <c r="AL17" i="54"/>
  <c r="AL18" i="54" s="1"/>
  <c r="AL19" i="54" s="1"/>
  <c r="AD13" i="54"/>
  <c r="F10" i="54"/>
  <c r="F11" i="54" s="1"/>
  <c r="E10" i="54"/>
  <c r="E39" i="54" s="1"/>
  <c r="E41" i="54" s="1"/>
  <c r="D10" i="54"/>
  <c r="D11" i="54" s="1"/>
  <c r="C10" i="54"/>
  <c r="C11" i="54" s="1"/>
  <c r="AL8" i="54"/>
  <c r="AH8" i="54"/>
  <c r="AD8" i="54"/>
  <c r="F6" i="54"/>
  <c r="F8" i="54" s="1"/>
  <c r="E6" i="54"/>
  <c r="E8" i="54" s="1"/>
  <c r="D6" i="54"/>
  <c r="D8" i="54" s="1"/>
  <c r="C6" i="54"/>
  <c r="C8" i="54" s="1"/>
  <c r="G61" i="54" l="1"/>
  <c r="G64" i="54" s="1"/>
  <c r="M25" i="54"/>
  <c r="H72" i="57"/>
  <c r="H75" i="57" s="1"/>
  <c r="H77" i="57" s="1"/>
  <c r="H70" i="57"/>
  <c r="H73" i="57" s="1"/>
  <c r="H71" i="57"/>
  <c r="H74" i="57" s="1"/>
  <c r="C72" i="57"/>
  <c r="C75" i="57" s="1"/>
  <c r="C77" i="57" s="1"/>
  <c r="C70" i="57"/>
  <c r="C73" i="57" s="1"/>
  <c r="C71" i="57"/>
  <c r="C74" i="57" s="1"/>
  <c r="G71" i="57"/>
  <c r="G74" i="57" s="1"/>
  <c r="G72" i="57"/>
  <c r="G75" i="57" s="1"/>
  <c r="G77" i="57" s="1"/>
  <c r="G70" i="57"/>
  <c r="G73" i="57" s="1"/>
  <c r="I72" i="57"/>
  <c r="I75" i="57" s="1"/>
  <c r="I77" i="57" s="1"/>
  <c r="I70" i="57"/>
  <c r="I73" i="57" s="1"/>
  <c r="I71" i="57"/>
  <c r="I74" i="57" s="1"/>
  <c r="J71" i="57"/>
  <c r="J74" i="57" s="1"/>
  <c r="J72" i="57"/>
  <c r="J75" i="57" s="1"/>
  <c r="J77" i="57" s="1"/>
  <c r="J70" i="57"/>
  <c r="J73" i="57" s="1"/>
  <c r="E65" i="57"/>
  <c r="E57" i="57"/>
  <c r="J56" i="54"/>
  <c r="J55" i="54" s="1"/>
  <c r="I23" i="54"/>
  <c r="I32" i="54" s="1"/>
  <c r="E24" i="54"/>
  <c r="E27" i="54" s="1"/>
  <c r="K22" i="54"/>
  <c r="I31" i="54"/>
  <c r="F24" i="54"/>
  <c r="F27" i="54" s="1"/>
  <c r="F30" i="54" s="1"/>
  <c r="L22" i="54"/>
  <c r="J25" i="54"/>
  <c r="J27" i="54"/>
  <c r="J30" i="54" s="1"/>
  <c r="J32" i="54" s="1"/>
  <c r="G52" i="56"/>
  <c r="G46" i="56"/>
  <c r="G47" i="56" s="1"/>
  <c r="G48" i="56" s="1"/>
  <c r="C36" i="56"/>
  <c r="C35" i="56"/>
  <c r="I36" i="56"/>
  <c r="I35" i="56"/>
  <c r="C52" i="56"/>
  <c r="C46" i="56"/>
  <c r="C47" i="56" s="1"/>
  <c r="C48" i="56" s="1"/>
  <c r="H36" i="56"/>
  <c r="H35" i="56"/>
  <c r="G36" i="56"/>
  <c r="G35" i="56"/>
  <c r="H52" i="56"/>
  <c r="H46" i="56"/>
  <c r="H47" i="56" s="1"/>
  <c r="H48" i="56" s="1"/>
  <c r="J46" i="56"/>
  <c r="J47" i="56" s="1"/>
  <c r="J48" i="56" s="1"/>
  <c r="J52" i="56"/>
  <c r="I52" i="56"/>
  <c r="I46" i="56"/>
  <c r="I47" i="56" s="1"/>
  <c r="I48" i="56" s="1"/>
  <c r="E33" i="56"/>
  <c r="E43" i="56" s="1"/>
  <c r="E45" i="56"/>
  <c r="E32" i="56"/>
  <c r="E31" i="56"/>
  <c r="J36" i="56"/>
  <c r="J35" i="56"/>
  <c r="J65" i="55"/>
  <c r="J57" i="55"/>
  <c r="I35" i="55"/>
  <c r="I36" i="55"/>
  <c r="H46" i="55"/>
  <c r="H47" i="55" s="1"/>
  <c r="H48" i="55" s="1"/>
  <c r="H52" i="55"/>
  <c r="C46" i="55"/>
  <c r="C47" i="55" s="1"/>
  <c r="C48" i="55" s="1"/>
  <c r="C52" i="55"/>
  <c r="E36" i="55"/>
  <c r="E35" i="55"/>
  <c r="H36" i="55"/>
  <c r="H35" i="55"/>
  <c r="G36" i="55"/>
  <c r="G35" i="55"/>
  <c r="I52" i="55"/>
  <c r="I46" i="55"/>
  <c r="I47" i="55" s="1"/>
  <c r="I48" i="55" s="1"/>
  <c r="C36" i="55"/>
  <c r="C35" i="55"/>
  <c r="G46" i="55"/>
  <c r="G47" i="55" s="1"/>
  <c r="G48" i="55" s="1"/>
  <c r="G52" i="55"/>
  <c r="E52" i="55"/>
  <c r="E46" i="55"/>
  <c r="E47" i="55" s="1"/>
  <c r="E48" i="55" s="1"/>
  <c r="J61" i="54"/>
  <c r="J64" i="54" s="1"/>
  <c r="M56" i="54"/>
  <c r="M61" i="54" s="1"/>
  <c r="M64" i="54" s="1"/>
  <c r="M26" i="54"/>
  <c r="M28" i="54" s="1"/>
  <c r="M33" i="54" s="1"/>
  <c r="M43" i="54" s="1"/>
  <c r="G62" i="54"/>
  <c r="O28" i="54"/>
  <c r="O30" i="54"/>
  <c r="Q30" i="54"/>
  <c r="Q28" i="54"/>
  <c r="Q62" i="54"/>
  <c r="Q55" i="54"/>
  <c r="Q61" i="54"/>
  <c r="Q64" i="54" s="1"/>
  <c r="R62" i="54"/>
  <c r="R55" i="54"/>
  <c r="R61" i="54"/>
  <c r="R64" i="54" s="1"/>
  <c r="S28" i="54"/>
  <c r="S30" i="54"/>
  <c r="P61" i="54"/>
  <c r="P64" i="54" s="1"/>
  <c r="P62" i="54"/>
  <c r="P55" i="54"/>
  <c r="R30" i="54"/>
  <c r="R28" i="54"/>
  <c r="O62" i="54"/>
  <c r="O55" i="54"/>
  <c r="O61" i="54"/>
  <c r="O64" i="54" s="1"/>
  <c r="S62" i="54"/>
  <c r="S55" i="54"/>
  <c r="S61" i="54"/>
  <c r="S64" i="54" s="1"/>
  <c r="P30" i="54"/>
  <c r="P28" i="54"/>
  <c r="M36" i="54"/>
  <c r="M35" i="54"/>
  <c r="J31" i="54"/>
  <c r="I46" i="54"/>
  <c r="I47" i="54" s="1"/>
  <c r="I48" i="54" s="1"/>
  <c r="I52" i="54"/>
  <c r="M46" i="54"/>
  <c r="M47" i="54" s="1"/>
  <c r="M48" i="54" s="1"/>
  <c r="M52" i="54"/>
  <c r="M55" i="54"/>
  <c r="G45" i="54"/>
  <c r="G32" i="54"/>
  <c r="G33" i="54"/>
  <c r="G43" i="54" s="1"/>
  <c r="G31" i="54"/>
  <c r="C23" i="54"/>
  <c r="C26" i="54" s="1"/>
  <c r="D23" i="54"/>
  <c r="D56" i="54" s="1"/>
  <c r="AD37" i="54"/>
  <c r="Z39" i="54"/>
  <c r="Z40" i="54" s="1"/>
  <c r="C39" i="54"/>
  <c r="C41" i="54" s="1"/>
  <c r="AH9" i="54"/>
  <c r="AH49" i="54"/>
  <c r="E11" i="54"/>
  <c r="Z29" i="54"/>
  <c r="C24" i="54"/>
  <c r="C27" i="54" s="1"/>
  <c r="C30" i="54" s="1"/>
  <c r="E30" i="54"/>
  <c r="AH12" i="54"/>
  <c r="AH17" i="54" s="1"/>
  <c r="AH19" i="54" s="1"/>
  <c r="AH21" i="54" s="1"/>
  <c r="E23" i="54"/>
  <c r="AH77" i="54"/>
  <c r="D24" i="54"/>
  <c r="D27" i="54" s="1"/>
  <c r="D39" i="54"/>
  <c r="D41" i="54" s="1"/>
  <c r="AD40" i="54"/>
  <c r="AD41" i="54" s="1"/>
  <c r="AD42" i="54" s="1"/>
  <c r="AD43" i="54" s="1"/>
  <c r="AD44" i="54" s="1"/>
  <c r="F23" i="54"/>
  <c r="AH33" i="54"/>
  <c r="AH36" i="54" s="1"/>
  <c r="AH38" i="54" s="1"/>
  <c r="AH61" i="54"/>
  <c r="F39" i="54"/>
  <c r="F41" i="54" s="1"/>
  <c r="J45" i="54" l="1"/>
  <c r="J52" i="54" s="1"/>
  <c r="J62" i="54"/>
  <c r="I36" i="54"/>
  <c r="I35" i="54"/>
  <c r="I91" i="57"/>
  <c r="I85" i="57"/>
  <c r="I83" i="57"/>
  <c r="I89" i="57" s="1"/>
  <c r="G79" i="57"/>
  <c r="G94" i="57"/>
  <c r="C94" i="57"/>
  <c r="C79" i="57"/>
  <c r="E71" i="57"/>
  <c r="E74" i="57" s="1"/>
  <c r="E72" i="57"/>
  <c r="E75" i="57" s="1"/>
  <c r="E77" i="57" s="1"/>
  <c r="E70" i="57"/>
  <c r="E73" i="57" s="1"/>
  <c r="J90" i="57"/>
  <c r="J84" i="57"/>
  <c r="J82" i="57"/>
  <c r="J88" i="57" s="1"/>
  <c r="I90" i="57"/>
  <c r="I84" i="57"/>
  <c r="I82" i="57"/>
  <c r="I88" i="57" s="1"/>
  <c r="G91" i="57"/>
  <c r="G85" i="57"/>
  <c r="G83" i="57"/>
  <c r="G89" i="57" s="1"/>
  <c r="H91" i="57"/>
  <c r="H85" i="57"/>
  <c r="H83" i="57"/>
  <c r="H89" i="57" s="1"/>
  <c r="J94" i="57"/>
  <c r="J79" i="57"/>
  <c r="I94" i="57"/>
  <c r="I79" i="57"/>
  <c r="C91" i="57"/>
  <c r="C85" i="57"/>
  <c r="C83" i="57"/>
  <c r="C89" i="57" s="1"/>
  <c r="H90" i="57"/>
  <c r="H84" i="57"/>
  <c r="H82" i="57"/>
  <c r="H88" i="57" s="1"/>
  <c r="J91" i="57"/>
  <c r="J85" i="57"/>
  <c r="J83" i="57"/>
  <c r="J89" i="57" s="1"/>
  <c r="G90" i="57"/>
  <c r="G84" i="57"/>
  <c r="G82" i="57"/>
  <c r="G88" i="57" s="1"/>
  <c r="C90" i="57"/>
  <c r="C84" i="57"/>
  <c r="C82" i="57"/>
  <c r="C88" i="57" s="1"/>
  <c r="H79" i="57"/>
  <c r="H94" i="57"/>
  <c r="K27" i="54"/>
  <c r="K30" i="54" s="1"/>
  <c r="K23" i="54"/>
  <c r="L23" i="54"/>
  <c r="L27" i="54"/>
  <c r="I26" i="54"/>
  <c r="I56" i="54"/>
  <c r="I25" i="54"/>
  <c r="I28" i="54" s="1"/>
  <c r="I33" i="54" s="1"/>
  <c r="I43" i="54" s="1"/>
  <c r="J28" i="54"/>
  <c r="J33" i="54" s="1"/>
  <c r="J43" i="54" s="1"/>
  <c r="H65" i="56"/>
  <c r="H57" i="56"/>
  <c r="E35" i="56"/>
  <c r="E36" i="56"/>
  <c r="I65" i="56"/>
  <c r="I57" i="56"/>
  <c r="J57" i="56"/>
  <c r="J65" i="56"/>
  <c r="G57" i="56"/>
  <c r="G65" i="56"/>
  <c r="E52" i="56"/>
  <c r="E46" i="56"/>
  <c r="E47" i="56" s="1"/>
  <c r="E48" i="56" s="1"/>
  <c r="C57" i="56"/>
  <c r="C65" i="56"/>
  <c r="E57" i="55"/>
  <c r="E65" i="55"/>
  <c r="C65" i="55"/>
  <c r="C57" i="55"/>
  <c r="H57" i="55"/>
  <c r="H65" i="55"/>
  <c r="G65" i="55"/>
  <c r="G57" i="55"/>
  <c r="I57" i="55"/>
  <c r="I65" i="55"/>
  <c r="J72" i="55"/>
  <c r="J75" i="55" s="1"/>
  <c r="J77" i="55" s="1"/>
  <c r="J71" i="55"/>
  <c r="J74" i="55" s="1"/>
  <c r="J70" i="55"/>
  <c r="J73" i="55" s="1"/>
  <c r="M62" i="54"/>
  <c r="P45" i="54"/>
  <c r="P32" i="54"/>
  <c r="P31" i="54"/>
  <c r="P33" i="54"/>
  <c r="P43" i="54" s="1"/>
  <c r="R33" i="54"/>
  <c r="R43" i="54" s="1"/>
  <c r="R45" i="54"/>
  <c r="R32" i="54"/>
  <c r="R31" i="54"/>
  <c r="S33" i="54"/>
  <c r="S43" i="54" s="1"/>
  <c r="S45" i="54"/>
  <c r="S32" i="54"/>
  <c r="S31" i="54"/>
  <c r="Q31" i="54"/>
  <c r="Q33" i="54"/>
  <c r="Q43" i="54" s="1"/>
  <c r="Q45" i="54"/>
  <c r="Q32" i="54"/>
  <c r="O33" i="54"/>
  <c r="O43" i="54" s="1"/>
  <c r="O45" i="54"/>
  <c r="O32" i="54"/>
  <c r="O31" i="54"/>
  <c r="I65" i="54"/>
  <c r="I57" i="54"/>
  <c r="J46" i="54"/>
  <c r="J47" i="54" s="1"/>
  <c r="J48" i="54" s="1"/>
  <c r="M65" i="54"/>
  <c r="M57" i="54"/>
  <c r="J36" i="54"/>
  <c r="J35" i="54"/>
  <c r="C25" i="54"/>
  <c r="C28" i="54" s="1"/>
  <c r="C33" i="54" s="1"/>
  <c r="C43" i="54" s="1"/>
  <c r="G36" i="54"/>
  <c r="G35" i="54"/>
  <c r="G52" i="54"/>
  <c r="G46" i="54"/>
  <c r="G47" i="54" s="1"/>
  <c r="G48" i="54" s="1"/>
  <c r="D26" i="54"/>
  <c r="D25" i="54"/>
  <c r="C56" i="54"/>
  <c r="C62" i="54" s="1"/>
  <c r="AH22" i="54"/>
  <c r="E25" i="54"/>
  <c r="E56" i="54"/>
  <c r="E26" i="54"/>
  <c r="C32" i="54"/>
  <c r="C45" i="54"/>
  <c r="C31" i="54"/>
  <c r="D30" i="54"/>
  <c r="F32" i="54"/>
  <c r="F45" i="54"/>
  <c r="F31" i="54"/>
  <c r="E45" i="54"/>
  <c r="E31" i="54"/>
  <c r="E32" i="54"/>
  <c r="AH40" i="54"/>
  <c r="AH41" i="54"/>
  <c r="F56" i="54"/>
  <c r="F26" i="54"/>
  <c r="F25" i="54"/>
  <c r="D61" i="54"/>
  <c r="D64" i="54" s="1"/>
  <c r="D55" i="54"/>
  <c r="D62" i="54"/>
  <c r="E91" i="57" l="1"/>
  <c r="E85" i="57"/>
  <c r="E83" i="57"/>
  <c r="E89" i="57" s="1"/>
  <c r="E90" i="57"/>
  <c r="E84" i="57"/>
  <c r="E82" i="57"/>
  <c r="E88" i="57" s="1"/>
  <c r="E94" i="57"/>
  <c r="E79" i="57"/>
  <c r="L30" i="54"/>
  <c r="L56" i="54"/>
  <c r="L25" i="54"/>
  <c r="L26" i="54"/>
  <c r="I61" i="54"/>
  <c r="I64" i="54" s="1"/>
  <c r="I62" i="54"/>
  <c r="I55" i="54"/>
  <c r="K56" i="54"/>
  <c r="K26" i="54"/>
  <c r="K25" i="54"/>
  <c r="K31" i="54"/>
  <c r="K45" i="54"/>
  <c r="K32" i="54"/>
  <c r="C71" i="56"/>
  <c r="C74" i="56" s="1"/>
  <c r="C72" i="56"/>
  <c r="C75" i="56" s="1"/>
  <c r="C77" i="56" s="1"/>
  <c r="C70" i="56"/>
  <c r="C73" i="56" s="1"/>
  <c r="E65" i="56"/>
  <c r="E57" i="56"/>
  <c r="I72" i="56"/>
  <c r="I75" i="56" s="1"/>
  <c r="I77" i="56" s="1"/>
  <c r="I71" i="56"/>
  <c r="I74" i="56" s="1"/>
  <c r="I70" i="56"/>
  <c r="I73" i="56" s="1"/>
  <c r="H72" i="56"/>
  <c r="H75" i="56" s="1"/>
  <c r="H77" i="56" s="1"/>
  <c r="H70" i="56"/>
  <c r="H73" i="56" s="1"/>
  <c r="H71" i="56"/>
  <c r="H74" i="56" s="1"/>
  <c r="G72" i="56"/>
  <c r="G75" i="56" s="1"/>
  <c r="G77" i="56" s="1"/>
  <c r="G71" i="56"/>
  <c r="G74" i="56" s="1"/>
  <c r="G70" i="56"/>
  <c r="G73" i="56" s="1"/>
  <c r="J72" i="56"/>
  <c r="J75" i="56" s="1"/>
  <c r="J77" i="56" s="1"/>
  <c r="J71" i="56"/>
  <c r="J74" i="56" s="1"/>
  <c r="J70" i="56"/>
  <c r="J73" i="56" s="1"/>
  <c r="J90" i="55"/>
  <c r="J84" i="55"/>
  <c r="J82" i="55"/>
  <c r="J88" i="55" s="1"/>
  <c r="G72" i="55"/>
  <c r="G75" i="55" s="1"/>
  <c r="G77" i="55" s="1"/>
  <c r="G70" i="55"/>
  <c r="G73" i="55" s="1"/>
  <c r="G71" i="55"/>
  <c r="G74" i="55" s="1"/>
  <c r="E72" i="55"/>
  <c r="E75" i="55" s="1"/>
  <c r="E77" i="55" s="1"/>
  <c r="E70" i="55"/>
  <c r="E73" i="55" s="1"/>
  <c r="E71" i="55"/>
  <c r="E74" i="55" s="1"/>
  <c r="J91" i="55"/>
  <c r="J85" i="55"/>
  <c r="J83" i="55"/>
  <c r="J89" i="55" s="1"/>
  <c r="I71" i="55"/>
  <c r="I74" i="55" s="1"/>
  <c r="I72" i="55"/>
  <c r="I75" i="55" s="1"/>
  <c r="I77" i="55" s="1"/>
  <c r="I70" i="55"/>
  <c r="I73" i="55" s="1"/>
  <c r="J94" i="55"/>
  <c r="J79" i="55"/>
  <c r="C72" i="55"/>
  <c r="C75" i="55" s="1"/>
  <c r="C77" i="55" s="1"/>
  <c r="C71" i="55"/>
  <c r="C74" i="55" s="1"/>
  <c r="C70" i="55"/>
  <c r="C73" i="55" s="1"/>
  <c r="H71" i="55"/>
  <c r="H74" i="55" s="1"/>
  <c r="H70" i="55"/>
  <c r="H73" i="55" s="1"/>
  <c r="H72" i="55"/>
  <c r="H75" i="55" s="1"/>
  <c r="H77" i="55" s="1"/>
  <c r="O36" i="54"/>
  <c r="O35" i="54"/>
  <c r="S46" i="54"/>
  <c r="S47" i="54" s="1"/>
  <c r="S48" i="54" s="1"/>
  <c r="S52" i="54"/>
  <c r="R46" i="54"/>
  <c r="R47" i="54" s="1"/>
  <c r="R48" i="54" s="1"/>
  <c r="R52" i="54"/>
  <c r="O46" i="54"/>
  <c r="O47" i="54" s="1"/>
  <c r="O48" i="54" s="1"/>
  <c r="O52" i="54"/>
  <c r="P36" i="54"/>
  <c r="P35" i="54"/>
  <c r="Q35" i="54"/>
  <c r="Q36" i="54"/>
  <c r="P52" i="54"/>
  <c r="P46" i="54"/>
  <c r="P47" i="54" s="1"/>
  <c r="P48" i="54" s="1"/>
  <c r="Q46" i="54"/>
  <c r="Q47" i="54" s="1"/>
  <c r="Q48" i="54" s="1"/>
  <c r="Q52" i="54"/>
  <c r="S36" i="54"/>
  <c r="S35" i="54"/>
  <c r="R36" i="54"/>
  <c r="R35" i="54"/>
  <c r="I70" i="54"/>
  <c r="I72" i="54"/>
  <c r="I75" i="54" s="1"/>
  <c r="I77" i="54" s="1"/>
  <c r="I71" i="54"/>
  <c r="I74" i="54" s="1"/>
  <c r="J65" i="54"/>
  <c r="J57" i="54"/>
  <c r="M70" i="54"/>
  <c r="M73" i="54" s="1"/>
  <c r="M72" i="54"/>
  <c r="M75" i="54" s="1"/>
  <c r="M77" i="54" s="1"/>
  <c r="M71" i="54"/>
  <c r="M74" i="54" s="1"/>
  <c r="C55" i="54"/>
  <c r="G65" i="54"/>
  <c r="G57" i="54"/>
  <c r="D28" i="54"/>
  <c r="D33" i="54" s="1"/>
  <c r="D43" i="54" s="1"/>
  <c r="C61" i="54"/>
  <c r="C64" i="54" s="1"/>
  <c r="F28" i="54"/>
  <c r="F33" i="54" s="1"/>
  <c r="F43" i="54" s="1"/>
  <c r="E28" i="54"/>
  <c r="E33" i="54" s="1"/>
  <c r="E43" i="54" s="1"/>
  <c r="F62" i="54"/>
  <c r="F55" i="54"/>
  <c r="F61" i="54"/>
  <c r="F64" i="54" s="1"/>
  <c r="D45" i="54"/>
  <c r="D31" i="54"/>
  <c r="D32" i="54"/>
  <c r="F36" i="54"/>
  <c r="F35" i="54"/>
  <c r="E35" i="54"/>
  <c r="E36" i="54"/>
  <c r="E52" i="54"/>
  <c r="E46" i="54"/>
  <c r="E47" i="54" s="1"/>
  <c r="E48" i="54" s="1"/>
  <c r="E61" i="54"/>
  <c r="E64" i="54" s="1"/>
  <c r="E55" i="54"/>
  <c r="E62" i="54"/>
  <c r="C52" i="54"/>
  <c r="C46" i="54"/>
  <c r="C47" i="54" s="1"/>
  <c r="C48" i="54" s="1"/>
  <c r="F52" i="54"/>
  <c r="F46" i="54"/>
  <c r="F47" i="54" s="1"/>
  <c r="F48" i="54" s="1"/>
  <c r="C36" i="54"/>
  <c r="C35" i="54"/>
  <c r="L28" i="54" l="1"/>
  <c r="L33" i="54"/>
  <c r="L43" i="54" s="1"/>
  <c r="I73" i="54"/>
  <c r="I84" i="54" s="1"/>
  <c r="K28" i="54"/>
  <c r="K33" i="54" s="1"/>
  <c r="K43" i="54" s="1"/>
  <c r="L62" i="54"/>
  <c r="L55" i="54"/>
  <c r="L61" i="54"/>
  <c r="L64" i="54" s="1"/>
  <c r="K35" i="54"/>
  <c r="K36" i="54"/>
  <c r="K46" i="54"/>
  <c r="K47" i="54" s="1"/>
  <c r="K48" i="54" s="1"/>
  <c r="K52" i="54"/>
  <c r="K62" i="54"/>
  <c r="K55" i="54"/>
  <c r="K61" i="54"/>
  <c r="K64" i="54" s="1"/>
  <c r="L31" i="54"/>
  <c r="L32" i="54"/>
  <c r="L45" i="54"/>
  <c r="J94" i="56"/>
  <c r="J79" i="56"/>
  <c r="H94" i="56"/>
  <c r="H79" i="56"/>
  <c r="E72" i="56"/>
  <c r="E75" i="56" s="1"/>
  <c r="E77" i="56" s="1"/>
  <c r="E71" i="56"/>
  <c r="E74" i="56" s="1"/>
  <c r="E70" i="56"/>
  <c r="E73" i="56" s="1"/>
  <c r="G90" i="56"/>
  <c r="G84" i="56"/>
  <c r="G82" i="56"/>
  <c r="G88" i="56" s="1"/>
  <c r="I90" i="56"/>
  <c r="I84" i="56"/>
  <c r="I82" i="56"/>
  <c r="I88" i="56" s="1"/>
  <c r="C91" i="56"/>
  <c r="C85" i="56"/>
  <c r="C83" i="56"/>
  <c r="C89" i="56" s="1"/>
  <c r="J90" i="56"/>
  <c r="J84" i="56"/>
  <c r="J82" i="56"/>
  <c r="J88" i="56" s="1"/>
  <c r="I91" i="56"/>
  <c r="I85" i="56"/>
  <c r="I83" i="56"/>
  <c r="I89" i="56" s="1"/>
  <c r="G83" i="56"/>
  <c r="G89" i="56" s="1"/>
  <c r="G91" i="56"/>
  <c r="G85" i="56"/>
  <c r="H91" i="56"/>
  <c r="H85" i="56"/>
  <c r="H83" i="56"/>
  <c r="H89" i="56" s="1"/>
  <c r="J91" i="56"/>
  <c r="J85" i="56"/>
  <c r="J83" i="56"/>
  <c r="J89" i="56" s="1"/>
  <c r="G94" i="56"/>
  <c r="G79" i="56"/>
  <c r="H90" i="56"/>
  <c r="H84" i="56"/>
  <c r="H82" i="56"/>
  <c r="H88" i="56" s="1"/>
  <c r="I79" i="56"/>
  <c r="I94" i="56"/>
  <c r="C90" i="56"/>
  <c r="C84" i="56"/>
  <c r="C82" i="56"/>
  <c r="C88" i="56" s="1"/>
  <c r="C94" i="56"/>
  <c r="C79" i="56"/>
  <c r="H90" i="55"/>
  <c r="H84" i="55"/>
  <c r="H82" i="55"/>
  <c r="H88" i="55" s="1"/>
  <c r="C94" i="55"/>
  <c r="C79" i="55"/>
  <c r="I91" i="55"/>
  <c r="I85" i="55"/>
  <c r="I83" i="55"/>
  <c r="I89" i="55" s="1"/>
  <c r="E94" i="55"/>
  <c r="E79" i="55"/>
  <c r="G91" i="55"/>
  <c r="G85" i="55"/>
  <c r="G83" i="55"/>
  <c r="G89" i="55" s="1"/>
  <c r="H91" i="55"/>
  <c r="H85" i="55"/>
  <c r="H83" i="55"/>
  <c r="H89" i="55" s="1"/>
  <c r="G90" i="55"/>
  <c r="G84" i="55"/>
  <c r="G82" i="55"/>
  <c r="G88" i="55" s="1"/>
  <c r="C90" i="55"/>
  <c r="C84" i="55"/>
  <c r="C82" i="55"/>
  <c r="C88" i="55" s="1"/>
  <c r="I90" i="55"/>
  <c r="I84" i="55"/>
  <c r="I82" i="55"/>
  <c r="I88" i="55" s="1"/>
  <c r="E91" i="55"/>
  <c r="E85" i="55"/>
  <c r="E83" i="55"/>
  <c r="E89" i="55" s="1"/>
  <c r="G94" i="55"/>
  <c r="G79" i="55"/>
  <c r="H94" i="55"/>
  <c r="H79" i="55"/>
  <c r="C91" i="55"/>
  <c r="C85" i="55"/>
  <c r="C83" i="55"/>
  <c r="C89" i="55" s="1"/>
  <c r="I94" i="55"/>
  <c r="I79" i="55"/>
  <c r="E90" i="55"/>
  <c r="E84" i="55"/>
  <c r="E82" i="55"/>
  <c r="E88" i="55" s="1"/>
  <c r="P65" i="54"/>
  <c r="P57" i="54"/>
  <c r="Q65" i="54"/>
  <c r="Q57" i="54"/>
  <c r="O65" i="54"/>
  <c r="O57" i="54"/>
  <c r="S65" i="54"/>
  <c r="S57" i="54"/>
  <c r="R65" i="54"/>
  <c r="R57" i="54"/>
  <c r="M91" i="54"/>
  <c r="M85" i="54"/>
  <c r="M83" i="54"/>
  <c r="M89" i="54" s="1"/>
  <c r="J72" i="54"/>
  <c r="J75" i="54" s="1"/>
  <c r="J77" i="54" s="1"/>
  <c r="J71" i="54"/>
  <c r="J74" i="54" s="1"/>
  <c r="J70" i="54"/>
  <c r="J73" i="54" s="1"/>
  <c r="I91" i="54"/>
  <c r="I85" i="54"/>
  <c r="I83" i="54"/>
  <c r="I89" i="54" s="1"/>
  <c r="I94" i="54"/>
  <c r="I79" i="54"/>
  <c r="M94" i="54"/>
  <c r="M79" i="54"/>
  <c r="M82" i="54"/>
  <c r="M88" i="54" s="1"/>
  <c r="M90" i="54"/>
  <c r="M84" i="54"/>
  <c r="I82" i="54"/>
  <c r="I88" i="54" s="1"/>
  <c r="I90" i="54"/>
  <c r="G70" i="54"/>
  <c r="G73" i="54" s="1"/>
  <c r="G71" i="54"/>
  <c r="G74" i="54" s="1"/>
  <c r="G72" i="54"/>
  <c r="G75" i="54" s="1"/>
  <c r="G77" i="54" s="1"/>
  <c r="C65" i="54"/>
  <c r="C57" i="54"/>
  <c r="D36" i="54"/>
  <c r="D35" i="54"/>
  <c r="E57" i="54"/>
  <c r="E65" i="54"/>
  <c r="F65" i="54"/>
  <c r="F57" i="54"/>
  <c r="D52" i="54"/>
  <c r="D46" i="54"/>
  <c r="D47" i="54" s="1"/>
  <c r="D48" i="54" s="1"/>
  <c r="L36" i="54" l="1"/>
  <c r="L35" i="54"/>
  <c r="K65" i="54"/>
  <c r="K57" i="54"/>
  <c r="L46" i="54"/>
  <c r="L47" i="54" s="1"/>
  <c r="L48" i="54" s="1"/>
  <c r="L52" i="54"/>
  <c r="E90" i="56"/>
  <c r="E84" i="56"/>
  <c r="E82" i="56"/>
  <c r="E88" i="56" s="1"/>
  <c r="E91" i="56"/>
  <c r="E85" i="56"/>
  <c r="E83" i="56"/>
  <c r="E89" i="56" s="1"/>
  <c r="E79" i="56"/>
  <c r="E94" i="56"/>
  <c r="Q72" i="54"/>
  <c r="Q75" i="54" s="1"/>
  <c r="Q77" i="54" s="1"/>
  <c r="Q71" i="54"/>
  <c r="Q74" i="54" s="1"/>
  <c r="Q70" i="54"/>
  <c r="Q73" i="54" s="1"/>
  <c r="S70" i="54"/>
  <c r="S73" i="54" s="1"/>
  <c r="S72" i="54"/>
  <c r="S75" i="54" s="1"/>
  <c r="S77" i="54" s="1"/>
  <c r="S71" i="54"/>
  <c r="S74" i="54" s="1"/>
  <c r="R71" i="54"/>
  <c r="R74" i="54" s="1"/>
  <c r="R70" i="54"/>
  <c r="R73" i="54" s="1"/>
  <c r="R72" i="54"/>
  <c r="R75" i="54" s="1"/>
  <c r="R77" i="54" s="1"/>
  <c r="O70" i="54"/>
  <c r="O73" i="54" s="1"/>
  <c r="O72" i="54"/>
  <c r="O75" i="54" s="1"/>
  <c r="O77" i="54" s="1"/>
  <c r="O71" i="54"/>
  <c r="O74" i="54" s="1"/>
  <c r="P72" i="54"/>
  <c r="P75" i="54" s="1"/>
  <c r="P77" i="54" s="1"/>
  <c r="P71" i="54"/>
  <c r="P74" i="54" s="1"/>
  <c r="P70" i="54"/>
  <c r="P73" i="54" s="1"/>
  <c r="J79" i="54"/>
  <c r="J94" i="54"/>
  <c r="J90" i="54"/>
  <c r="J84" i="54"/>
  <c r="J82" i="54"/>
  <c r="J88" i="54" s="1"/>
  <c r="J91" i="54"/>
  <c r="J85" i="54"/>
  <c r="J83" i="54"/>
  <c r="J89" i="54" s="1"/>
  <c r="G82" i="54"/>
  <c r="G88" i="54" s="1"/>
  <c r="G90" i="54"/>
  <c r="G84" i="54"/>
  <c r="G91" i="54"/>
  <c r="G85" i="54"/>
  <c r="G83" i="54"/>
  <c r="G89" i="54" s="1"/>
  <c r="G79" i="54"/>
  <c r="G94" i="54"/>
  <c r="C70" i="54"/>
  <c r="C73" i="54" s="1"/>
  <c r="C72" i="54"/>
  <c r="C75" i="54" s="1"/>
  <c r="C77" i="54" s="1"/>
  <c r="C71" i="54"/>
  <c r="C74" i="54" s="1"/>
  <c r="D65" i="54"/>
  <c r="D57" i="54"/>
  <c r="F71" i="54"/>
  <c r="F74" i="54" s="1"/>
  <c r="F70" i="54"/>
  <c r="F73" i="54" s="1"/>
  <c r="F72" i="54"/>
  <c r="F75" i="54" s="1"/>
  <c r="F77" i="54" s="1"/>
  <c r="E72" i="54"/>
  <c r="E75" i="54" s="1"/>
  <c r="E77" i="54" s="1"/>
  <c r="E71" i="54"/>
  <c r="E74" i="54" s="1"/>
  <c r="E70" i="54"/>
  <c r="E73" i="54" s="1"/>
  <c r="K72" i="54" l="1"/>
  <c r="K75" i="54" s="1"/>
  <c r="K77" i="54" s="1"/>
  <c r="K71" i="54"/>
  <c r="K74" i="54" s="1"/>
  <c r="K70" i="54"/>
  <c r="K73" i="54" s="1"/>
  <c r="L65" i="54"/>
  <c r="L57" i="54"/>
  <c r="R94" i="54"/>
  <c r="R79" i="54"/>
  <c r="O91" i="54"/>
  <c r="O85" i="54"/>
  <c r="O83" i="54"/>
  <c r="O89" i="54" s="1"/>
  <c r="R82" i="54"/>
  <c r="R88" i="54" s="1"/>
  <c r="R90" i="54"/>
  <c r="R84" i="54"/>
  <c r="S82" i="54"/>
  <c r="S88" i="54" s="1"/>
  <c r="S90" i="54"/>
  <c r="S84" i="54"/>
  <c r="O94" i="54"/>
  <c r="O79" i="54"/>
  <c r="R83" i="54"/>
  <c r="R89" i="54" s="1"/>
  <c r="R91" i="54"/>
  <c r="R85" i="54"/>
  <c r="Q90" i="54"/>
  <c r="Q84" i="54"/>
  <c r="Q82" i="54"/>
  <c r="Q88" i="54" s="1"/>
  <c r="P90" i="54"/>
  <c r="P84" i="54"/>
  <c r="P82" i="54"/>
  <c r="P88" i="54" s="1"/>
  <c r="P91" i="54"/>
  <c r="P85" i="54"/>
  <c r="P83" i="54"/>
  <c r="P89" i="54" s="1"/>
  <c r="O82" i="54"/>
  <c r="O88" i="54" s="1"/>
  <c r="O90" i="54"/>
  <c r="O84" i="54"/>
  <c r="S91" i="54"/>
  <c r="S85" i="54"/>
  <c r="S83" i="54"/>
  <c r="S89" i="54" s="1"/>
  <c r="Q83" i="54"/>
  <c r="Q89" i="54" s="1"/>
  <c r="Q91" i="54"/>
  <c r="Q85" i="54"/>
  <c r="P79" i="54"/>
  <c r="P94" i="54"/>
  <c r="S94" i="54"/>
  <c r="S79" i="54"/>
  <c r="Q94" i="54"/>
  <c r="Q79" i="54"/>
  <c r="F94" i="54"/>
  <c r="F79" i="54"/>
  <c r="F82" i="54"/>
  <c r="F88" i="54" s="1"/>
  <c r="F84" i="54"/>
  <c r="F90" i="54"/>
  <c r="F85" i="54"/>
  <c r="F91" i="54"/>
  <c r="F83" i="54"/>
  <c r="F89" i="54" s="1"/>
  <c r="C91" i="54"/>
  <c r="C83" i="54"/>
  <c r="C89" i="54" s="1"/>
  <c r="C85" i="54"/>
  <c r="E94" i="54"/>
  <c r="E79" i="54"/>
  <c r="D70" i="54"/>
  <c r="D73" i="54" s="1"/>
  <c r="D72" i="54"/>
  <c r="D75" i="54" s="1"/>
  <c r="D77" i="54" s="1"/>
  <c r="D71" i="54"/>
  <c r="D74" i="54" s="1"/>
  <c r="C79" i="54"/>
  <c r="C94" i="54"/>
  <c r="E83" i="54"/>
  <c r="E89" i="54" s="1"/>
  <c r="E85" i="54"/>
  <c r="E91" i="54"/>
  <c r="E90" i="54"/>
  <c r="E82" i="54"/>
  <c r="E88" i="54" s="1"/>
  <c r="E84" i="54"/>
  <c r="C84" i="54"/>
  <c r="C82" i="54"/>
  <c r="C88" i="54" s="1"/>
  <c r="C90" i="54"/>
  <c r="K94" i="54" l="1"/>
  <c r="K79" i="54"/>
  <c r="L71" i="54"/>
  <c r="L74" i="54" s="1"/>
  <c r="L70" i="54"/>
  <c r="L73" i="54" s="1"/>
  <c r="L72" i="54"/>
  <c r="L75" i="54" s="1"/>
  <c r="L77" i="54" s="1"/>
  <c r="K84" i="54"/>
  <c r="K82" i="54"/>
  <c r="K88" i="54" s="1"/>
  <c r="K90" i="54"/>
  <c r="K83" i="54"/>
  <c r="K89" i="54" s="1"/>
  <c r="K91" i="54"/>
  <c r="K85" i="54"/>
  <c r="D90" i="54"/>
  <c r="D82" i="54"/>
  <c r="D88" i="54" s="1"/>
  <c r="D84" i="54"/>
  <c r="D91" i="54"/>
  <c r="D83" i="54"/>
  <c r="D89" i="54" s="1"/>
  <c r="D85" i="54"/>
  <c r="D79" i="54"/>
  <c r="D94" i="54"/>
  <c r="L90" i="54" l="1"/>
  <c r="L84" i="54"/>
  <c r="L82" i="54"/>
  <c r="L88" i="54" s="1"/>
  <c r="L83" i="54"/>
  <c r="L89" i="54" s="1"/>
  <c r="L91" i="54"/>
  <c r="L85" i="54"/>
  <c r="L79" i="54"/>
  <c r="L94" i="54"/>
  <c r="L22" i="44" l="1"/>
  <c r="K22" i="44"/>
  <c r="L19" i="44"/>
  <c r="K19" i="44"/>
  <c r="L18" i="44"/>
  <c r="K18" i="44"/>
  <c r="J41" i="45"/>
  <c r="D41" i="45"/>
  <c r="E41" i="45"/>
  <c r="C41" i="45"/>
  <c r="F41" i="45"/>
  <c r="G41" i="45"/>
  <c r="O41" i="45"/>
  <c r="E43" i="46"/>
  <c r="E25" i="46"/>
  <c r="E26" i="46" s="1"/>
  <c r="E9" i="46"/>
  <c r="F11" i="46" s="1"/>
  <c r="F12" i="46" s="1"/>
  <c r="J47" i="45"/>
  <c r="F47" i="45"/>
  <c r="D47" i="45"/>
  <c r="E47" i="45"/>
  <c r="C47" i="45"/>
  <c r="O47" i="45"/>
  <c r="O46" i="45"/>
  <c r="J46" i="45"/>
  <c r="F46" i="45"/>
  <c r="E46" i="45"/>
  <c r="D46" i="45"/>
  <c r="C46" i="45"/>
  <c r="G46" i="45"/>
  <c r="J45" i="45"/>
  <c r="D45" i="45"/>
  <c r="E45" i="45"/>
  <c r="C45" i="45"/>
  <c r="J44" i="45"/>
  <c r="F44" i="45"/>
  <c r="D44" i="45"/>
  <c r="E44" i="45"/>
  <c r="C44" i="45"/>
  <c r="O44" i="45"/>
  <c r="O43" i="45"/>
  <c r="J43" i="45"/>
  <c r="F43" i="45"/>
  <c r="E43" i="45"/>
  <c r="D43" i="45"/>
  <c r="C43" i="45"/>
  <c r="G43" i="45"/>
  <c r="O42" i="45"/>
  <c r="J42" i="45"/>
  <c r="F42" i="45"/>
  <c r="D42" i="45"/>
  <c r="E42" i="45"/>
  <c r="C42" i="45"/>
  <c r="G42" i="45"/>
  <c r="J40" i="45"/>
  <c r="D40" i="45"/>
  <c r="E40" i="45"/>
  <c r="C40" i="45"/>
  <c r="J39" i="45"/>
  <c r="F39" i="45"/>
  <c r="D39" i="45"/>
  <c r="E39" i="45"/>
  <c r="C39" i="45"/>
  <c r="O39" i="45"/>
  <c r="O38" i="45"/>
  <c r="J38" i="45"/>
  <c r="F38" i="45"/>
  <c r="E38" i="45"/>
  <c r="D38" i="45"/>
  <c r="C38" i="45"/>
  <c r="G38" i="45"/>
  <c r="O37" i="45"/>
  <c r="J37" i="45"/>
  <c r="F37" i="45"/>
  <c r="D37" i="45"/>
  <c r="E37" i="45"/>
  <c r="C37" i="45"/>
  <c r="G37" i="45"/>
  <c r="J36" i="45"/>
  <c r="D36" i="45"/>
  <c r="E36" i="45"/>
  <c r="C36" i="45"/>
  <c r="J35" i="45"/>
  <c r="F35" i="45"/>
  <c r="D35" i="45"/>
  <c r="E35" i="45"/>
  <c r="C35" i="45"/>
  <c r="O35" i="45"/>
  <c r="O34" i="45"/>
  <c r="J34" i="45"/>
  <c r="F34" i="45"/>
  <c r="E34" i="45"/>
  <c r="D34" i="45"/>
  <c r="C34" i="45"/>
  <c r="G34" i="45"/>
  <c r="O33" i="45"/>
  <c r="J33" i="45"/>
  <c r="F33" i="45"/>
  <c r="D33" i="45"/>
  <c r="E33" i="45"/>
  <c r="C33" i="45"/>
  <c r="G33" i="45"/>
  <c r="J32" i="45"/>
  <c r="G32" i="45"/>
  <c r="D32" i="45"/>
  <c r="E32" i="45"/>
  <c r="C32" i="45"/>
  <c r="J31" i="45"/>
  <c r="F31" i="45"/>
  <c r="D31" i="45"/>
  <c r="E31" i="45"/>
  <c r="C31" i="45"/>
  <c r="O31" i="45"/>
  <c r="O30" i="45"/>
  <c r="J30" i="45"/>
  <c r="G30" i="45"/>
  <c r="D30" i="45"/>
  <c r="E30" i="45"/>
  <c r="C30" i="45"/>
  <c r="J29" i="45"/>
  <c r="D29" i="45"/>
  <c r="E29" i="45"/>
  <c r="C29" i="45"/>
  <c r="J28" i="45"/>
  <c r="D28" i="45"/>
  <c r="E28" i="45"/>
  <c r="C28" i="45"/>
  <c r="O28" i="45"/>
  <c r="O27" i="45"/>
  <c r="J27" i="45"/>
  <c r="F27" i="45"/>
  <c r="E27" i="45"/>
  <c r="D27" i="45"/>
  <c r="C27" i="45"/>
  <c r="G27" i="45"/>
  <c r="O26" i="45"/>
  <c r="J26" i="45"/>
  <c r="F26" i="45"/>
  <c r="E26" i="45"/>
  <c r="D26" i="45"/>
  <c r="C26" i="45"/>
  <c r="G26" i="45"/>
  <c r="J25" i="45"/>
  <c r="D25" i="45"/>
  <c r="E25" i="45"/>
  <c r="C25" i="45"/>
  <c r="J24" i="45"/>
  <c r="G24" i="45"/>
  <c r="F24" i="45"/>
  <c r="D24" i="45"/>
  <c r="E24" i="45"/>
  <c r="C24" i="45"/>
  <c r="O24" i="45"/>
  <c r="O23" i="45"/>
  <c r="J23" i="45"/>
  <c r="F23" i="45"/>
  <c r="E23" i="45"/>
  <c r="D23" i="45"/>
  <c r="C23" i="45"/>
  <c r="G23" i="45"/>
  <c r="O22" i="45"/>
  <c r="J22" i="45"/>
  <c r="F22" i="45"/>
  <c r="D22" i="45"/>
  <c r="E22" i="45"/>
  <c r="C22" i="45"/>
  <c r="G22" i="45"/>
  <c r="J21" i="45"/>
  <c r="G21" i="45"/>
  <c r="D21" i="45"/>
  <c r="E21" i="45"/>
  <c r="C21" i="45"/>
  <c r="J20" i="45"/>
  <c r="F20" i="45"/>
  <c r="D20" i="45"/>
  <c r="E20" i="45"/>
  <c r="C20" i="45"/>
  <c r="O20" i="45"/>
  <c r="O19" i="45"/>
  <c r="J19" i="45"/>
  <c r="F19" i="45"/>
  <c r="E19" i="45"/>
  <c r="D19" i="45"/>
  <c r="C19" i="45"/>
  <c r="G19" i="45"/>
  <c r="O18" i="45"/>
  <c r="J18" i="45"/>
  <c r="F18" i="45"/>
  <c r="E18" i="45"/>
  <c r="D18" i="45"/>
  <c r="C18" i="45"/>
  <c r="G18" i="45"/>
  <c r="J17" i="45"/>
  <c r="G17" i="45"/>
  <c r="D17" i="45"/>
  <c r="E17" i="45"/>
  <c r="C17" i="45"/>
  <c r="J16" i="45"/>
  <c r="G16" i="45"/>
  <c r="D16" i="45"/>
  <c r="E16" i="45"/>
  <c r="C16" i="45"/>
  <c r="O16" i="45"/>
  <c r="O15" i="45"/>
  <c r="J15" i="45"/>
  <c r="F15" i="45"/>
  <c r="E15" i="45"/>
  <c r="D15" i="45"/>
  <c r="C15" i="45"/>
  <c r="G15" i="45"/>
  <c r="O14" i="45"/>
  <c r="J14" i="45"/>
  <c r="F14" i="45"/>
  <c r="D14" i="45"/>
  <c r="E14" i="45"/>
  <c r="C14" i="45"/>
  <c r="G14" i="45"/>
  <c r="J13" i="45"/>
  <c r="D13" i="45"/>
  <c r="E13" i="45"/>
  <c r="C13" i="45"/>
  <c r="J12" i="45"/>
  <c r="D12" i="45"/>
  <c r="E12" i="45"/>
  <c r="C12" i="45"/>
  <c r="O12" i="45"/>
  <c r="O11" i="45"/>
  <c r="J11" i="45"/>
  <c r="F11" i="45"/>
  <c r="E11" i="45"/>
  <c r="D11" i="45"/>
  <c r="C11" i="45"/>
  <c r="G11" i="45"/>
  <c r="O10" i="45"/>
  <c r="J10" i="45"/>
  <c r="F10" i="45"/>
  <c r="E10" i="45"/>
  <c r="D10" i="45"/>
  <c r="C10" i="45"/>
  <c r="G10" i="45"/>
  <c r="J9" i="45"/>
  <c r="D9" i="45"/>
  <c r="E9" i="45"/>
  <c r="C9" i="45"/>
  <c r="J8" i="45"/>
  <c r="G8" i="45"/>
  <c r="F8" i="45"/>
  <c r="D8" i="45"/>
  <c r="E8" i="45"/>
  <c r="C8" i="45"/>
  <c r="O8" i="45"/>
  <c r="O7" i="45"/>
  <c r="J7" i="45"/>
  <c r="F7" i="45"/>
  <c r="E7" i="45"/>
  <c r="D7" i="45"/>
  <c r="C7" i="45"/>
  <c r="G7" i="45"/>
  <c r="O6" i="45"/>
  <c r="J6" i="45"/>
  <c r="F6" i="45"/>
  <c r="D6" i="45"/>
  <c r="E6" i="45"/>
  <c r="C6" i="45"/>
  <c r="G6" i="45"/>
  <c r="J5" i="45"/>
  <c r="G5" i="45"/>
  <c r="D5" i="45"/>
  <c r="E5" i="45"/>
  <c r="C5" i="45"/>
  <c r="J4" i="45"/>
  <c r="F4" i="45"/>
  <c r="D4" i="45"/>
  <c r="E4" i="45"/>
  <c r="C4" i="45"/>
  <c r="O4" i="45"/>
  <c r="C67" i="44"/>
  <c r="C66" i="44"/>
  <c r="C65" i="44"/>
  <c r="C64" i="44"/>
  <c r="C63" i="44"/>
  <c r="C62" i="44"/>
  <c r="C61" i="44"/>
  <c r="C60" i="44"/>
  <c r="C59" i="44"/>
  <c r="C58" i="44"/>
  <c r="C57" i="44"/>
  <c r="C56" i="44"/>
  <c r="C55" i="44"/>
  <c r="C54" i="44"/>
  <c r="C53" i="44"/>
  <c r="C52" i="44"/>
  <c r="C51" i="44"/>
  <c r="C50" i="44"/>
  <c r="C49" i="44"/>
  <c r="C48" i="44"/>
  <c r="C47" i="44"/>
  <c r="C46" i="44"/>
  <c r="C45" i="44"/>
  <c r="C44" i="44"/>
  <c r="C43" i="44"/>
  <c r="C42" i="44"/>
  <c r="C41" i="44"/>
  <c r="C40" i="44"/>
  <c r="C39" i="44"/>
  <c r="C38" i="44"/>
  <c r="C37" i="44"/>
  <c r="C36" i="44"/>
  <c r="C35" i="44"/>
  <c r="C34" i="44"/>
  <c r="I19" i="44"/>
  <c r="L23" i="44"/>
  <c r="K23" i="44"/>
  <c r="J18" i="44"/>
  <c r="J19" i="44"/>
  <c r="I18" i="44"/>
  <c r="I22" i="44"/>
  <c r="I23" i="44"/>
  <c r="H18" i="44"/>
  <c r="H19" i="44"/>
  <c r="G18" i="44"/>
  <c r="G22" i="44"/>
  <c r="G23" i="44"/>
  <c r="F18" i="44"/>
  <c r="F22" i="44"/>
  <c r="F23" i="44"/>
  <c r="E18" i="44"/>
  <c r="E19" i="44"/>
  <c r="D18" i="44"/>
  <c r="D19" i="44"/>
  <c r="C18" i="44"/>
  <c r="C19" i="44"/>
  <c r="B18" i="44"/>
  <c r="B22" i="44"/>
  <c r="B23" i="44"/>
  <c r="V7" i="44"/>
  <c r="W6" i="44"/>
  <c r="W10" i="44"/>
  <c r="W11" i="44"/>
  <c r="V6" i="44"/>
  <c r="V10" i="44"/>
  <c r="V11" i="44"/>
  <c r="V13" i="44"/>
  <c r="U6" i="44"/>
  <c r="U7" i="44"/>
  <c r="T6" i="44"/>
  <c r="T7" i="44"/>
  <c r="T10" i="44"/>
  <c r="T11" i="44"/>
  <c r="T13" i="44"/>
  <c r="S6" i="44"/>
  <c r="S7" i="44"/>
  <c r="R6" i="44"/>
  <c r="R7" i="44"/>
  <c r="R10" i="44"/>
  <c r="R11" i="44"/>
  <c r="Q6" i="44"/>
  <c r="Q10" i="44"/>
  <c r="Q11" i="44"/>
  <c r="P6" i="44"/>
  <c r="P10" i="44"/>
  <c r="P11" i="44"/>
  <c r="L6" i="44"/>
  <c r="L10" i="44"/>
  <c r="L11" i="44"/>
  <c r="K6" i="44"/>
  <c r="K10" i="44"/>
  <c r="K11" i="44"/>
  <c r="J6" i="44"/>
  <c r="J10" i="44"/>
  <c r="J11" i="44"/>
  <c r="I6" i="44"/>
  <c r="I10" i="44"/>
  <c r="I11" i="44"/>
  <c r="H6" i="44"/>
  <c r="H10" i="44"/>
  <c r="H11" i="44"/>
  <c r="G6" i="44"/>
  <c r="G10" i="44"/>
  <c r="G11" i="44"/>
  <c r="F6" i="44"/>
  <c r="F10" i="44"/>
  <c r="F11" i="44"/>
  <c r="E6" i="44"/>
  <c r="E10" i="44"/>
  <c r="E11" i="44"/>
  <c r="D6" i="44"/>
  <c r="D10" i="44"/>
  <c r="D11" i="44"/>
  <c r="C6" i="44"/>
  <c r="C10" i="44"/>
  <c r="C11" i="44"/>
  <c r="B6" i="44"/>
  <c r="B7" i="44"/>
  <c r="P18" i="40"/>
  <c r="S18" i="40"/>
  <c r="T18" i="40"/>
  <c r="N18" i="40"/>
  <c r="M18" i="40"/>
  <c r="J18" i="40"/>
  <c r="K18" i="40"/>
  <c r="P17" i="40"/>
  <c r="S17" i="40"/>
  <c r="T17" i="40"/>
  <c r="N17" i="40"/>
  <c r="M17" i="40"/>
  <c r="J17" i="40"/>
  <c r="K17" i="40"/>
  <c r="P16" i="40"/>
  <c r="S16" i="40"/>
  <c r="T16" i="40"/>
  <c r="N16" i="40"/>
  <c r="M16" i="40"/>
  <c r="J16" i="40"/>
  <c r="K16" i="40"/>
  <c r="P15" i="40"/>
  <c r="S15" i="40"/>
  <c r="T15" i="40"/>
  <c r="N15" i="40"/>
  <c r="M15" i="40"/>
  <c r="J15" i="40"/>
  <c r="K15" i="40"/>
  <c r="P14" i="40"/>
  <c r="S14" i="40"/>
  <c r="T14" i="40"/>
  <c r="N14" i="40"/>
  <c r="M14" i="40"/>
  <c r="J14" i="40"/>
  <c r="K14" i="40"/>
  <c r="P13" i="40"/>
  <c r="S13" i="40"/>
  <c r="T13" i="40"/>
  <c r="N13" i="40"/>
  <c r="M13" i="40"/>
  <c r="J13" i="40"/>
  <c r="K13" i="40"/>
  <c r="P12" i="40"/>
  <c r="S12" i="40"/>
  <c r="M12" i="40"/>
  <c r="J12" i="40"/>
  <c r="K12" i="40"/>
  <c r="P11" i="40"/>
  <c r="S11" i="40"/>
  <c r="M11" i="40"/>
  <c r="J11" i="40"/>
  <c r="N11" i="40"/>
  <c r="P10" i="40"/>
  <c r="S10" i="40"/>
  <c r="T10" i="40"/>
  <c r="N10" i="40"/>
  <c r="M10" i="40"/>
  <c r="J10" i="40"/>
  <c r="K10" i="40"/>
  <c r="P9" i="40"/>
  <c r="S9" i="40"/>
  <c r="T9" i="40"/>
  <c r="M9" i="40"/>
  <c r="J9" i="40"/>
  <c r="K9" i="40"/>
  <c r="P8" i="40"/>
  <c r="S8" i="40"/>
  <c r="T8" i="40"/>
  <c r="N8" i="40"/>
  <c r="M8" i="40"/>
  <c r="J8" i="40"/>
  <c r="K8" i="40"/>
  <c r="P7" i="40"/>
  <c r="S7" i="40"/>
  <c r="T7" i="40"/>
  <c r="N7" i="40"/>
  <c r="M7" i="40"/>
  <c r="J7" i="40"/>
  <c r="K7" i="40"/>
  <c r="P6" i="40"/>
  <c r="S6" i="40"/>
  <c r="T6" i="40"/>
  <c r="N6" i="40"/>
  <c r="M6" i="40"/>
  <c r="J6" i="40"/>
  <c r="K6" i="40"/>
  <c r="P5" i="40"/>
  <c r="S5" i="40"/>
  <c r="T5" i="40"/>
  <c r="N5" i="40"/>
  <c r="M5" i="40"/>
  <c r="J5" i="40"/>
  <c r="K5" i="40"/>
  <c r="P4" i="40"/>
  <c r="S4" i="40"/>
  <c r="T4" i="40"/>
  <c r="M4" i="40"/>
  <c r="J4" i="40"/>
  <c r="K4" i="40"/>
  <c r="Q5" i="40"/>
  <c r="Q6" i="40"/>
  <c r="Q7" i="40"/>
  <c r="Q8" i="40"/>
  <c r="Q9" i="40"/>
  <c r="Q10" i="40"/>
  <c r="Q13" i="40"/>
  <c r="Q14" i="40"/>
  <c r="Q15" i="40"/>
  <c r="Q16" i="40"/>
  <c r="Q17" i="40"/>
  <c r="Q18" i="40"/>
  <c r="F9" i="45"/>
  <c r="O9" i="45"/>
  <c r="F25" i="45"/>
  <c r="O25" i="45"/>
  <c r="F40" i="45"/>
  <c r="O40" i="45"/>
  <c r="G4" i="45"/>
  <c r="F13" i="45"/>
  <c r="O13" i="45"/>
  <c r="G20" i="45"/>
  <c r="F29" i="45"/>
  <c r="O29" i="45"/>
  <c r="F36" i="45"/>
  <c r="O36" i="45"/>
  <c r="G9" i="45"/>
  <c r="F12" i="45"/>
  <c r="F17" i="45"/>
  <c r="O17" i="45"/>
  <c r="G25" i="45"/>
  <c r="F28" i="45"/>
  <c r="F32" i="45"/>
  <c r="O32" i="45"/>
  <c r="G40" i="45"/>
  <c r="F5" i="45"/>
  <c r="O5" i="45"/>
  <c r="G12" i="45"/>
  <c r="G13" i="45"/>
  <c r="F16" i="45"/>
  <c r="F21" i="45"/>
  <c r="O21" i="45"/>
  <c r="G28" i="45"/>
  <c r="G29" i="45"/>
  <c r="G36" i="45"/>
  <c r="G45" i="45"/>
  <c r="O45" i="45"/>
  <c r="G31" i="45"/>
  <c r="G35" i="45"/>
  <c r="G39" i="45"/>
  <c r="G44" i="45"/>
  <c r="G47" i="45"/>
  <c r="E11" i="46"/>
  <c r="E12" i="46"/>
  <c r="Q4" i="40"/>
  <c r="N4" i="40"/>
  <c r="W7" i="44"/>
  <c r="C22" i="44"/>
  <c r="C23" i="44"/>
  <c r="C25" i="44"/>
  <c r="F19" i="44"/>
  <c r="F24" i="44"/>
  <c r="F25" i="44"/>
  <c r="K25" i="44"/>
  <c r="K24" i="44"/>
  <c r="E22" i="44"/>
  <c r="E23" i="44"/>
  <c r="H22" i="44"/>
  <c r="H23" i="44"/>
  <c r="H25" i="44"/>
  <c r="S10" i="44"/>
  <c r="S11" i="44"/>
  <c r="B10" i="44"/>
  <c r="B11" i="44"/>
  <c r="Q7" i="44"/>
  <c r="B19" i="44"/>
  <c r="D22" i="44"/>
  <c r="D23" i="44"/>
  <c r="G24" i="44"/>
  <c r="G25" i="44"/>
  <c r="Q13" i="44"/>
  <c r="Q12" i="44"/>
  <c r="B25" i="44"/>
  <c r="B24" i="44"/>
  <c r="R13" i="44"/>
  <c r="R12" i="44"/>
  <c r="W13" i="44"/>
  <c r="W12" i="44"/>
  <c r="C24" i="44"/>
  <c r="H24" i="44"/>
  <c r="P12" i="44"/>
  <c r="P13" i="44"/>
  <c r="L25" i="44"/>
  <c r="L24" i="44"/>
  <c r="I24" i="44"/>
  <c r="I25" i="44"/>
  <c r="U10" i="44"/>
  <c r="U11" i="44"/>
  <c r="P7" i="44"/>
  <c r="G19" i="44"/>
  <c r="V12" i="44"/>
  <c r="T12" i="44"/>
  <c r="J22" i="44"/>
  <c r="J23" i="44"/>
  <c r="D25" i="44"/>
  <c r="D24" i="44"/>
  <c r="S12" i="44"/>
  <c r="S13" i="44"/>
  <c r="E24" i="44"/>
  <c r="E25" i="44"/>
  <c r="J24" i="44"/>
  <c r="J25" i="44"/>
  <c r="U13" i="44"/>
  <c r="U12" i="44"/>
  <c r="N12" i="40"/>
  <c r="T12" i="40"/>
  <c r="Q12" i="40"/>
  <c r="K11" i="40"/>
  <c r="T11" i="40"/>
  <c r="Q11" i="40"/>
  <c r="N9" i="40"/>
</calcChain>
</file>

<file path=xl/sharedStrings.xml><?xml version="1.0" encoding="utf-8"?>
<sst xmlns="http://schemas.openxmlformats.org/spreadsheetml/2006/main" count="3353" uniqueCount="776">
  <si>
    <t>V</t>
    <phoneticPr fontId="5" type="noConversion"/>
  </si>
  <si>
    <t>kW</t>
    <phoneticPr fontId="5" type="noConversion"/>
  </si>
  <si>
    <t>A</t>
    <phoneticPr fontId="5" type="noConversion"/>
  </si>
  <si>
    <t>㎟</t>
  </si>
  <si>
    <t>kHz</t>
    <phoneticPr fontId="5" type="noConversion"/>
  </si>
  <si>
    <t>mJ</t>
    <phoneticPr fontId="5" type="noConversion"/>
  </si>
  <si>
    <t>W</t>
    <phoneticPr fontId="5" type="noConversion"/>
  </si>
  <si>
    <t>%</t>
    <phoneticPr fontId="5" type="noConversion"/>
  </si>
  <si>
    <t>Total Gate Charge</t>
    <phoneticPr fontId="5" type="noConversion"/>
  </si>
  <si>
    <t>게이트 구동손실</t>
    <phoneticPr fontId="5" type="noConversion"/>
  </si>
  <si>
    <t>코일턴수</t>
    <phoneticPr fontId="5" type="noConversion"/>
  </si>
  <si>
    <t>Turns</t>
    <phoneticPr fontId="5" type="noConversion"/>
  </si>
  <si>
    <t>내부직경</t>
    <phoneticPr fontId="5" type="noConversion"/>
  </si>
  <si>
    <t>mm</t>
    <phoneticPr fontId="5" type="noConversion"/>
  </si>
  <si>
    <t>높이</t>
    <phoneticPr fontId="5" type="noConversion"/>
  </si>
  <si>
    <t>uH</t>
    <phoneticPr fontId="5" type="noConversion"/>
  </si>
  <si>
    <t>Vdc</t>
    <phoneticPr fontId="5" type="noConversion"/>
  </si>
  <si>
    <t>Idc</t>
    <phoneticPr fontId="5" type="noConversion"/>
  </si>
  <si>
    <t>Po</t>
    <phoneticPr fontId="5" type="noConversion"/>
  </si>
  <si>
    <t>Tesla</t>
    <phoneticPr fontId="5" type="noConversion"/>
  </si>
  <si>
    <t>일차 최대전압</t>
    <phoneticPr fontId="5" type="noConversion"/>
  </si>
  <si>
    <t>중족단면적</t>
    <phoneticPr fontId="5" type="noConversion"/>
  </si>
  <si>
    <t>cmSq</t>
    <phoneticPr fontId="5" type="noConversion"/>
  </si>
  <si>
    <t>스위칭주파수</t>
    <phoneticPr fontId="5" type="noConversion"/>
  </si>
  <si>
    <t>Hz</t>
    <phoneticPr fontId="5" type="noConversion"/>
  </si>
  <si>
    <t>최소 일차턴수</t>
    <phoneticPr fontId="5" type="noConversion"/>
  </si>
  <si>
    <t>공진콘덴서</t>
    <phoneticPr fontId="5" type="noConversion"/>
  </si>
  <si>
    <t>uF</t>
    <phoneticPr fontId="5" type="noConversion"/>
  </si>
  <si>
    <t>공진인덕터</t>
    <phoneticPr fontId="5" type="noConversion"/>
  </si>
  <si>
    <t>공진주파수</t>
    <phoneticPr fontId="5" type="noConversion"/>
  </si>
  <si>
    <t>Hz (결과)</t>
    <phoneticPr fontId="5" type="noConversion"/>
  </si>
  <si>
    <t>콘덴서</t>
    <phoneticPr fontId="5" type="noConversion"/>
  </si>
  <si>
    <t>uF</t>
  </si>
  <si>
    <t>인가주파수</t>
    <phoneticPr fontId="5" type="noConversion"/>
  </si>
  <si>
    <t>통전전류</t>
    <phoneticPr fontId="5" type="noConversion"/>
  </si>
  <si>
    <t>콘덴서전압</t>
    <phoneticPr fontId="5" type="noConversion"/>
  </si>
  <si>
    <t>폭</t>
    <phoneticPr fontId="5" type="noConversion"/>
  </si>
  <si>
    <t>주파수</t>
    <phoneticPr fontId="5" type="noConversion"/>
  </si>
  <si>
    <t>판사이거리</t>
    <phoneticPr fontId="5" type="noConversion"/>
  </si>
  <si>
    <t>판길이</t>
    <phoneticPr fontId="5" type="noConversion"/>
  </si>
  <si>
    <t>nH</t>
    <phoneticPr fontId="5" type="noConversion"/>
  </si>
  <si>
    <t>Q</t>
    <phoneticPr fontId="5" type="noConversion"/>
  </si>
  <si>
    <t>:1</t>
    <phoneticPr fontId="5" type="noConversion"/>
  </si>
  <si>
    <t>Ptot / IGBT CASE</t>
    <phoneticPr fontId="5" type="noConversion"/>
  </si>
  <si>
    <t>VDC</t>
    <phoneticPr fontId="5" type="noConversion"/>
  </si>
  <si>
    <t>uC</t>
    <phoneticPr fontId="5" type="noConversion"/>
  </si>
  <si>
    <t>W MAX</t>
    <phoneticPr fontId="5" type="noConversion"/>
  </si>
  <si>
    <t>KVA</t>
    <phoneticPr fontId="5" type="noConversion"/>
  </si>
  <si>
    <t>℃</t>
  </si>
  <si>
    <t>V</t>
    <phoneticPr fontId="5" type="noConversion"/>
  </si>
  <si>
    <t>cm^2</t>
    <phoneticPr fontId="5" type="noConversion"/>
  </si>
  <si>
    <t>EA</t>
    <phoneticPr fontId="5" type="noConversion"/>
  </si>
  <si>
    <t>mm^2</t>
    <phoneticPr fontId="5" type="noConversion"/>
  </si>
  <si>
    <t>Current Density</t>
    <phoneticPr fontId="5" type="noConversion"/>
  </si>
  <si>
    <t>콘덴서값</t>
    <phoneticPr fontId="5" type="noConversion"/>
  </si>
  <si>
    <t>1차 공진전류</t>
    <phoneticPr fontId="5" type="noConversion"/>
  </si>
  <si>
    <t>입력전력</t>
    <phoneticPr fontId="5" type="noConversion"/>
  </si>
  <si>
    <t>공진전압</t>
    <phoneticPr fontId="5" type="noConversion"/>
  </si>
  <si>
    <t>VAC</t>
    <phoneticPr fontId="5" type="noConversion"/>
  </si>
  <si>
    <t>2차공진전류</t>
    <phoneticPr fontId="5" type="noConversion"/>
  </si>
  <si>
    <t>K/W</t>
    <phoneticPr fontId="5" type="noConversion"/>
  </si>
  <si>
    <t>℃</t>
    <phoneticPr fontId="5" type="noConversion"/>
  </si>
  <si>
    <t>냉각수 출수 온도</t>
    <phoneticPr fontId="5" type="noConversion"/>
  </si>
  <si>
    <t>냉각수 유량</t>
    <phoneticPr fontId="5" type="noConversion"/>
  </si>
  <si>
    <t>lpm</t>
    <phoneticPr fontId="5" type="noConversion"/>
  </si>
  <si>
    <t>냉각수 입수 온도 최대</t>
    <phoneticPr fontId="5" type="noConversion"/>
  </si>
  <si>
    <t>입력선전류</t>
    <phoneticPr fontId="5" type="noConversion"/>
  </si>
  <si>
    <t>입력선 단면적</t>
    <phoneticPr fontId="5" type="noConversion"/>
  </si>
  <si>
    <t>병렬</t>
    <phoneticPr fontId="5" type="noConversion"/>
  </si>
  <si>
    <t>직렬</t>
    <phoneticPr fontId="5" type="noConversion"/>
  </si>
  <si>
    <t>R</t>
    <phoneticPr fontId="5" type="noConversion"/>
  </si>
  <si>
    <t>Conduction Loss/Device</t>
    <phoneticPr fontId="5" type="noConversion"/>
  </si>
  <si>
    <t>Total Solid Device Loss</t>
    <phoneticPr fontId="5" type="noConversion"/>
  </si>
  <si>
    <t>공진콘덴서 전압</t>
    <phoneticPr fontId="5" type="noConversion"/>
  </si>
  <si>
    <t>Duty</t>
    <phoneticPr fontId="5" type="noConversion"/>
  </si>
  <si>
    <t>역율</t>
    <phoneticPr fontId="5" type="noConversion"/>
  </si>
  <si>
    <t>A/㎟</t>
    <phoneticPr fontId="5" type="noConversion"/>
  </si>
  <si>
    <t>L</t>
    <phoneticPr fontId="5" type="noConversion"/>
  </si>
  <si>
    <t>C</t>
    <phoneticPr fontId="5" type="noConversion"/>
  </si>
  <si>
    <t>Fr</t>
    <phoneticPr fontId="5" type="noConversion"/>
  </si>
  <si>
    <t>Phase MIN</t>
    <phoneticPr fontId="5" type="noConversion"/>
  </si>
  <si>
    <t>°</t>
    <phoneticPr fontId="5" type="noConversion"/>
  </si>
  <si>
    <t>TAN(Phase MIN)</t>
    <phoneticPr fontId="5" type="noConversion"/>
  </si>
  <si>
    <t>Fs</t>
    <phoneticPr fontId="5" type="noConversion"/>
  </si>
  <si>
    <t>Zl</t>
    <phoneticPr fontId="5" type="noConversion"/>
  </si>
  <si>
    <t>mΩ</t>
    <phoneticPr fontId="5" type="noConversion"/>
  </si>
  <si>
    <t>Zc</t>
    <phoneticPr fontId="5" type="noConversion"/>
  </si>
  <si>
    <t>Z</t>
    <phoneticPr fontId="5" type="noConversion"/>
  </si>
  <si>
    <t>HB/FB</t>
    <phoneticPr fontId="5" type="noConversion"/>
  </si>
  <si>
    <t>Half Bridge = 2, Full Bridge = 1</t>
    <phoneticPr fontId="5" type="noConversion"/>
  </si>
  <si>
    <t>Turn Ratio</t>
    <phoneticPr fontId="5" type="noConversion"/>
  </si>
  <si>
    <t>Vac secondary</t>
    <phoneticPr fontId="5" type="noConversion"/>
  </si>
  <si>
    <t>Ir primary</t>
    <phoneticPr fontId="5" type="noConversion"/>
  </si>
  <si>
    <t>Ir avg</t>
    <phoneticPr fontId="5" type="noConversion"/>
  </si>
  <si>
    <t>Ir avg DC</t>
    <phoneticPr fontId="5" type="noConversion"/>
  </si>
  <si>
    <t>Ir avg DC/Idc</t>
    <phoneticPr fontId="5" type="noConversion"/>
  </si>
  <si>
    <t>출력케이블L값</t>
    <phoneticPr fontId="5" type="noConversion"/>
  </si>
  <si>
    <t>부하 인덕턴스</t>
    <phoneticPr fontId="5" type="noConversion"/>
  </si>
  <si>
    <t>코일 병렬 수</t>
    <phoneticPr fontId="5" type="noConversion"/>
  </si>
  <si>
    <t>무부하 인덕턴스</t>
    <phoneticPr fontId="5" type="noConversion"/>
  </si>
  <si>
    <t>L값 감소율</t>
    <phoneticPr fontId="5" type="noConversion"/>
  </si>
  <si>
    <t>코일 직렬 수</t>
    <phoneticPr fontId="5" type="noConversion"/>
  </si>
  <si>
    <t>IR</t>
    <phoneticPr fontId="5" type="noConversion"/>
  </si>
  <si>
    <t>Qsw-cap</t>
    <phoneticPr fontId="5" type="noConversion"/>
  </si>
  <si>
    <t>COS(Phase MIN)</t>
    <phoneticPr fontId="5" type="noConversion"/>
  </si>
  <si>
    <t>Vac for Irmax at inphase</t>
    <phoneticPr fontId="5" type="noConversion"/>
  </si>
  <si>
    <t>Vac for Irmax with phase</t>
    <phoneticPr fontId="5" type="noConversion"/>
  </si>
  <si>
    <t>Irmax at R</t>
    <phoneticPr fontId="5" type="noConversion"/>
  </si>
  <si>
    <t>코일 L값</t>
    <phoneticPr fontId="5" type="noConversion"/>
  </si>
  <si>
    <t>인버터 출력전류</t>
    <phoneticPr fontId="5" type="noConversion"/>
  </si>
  <si>
    <t>DC LINK C값</t>
    <phoneticPr fontId="5" type="noConversion"/>
  </si>
  <si>
    <t>DC LINK CAP RIPPLE Voltage</t>
    <phoneticPr fontId="5" type="noConversion"/>
  </si>
  <si>
    <t>VDC 평균값</t>
    <phoneticPr fontId="5" type="noConversion"/>
  </si>
  <si>
    <t>DC LINK CAP RIPPLE Current</t>
    <phoneticPr fontId="5" type="noConversion"/>
  </si>
  <si>
    <t>동작주파수</t>
    <phoneticPr fontId="5" type="noConversion"/>
  </si>
  <si>
    <t>DC LINK CAP 리플 함유율(peak to peak)</t>
    <phoneticPr fontId="5" type="noConversion"/>
  </si>
  <si>
    <t>IGBT IC RMS전류</t>
    <phoneticPr fontId="5" type="noConversion"/>
  </si>
  <si>
    <t>파형 및 LCD 확인</t>
    <phoneticPr fontId="5" type="noConversion"/>
  </si>
  <si>
    <t>Switching Frequency</t>
    <phoneticPr fontId="5" type="noConversion"/>
  </si>
  <si>
    <t>DATA SHEET 확인</t>
    <phoneticPr fontId="5" type="noConversion"/>
  </si>
  <si>
    <t>게이트 전압</t>
    <phoneticPr fontId="5" type="noConversion"/>
  </si>
  <si>
    <t>게이트드라이버 전위차(예를 들어 +15V,-10V 일때는 25V)</t>
    <phoneticPr fontId="5" type="noConversion"/>
  </si>
  <si>
    <t>Off Switching Energy</t>
    <phoneticPr fontId="5" type="noConversion"/>
  </si>
  <si>
    <t>DATA SHEET 확인(Switching Current 에 해당하는 Off Switching Energy)</t>
    <phoneticPr fontId="5" type="noConversion"/>
  </si>
  <si>
    <t>On Switching Energy(ZVS)</t>
    <phoneticPr fontId="5" type="noConversion"/>
  </si>
  <si>
    <t>Diode 역방향 회복 Energy(ZVS)</t>
    <phoneticPr fontId="5" type="noConversion"/>
  </si>
  <si>
    <t>IGBT Switching Loss/Device</t>
    <phoneticPr fontId="5" type="noConversion"/>
  </si>
  <si>
    <t>Diode 역방향 회복 손실(ZVS)</t>
    <phoneticPr fontId="5" type="noConversion"/>
  </si>
  <si>
    <t>스너버 손실 비율</t>
  </si>
  <si>
    <t>스너버 없으면 100%, 스너버 최소 손실비율(55% 감소)</t>
    <phoneticPr fontId="5" type="noConversion"/>
  </si>
  <si>
    <t>IGBT Switching Loss/Device_스너버손실비율 포함</t>
    <phoneticPr fontId="5" type="noConversion"/>
  </si>
  <si>
    <t>IC 평균전류</t>
    <phoneticPr fontId="5" type="noConversion"/>
  </si>
  <si>
    <t>IGBT VCE Saturation</t>
    <phoneticPr fontId="5" type="noConversion"/>
  </si>
  <si>
    <t>DATA SHEET 확인(IC 평균전류에 해당하는 Vce saturation 확인)</t>
    <phoneticPr fontId="5" type="noConversion"/>
  </si>
  <si>
    <t>Diode Vf</t>
    <phoneticPr fontId="5" type="noConversion"/>
  </si>
  <si>
    <t>DATA SHEET 확인(IC 평균전류에 해당하는 Diode Vf 확인)</t>
    <phoneticPr fontId="5" type="noConversion"/>
  </si>
  <si>
    <t>위상지연각</t>
    <phoneticPr fontId="5" type="noConversion"/>
  </si>
  <si>
    <t>IGBT Conduction Loss</t>
    <phoneticPr fontId="5" type="noConversion"/>
  </si>
  <si>
    <t>Diode Conduction Loss</t>
    <phoneticPr fontId="5" type="noConversion"/>
  </si>
  <si>
    <t>모듈 Package 당 IGBT(switching device)수량</t>
    <phoneticPr fontId="5" type="noConversion"/>
  </si>
  <si>
    <t>열저항(Junction-Case)-IGBT</t>
    <phoneticPr fontId="5" type="noConversion"/>
  </si>
  <si>
    <t>Case온도(IGBT,Tj=125℃기준)</t>
    <phoneticPr fontId="5" type="noConversion"/>
  </si>
  <si>
    <t>표기된 온도 이상은 사용 불가</t>
    <phoneticPr fontId="5" type="noConversion"/>
  </si>
  <si>
    <t>Case온도(Diode,Tj=125℃기준)</t>
    <phoneticPr fontId="5" type="noConversion"/>
  </si>
  <si>
    <t>Case온도- IGBT  온도차</t>
    <phoneticPr fontId="5" type="noConversion"/>
  </si>
  <si>
    <t>Case온도- Diode 온도차</t>
    <phoneticPr fontId="5" type="noConversion"/>
  </si>
  <si>
    <t>열저항(Case-Heatsink)-IGBT(lPaste = 1 W/(m·K)기준)</t>
    <phoneticPr fontId="5" type="noConversion"/>
  </si>
  <si>
    <t>열저항(Case-Heatsink)-Diode(lPaste = 1 W/(m·K)기준)</t>
    <phoneticPr fontId="5" type="noConversion"/>
  </si>
  <si>
    <t>Heatsink온도-IGBT바닥면 중심</t>
    <phoneticPr fontId="5" type="noConversion"/>
  </si>
  <si>
    <t>Heatsink온도-Diode바닥면 중심</t>
    <phoneticPr fontId="5" type="noConversion"/>
  </si>
  <si>
    <t>Heatsink온도-케이스간 온도차-IGBT</t>
    <phoneticPr fontId="5" type="noConversion"/>
  </si>
  <si>
    <t>Heatsink온도-케이스간 온도차-Diode</t>
    <phoneticPr fontId="5" type="noConversion"/>
  </si>
  <si>
    <t>수냉방열판과의 열저항의 기준이 없어 60℃를 기준으로함</t>
    <phoneticPr fontId="5" type="noConversion"/>
  </si>
  <si>
    <t>유량</t>
    <phoneticPr fontId="5" type="noConversion"/>
  </si>
  <si>
    <t>Vdc 전압</t>
    <phoneticPr fontId="9" type="noConversion"/>
  </si>
  <si>
    <t>Vdc</t>
    <phoneticPr fontId="9" type="noConversion"/>
  </si>
  <si>
    <t>nF</t>
    <phoneticPr fontId="9" type="noConversion"/>
  </si>
  <si>
    <t>스너버 C값(POLE 기준)</t>
    <phoneticPr fontId="8" type="noConversion"/>
  </si>
  <si>
    <t>nF</t>
    <phoneticPr fontId="8" type="noConversion"/>
  </si>
  <si>
    <t>C스너버 보드당 C갯수</t>
    <phoneticPr fontId="9" type="noConversion"/>
  </si>
  <si>
    <t>개</t>
    <phoneticPr fontId="9" type="noConversion"/>
  </si>
  <si>
    <t>VDC 전압</t>
    <phoneticPr fontId="8" type="noConversion"/>
  </si>
  <si>
    <t>V</t>
    <phoneticPr fontId="8" type="noConversion"/>
  </si>
  <si>
    <t>보드를 겹침 수량</t>
    <phoneticPr fontId="9" type="noConversion"/>
  </si>
  <si>
    <t>스위칭전류</t>
    <phoneticPr fontId="8" type="noConversion"/>
  </si>
  <si>
    <t>A</t>
    <phoneticPr fontId="8" type="noConversion"/>
  </si>
  <si>
    <t>상하 고려</t>
    <phoneticPr fontId="9" type="noConversion"/>
  </si>
  <si>
    <t>스위칭시 전압 상승시간</t>
    <phoneticPr fontId="8" type="noConversion"/>
  </si>
  <si>
    <t>ns</t>
    <phoneticPr fontId="8" type="noConversion"/>
  </si>
  <si>
    <t>상하 데드타임</t>
    <phoneticPr fontId="9" type="noConversion"/>
  </si>
  <si>
    <t>us</t>
    <phoneticPr fontId="9" type="noConversion"/>
  </si>
  <si>
    <t>모듈 출력전류</t>
    <phoneticPr fontId="9" type="noConversion"/>
  </si>
  <si>
    <t>Arms</t>
    <phoneticPr fontId="9" type="noConversion"/>
  </si>
  <si>
    <t>운전 모듈 수량</t>
    <phoneticPr fontId="9" type="noConversion"/>
  </si>
  <si>
    <t>대</t>
    <phoneticPr fontId="9" type="noConversion"/>
  </si>
  <si>
    <t>인버터 출력전류</t>
    <phoneticPr fontId="9" type="noConversion"/>
  </si>
  <si>
    <t>정격전류시 상승시간</t>
    <phoneticPr fontId="9" type="noConversion"/>
  </si>
  <si>
    <t>ON-POLE</t>
    <phoneticPr fontId="9" type="noConversion"/>
  </si>
  <si>
    <t>스위칭각</t>
    <phoneticPr fontId="9" type="noConversion"/>
  </si>
  <si>
    <t>deg</t>
    <phoneticPr fontId="9" type="noConversion"/>
  </si>
  <si>
    <t>스위칭 전류</t>
    <phoneticPr fontId="9" type="noConversion"/>
  </si>
  <si>
    <t>A</t>
    <phoneticPr fontId="9" type="noConversion"/>
  </si>
  <si>
    <t>전압 상승 소요시간</t>
    <phoneticPr fontId="9" type="noConversion"/>
  </si>
  <si>
    <t>nsec</t>
    <phoneticPr fontId="9" type="noConversion"/>
  </si>
  <si>
    <t>데드타임 에 맞추기 위한</t>
    <phoneticPr fontId="9" type="noConversion"/>
  </si>
  <si>
    <t>ZVS 모듈 스위칭 전류</t>
    <phoneticPr fontId="9" type="noConversion"/>
  </si>
  <si>
    <t>ZVS 모듈 전류</t>
    <phoneticPr fontId="9" type="noConversion"/>
  </si>
  <si>
    <t>정격전류 대비 율</t>
    <phoneticPr fontId="9" type="noConversion"/>
  </si>
  <si>
    <t>%</t>
    <phoneticPr fontId="9" type="noConversion"/>
  </si>
  <si>
    <t>정격전력 대비 율</t>
    <phoneticPr fontId="9" type="noConversion"/>
  </si>
  <si>
    <t>날짜</t>
    <phoneticPr fontId="9" type="noConversion"/>
  </si>
  <si>
    <t>운전데이터</t>
    <phoneticPr fontId="9" type="noConversion"/>
  </si>
  <si>
    <t>운전데이터기준_예상데이터</t>
    <phoneticPr fontId="9" type="noConversion"/>
  </si>
  <si>
    <t>운전데이터 기준_탭비변경 예상데이터</t>
    <phoneticPr fontId="9" type="noConversion"/>
  </si>
  <si>
    <t>탭비변경 기준_예상데이터</t>
    <phoneticPr fontId="9" type="noConversion"/>
  </si>
  <si>
    <t>Po[kW]</t>
    <phoneticPr fontId="9" type="noConversion"/>
  </si>
  <si>
    <t>Vo[V]</t>
    <phoneticPr fontId="9" type="noConversion"/>
  </si>
  <si>
    <t>Io[A]</t>
    <phoneticPr fontId="9" type="noConversion"/>
  </si>
  <si>
    <t>Fr[kHz]</t>
    <phoneticPr fontId="9" type="noConversion"/>
  </si>
  <si>
    <t>M/T 탭비</t>
    <phoneticPr fontId="9" type="noConversion"/>
  </si>
  <si>
    <t>Ir[A]</t>
    <phoneticPr fontId="9" type="noConversion"/>
  </si>
  <si>
    <t>위상각</t>
    <phoneticPr fontId="9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</si>
  <si>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9" type="noConversion"/>
  </si>
  <si>
    <t>Duty</t>
    <phoneticPr fontId="9" type="noConversion"/>
  </si>
  <si>
    <t>예상 Po[kW]</t>
    <phoneticPr fontId="9" type="noConversion"/>
  </si>
  <si>
    <t>예상 Ir</t>
    <phoneticPr fontId="9" type="noConversion"/>
  </si>
  <si>
    <t>예상 Duty</t>
    <phoneticPr fontId="9" type="noConversion"/>
  </si>
  <si>
    <t>변경 탭비</t>
    <phoneticPr fontId="9" type="noConversion"/>
  </si>
  <si>
    <t>변경 Ir[A]</t>
    <phoneticPr fontId="9" type="noConversion"/>
  </si>
  <si>
    <t>변경 Duty</t>
    <phoneticPr fontId="9" type="noConversion"/>
  </si>
  <si>
    <t>예상 Po[kW]</t>
    <phoneticPr fontId="9" type="noConversion"/>
  </si>
  <si>
    <t>예상 Ir</t>
    <phoneticPr fontId="9" type="noConversion"/>
  </si>
  <si>
    <t>예상 Duty</t>
    <phoneticPr fontId="9" type="noConversion"/>
  </si>
  <si>
    <t>사용 재료</t>
    <phoneticPr fontId="9" type="noConversion"/>
  </si>
  <si>
    <t>타프피치 동</t>
    <phoneticPr fontId="9" type="noConversion"/>
  </si>
  <si>
    <t>도체 고유전기저항</t>
    <phoneticPr fontId="5" type="noConversion"/>
  </si>
  <si>
    <t>[Ωm×10E-8]</t>
    <phoneticPr fontId="5" type="noConversion"/>
  </si>
  <si>
    <t>도체의 온도저항계수</t>
    <phoneticPr fontId="5" type="noConversion"/>
  </si>
  <si>
    <t>at 20℃</t>
    <phoneticPr fontId="5" type="noConversion"/>
  </si>
  <si>
    <t>도체의 온도</t>
    <phoneticPr fontId="5" type="noConversion"/>
  </si>
  <si>
    <t xml:space="preserve">도체의 산출저항 </t>
    <phoneticPr fontId="5" type="noConversion"/>
  </si>
  <si>
    <t>도체의 산출 전도도</t>
    <phoneticPr fontId="9" type="noConversion"/>
  </si>
  <si>
    <t>[SIMENS/m]</t>
    <phoneticPr fontId="9" type="noConversion"/>
  </si>
  <si>
    <t>비투자율</t>
    <phoneticPr fontId="5" type="noConversion"/>
  </si>
  <si>
    <t>ui</t>
    <phoneticPr fontId="8" type="noConversion"/>
  </si>
  <si>
    <t>[Hz]</t>
    <phoneticPr fontId="5" type="noConversion"/>
  </si>
  <si>
    <t>[m]</t>
    <phoneticPr fontId="5" type="noConversion"/>
  </si>
  <si>
    <t>[mm]</t>
    <phoneticPr fontId="8" type="noConversion"/>
  </si>
  <si>
    <t>&lt;공진 C 계산 공식&gt;</t>
    <phoneticPr fontId="5" type="noConversion"/>
  </si>
  <si>
    <t>전체 탭</t>
    <phoneticPr fontId="5" type="noConversion"/>
  </si>
  <si>
    <t>사용 탭</t>
    <phoneticPr fontId="5" type="noConversion"/>
  </si>
  <si>
    <t>정격 전압</t>
    <phoneticPr fontId="5" type="noConversion"/>
  </si>
  <si>
    <t>정격 전류</t>
    <phoneticPr fontId="5" type="noConversion"/>
  </si>
  <si>
    <t>단위 C 용량</t>
    <phoneticPr fontId="5" type="noConversion"/>
  </si>
  <si>
    <t>사용가능 전압</t>
    <phoneticPr fontId="5" type="noConversion"/>
  </si>
  <si>
    <t>사용가능 전류</t>
    <phoneticPr fontId="5" type="noConversion"/>
  </si>
  <si>
    <t>탭</t>
    <phoneticPr fontId="5" type="noConversion"/>
  </si>
  <si>
    <t>직렬 연결 수량</t>
    <phoneticPr fontId="5" type="noConversion"/>
  </si>
  <si>
    <t>병렬 연결 수량</t>
    <phoneticPr fontId="5" type="noConversion"/>
  </si>
  <si>
    <t>&lt;Q값 계산 공식 :공진 C 기준&gt;</t>
    <phoneticPr fontId="5" type="noConversion"/>
  </si>
  <si>
    <t>&lt;위상각 계산 공식&gt;</t>
    <phoneticPr fontId="5" type="noConversion"/>
  </si>
  <si>
    <t>인버터 관련</t>
    <phoneticPr fontId="5" type="noConversion"/>
  </si>
  <si>
    <t>정류부 관련</t>
    <phoneticPr fontId="5" type="noConversion"/>
  </si>
  <si>
    <t>&lt;트랜스포머 최소 턴수 계산 공식&gt;</t>
    <phoneticPr fontId="5" type="noConversion"/>
  </si>
  <si>
    <t>turn</t>
    <phoneticPr fontId="5" type="noConversion"/>
  </si>
  <si>
    <t>전력</t>
    <phoneticPr fontId="5" type="noConversion"/>
  </si>
  <si>
    <t>입력 선전압</t>
    <phoneticPr fontId="5" type="noConversion"/>
  </si>
  <si>
    <t xml:space="preserve">비고 </t>
    <phoneticPr fontId="5" type="noConversion"/>
  </si>
  <si>
    <t>M/T 1차 구형파 전압으로 얻을 수 있는 AC 전압의 최대값</t>
    <phoneticPr fontId="5" type="noConversion"/>
  </si>
  <si>
    <t>공진 주파수</t>
    <phoneticPr fontId="5" type="noConversion"/>
  </si>
  <si>
    <t>&lt;콘덴서 내전압 계산 공식&gt;</t>
    <phoneticPr fontId="5" type="noConversion"/>
  </si>
  <si>
    <t>&lt;스너버C 용량 적정성 검토 계산 공식&gt;</t>
    <phoneticPr fontId="5" type="noConversion"/>
  </si>
  <si>
    <t>&lt;Dead Time 계산 공식&gt;</t>
    <phoneticPr fontId="5" type="noConversion"/>
  </si>
  <si>
    <t>[mmSQ]</t>
    <phoneticPr fontId="8" type="noConversion"/>
  </si>
  <si>
    <t>[A]</t>
    <phoneticPr fontId="5" type="noConversion"/>
  </si>
  <si>
    <t>[W]</t>
    <phoneticPr fontId="5" type="noConversion"/>
  </si>
  <si>
    <t>Skin Depth</t>
    <phoneticPr fontId="5" type="noConversion"/>
  </si>
  <si>
    <t>배선길이</t>
    <phoneticPr fontId="5" type="noConversion"/>
  </si>
  <si>
    <t>인가전류</t>
    <phoneticPr fontId="5" type="noConversion"/>
  </si>
  <si>
    <t>발열량</t>
    <phoneticPr fontId="5" type="noConversion"/>
  </si>
  <si>
    <t>파이프 외경</t>
    <phoneticPr fontId="5" type="noConversion"/>
  </si>
  <si>
    <t>`</t>
    <phoneticPr fontId="5" type="noConversion"/>
  </si>
  <si>
    <t>가로(외곽)</t>
    <phoneticPr fontId="5" type="noConversion"/>
  </si>
  <si>
    <t>세로(외곽)</t>
    <phoneticPr fontId="5" type="noConversion"/>
  </si>
  <si>
    <t>&lt;Fault 발생시 L에 의한 VDC 상승전압 계산공식&gt;</t>
    <phoneticPr fontId="5" type="noConversion"/>
  </si>
  <si>
    <t>전체 C 용량</t>
    <phoneticPr fontId="5" type="noConversion"/>
  </si>
  <si>
    <t>kw</t>
    <phoneticPr fontId="5" type="noConversion"/>
  </si>
  <si>
    <t>COSθ</t>
    <phoneticPr fontId="5" type="noConversion"/>
  </si>
  <si>
    <t>θ (위상각, Phase)</t>
    <phoneticPr fontId="5" type="noConversion"/>
  </si>
  <si>
    <t>코일 전압(출력케이블 포함)</t>
    <phoneticPr fontId="5" type="noConversion"/>
  </si>
  <si>
    <t>공진콘덴서 기준의 Q값(예상데이터, 측정 및 계산 데이터)</t>
    <phoneticPr fontId="5" type="noConversion"/>
  </si>
  <si>
    <t>Matching Transformer 의 권선비 기입</t>
    <phoneticPr fontId="5" type="noConversion"/>
  </si>
  <si>
    <t>M/T 1차 전류(인버터 출력 전류)</t>
    <phoneticPr fontId="5" type="noConversion"/>
  </si>
  <si>
    <t>공진 전류(코일전류, C/T 1차전류)</t>
    <phoneticPr fontId="5" type="noConversion"/>
  </si>
  <si>
    <t>동작 주파수 (Q값 ,위상각 등에 따라 달라짐)</t>
    <phoneticPr fontId="5" type="noConversion"/>
  </si>
  <si>
    <t>&lt;DC LINK CAPACITOR 리플 전압,전류 계산 공식&gt;</t>
    <phoneticPr fontId="5" type="noConversion"/>
  </si>
  <si>
    <t>인버터의 위상각(DUTY 98%가 될 수있도록 변경, 30~89°범위: 상황에 따라 20°까지 가능)</t>
    <phoneticPr fontId="5" type="noConversion"/>
  </si>
  <si>
    <t>98%정도, Phase MIN 값 을 조정하여 변경</t>
    <phoneticPr fontId="5" type="noConversion"/>
  </si>
  <si>
    <t>단면적</t>
    <phoneticPr fontId="5" type="noConversion"/>
  </si>
  <si>
    <t xml:space="preserve">부스바 폭(너비) </t>
    <phoneticPr fontId="5" type="noConversion"/>
  </si>
  <si>
    <t xml:space="preserve">단면적 </t>
    <phoneticPr fontId="5" type="noConversion"/>
  </si>
  <si>
    <t>Min(스킨뎁스,두께)</t>
    <phoneticPr fontId="5" type="noConversion"/>
  </si>
  <si>
    <t>두께 : 파이프</t>
    <phoneticPr fontId="5" type="noConversion"/>
  </si>
  <si>
    <t xml:space="preserve">두께 : 부스바 </t>
    <phoneticPr fontId="5" type="noConversion"/>
  </si>
  <si>
    <t>&lt;코일 인덕턴스 계산 공식, C/T 및 출력케이블포함&gt;</t>
    <phoneticPr fontId="5" type="noConversion"/>
  </si>
  <si>
    <t>C/T권선비</t>
    <phoneticPr fontId="5" type="noConversion"/>
  </si>
  <si>
    <t>C/T1차 인덕턴스</t>
    <phoneticPr fontId="5" type="noConversion"/>
  </si>
  <si>
    <t>VDC (Fault 발생시 상승전압)</t>
    <phoneticPr fontId="5" type="noConversion"/>
  </si>
  <si>
    <t>VDC (동작: RUN 중)</t>
    <phoneticPr fontId="5" type="noConversion"/>
  </si>
  <si>
    <t>C스너버 개당 C값</t>
    <phoneticPr fontId="9" type="noConversion"/>
  </si>
  <si>
    <t>트랜스포머 권선비</t>
    <phoneticPr fontId="5" type="noConversion"/>
  </si>
  <si>
    <t>열저항(Junction-Case)-Diode</t>
    <phoneticPr fontId="5" type="noConversion"/>
  </si>
  <si>
    <t>&lt;평판 인덕턴스 계산 공식&gt;</t>
    <phoneticPr fontId="5" type="noConversion"/>
  </si>
  <si>
    <t>Skin Depth (피가열체)</t>
  </si>
  <si>
    <t>*금속의 온도 상승별 저항변화 계수를 감안한 침투 깊이 환산식</t>
    <phoneticPr fontId="8" type="noConversion"/>
  </si>
  <si>
    <t>GA Strip 투자율/저항변화 계수를 감안한 침투 깊이 환산식</t>
    <phoneticPr fontId="8" type="noConversion"/>
  </si>
  <si>
    <t>도체의 종류</t>
    <phoneticPr fontId="5" type="noConversion"/>
  </si>
  <si>
    <t xml:space="preserve">타프피치 </t>
    <phoneticPr fontId="5" type="noConversion"/>
  </si>
  <si>
    <t>Mn 함량이있는 합금계 저항 추정치 (순철 Fe : 9.71)</t>
    <phoneticPr fontId="5" type="noConversion"/>
  </si>
  <si>
    <t>Material</t>
    <phoneticPr fontId="8" type="noConversion"/>
  </si>
  <si>
    <t>Hot Steel</t>
    <phoneticPr fontId="8" type="noConversion"/>
  </si>
  <si>
    <t>도체 고유전기저항(Ohm*m)</t>
    <phoneticPr fontId="5" type="noConversion"/>
  </si>
  <si>
    <t xml:space="preserve">Resistance </t>
    <phoneticPr fontId="5" type="noConversion"/>
  </si>
  <si>
    <t xml:space="preserve">Co K </t>
    <phoneticPr fontId="5" type="noConversion"/>
  </si>
  <si>
    <t>Temperature</t>
    <phoneticPr fontId="5" type="noConversion"/>
  </si>
  <si>
    <t>도체의 산출저항</t>
    <phoneticPr fontId="5" type="noConversion"/>
  </si>
  <si>
    <r>
      <t>Cal Resistance</t>
    </r>
    <r>
      <rPr>
        <b/>
        <sz val="11"/>
        <color indexed="10"/>
        <rFont val="맑은 고딕"/>
        <family val="3"/>
        <charset val="129"/>
      </rPr>
      <t xml:space="preserve"> </t>
    </r>
    <phoneticPr fontId="5" type="noConversion"/>
  </si>
  <si>
    <t>Cal Conductivity</t>
    <phoneticPr fontId="8" type="noConversion"/>
  </si>
  <si>
    <t>[SIMENS/m]</t>
    <phoneticPr fontId="8" type="noConversion"/>
  </si>
  <si>
    <t>Permerbility투자율</t>
    <phoneticPr fontId="5" type="noConversion"/>
  </si>
  <si>
    <r>
      <rPr>
        <b/>
        <sz val="11"/>
        <color indexed="8"/>
        <rFont val="맑은 고딕"/>
        <family val="3"/>
        <charset val="129"/>
      </rPr>
      <t>μ</t>
    </r>
    <r>
      <rPr>
        <b/>
        <sz val="11"/>
        <color indexed="8"/>
        <rFont val="맑은 고딕"/>
        <family val="3"/>
        <charset val="129"/>
      </rPr>
      <t>i</t>
    </r>
    <phoneticPr fontId="8" type="noConversion"/>
  </si>
  <si>
    <t>주파수(Hz)</t>
    <phoneticPr fontId="5" type="noConversion"/>
  </si>
  <si>
    <t>Frequency</t>
    <phoneticPr fontId="5" type="noConversion"/>
  </si>
  <si>
    <t>[kHz]</t>
    <phoneticPr fontId="5" type="noConversion"/>
  </si>
  <si>
    <t>[kHz]</t>
    <phoneticPr fontId="5" type="noConversion"/>
  </si>
  <si>
    <t>Skin Depth(m)</t>
    <phoneticPr fontId="5" type="noConversion"/>
  </si>
  <si>
    <t>Skin Depth(m)</t>
    <phoneticPr fontId="5" type="noConversion"/>
  </si>
  <si>
    <t>[m]</t>
    <phoneticPr fontId="5" type="noConversion"/>
  </si>
  <si>
    <t>Skin Depth(mm)</t>
    <phoneticPr fontId="5" type="noConversion"/>
  </si>
  <si>
    <t>X3 Skin Depth 
(조업 최저두께)</t>
    <phoneticPr fontId="8" type="noConversion"/>
  </si>
  <si>
    <t>[mmT]</t>
    <phoneticPr fontId="8" type="noConversion"/>
  </si>
  <si>
    <t>X3.5 Skin Depth
(에지 추가승온두께)</t>
    <phoneticPr fontId="8" type="noConversion"/>
  </si>
  <si>
    <t>Material</t>
    <phoneticPr fontId="8" type="noConversion"/>
  </si>
  <si>
    <t>Moly</t>
    <phoneticPr fontId="8" type="noConversion"/>
  </si>
  <si>
    <t>Tungsten</t>
    <phoneticPr fontId="8" type="noConversion"/>
  </si>
  <si>
    <t>Hot Steel</t>
    <phoneticPr fontId="8" type="noConversion"/>
  </si>
  <si>
    <t>SUS 4**</t>
    <phoneticPr fontId="8" type="noConversion"/>
  </si>
  <si>
    <t>Amorphous
 core</t>
    <phoneticPr fontId="8" type="noConversion"/>
  </si>
  <si>
    <t>Amolphous core</t>
    <phoneticPr fontId="8" type="noConversion"/>
  </si>
  <si>
    <t>[Ωm×10E-8]</t>
    <phoneticPr fontId="5" type="noConversion"/>
  </si>
  <si>
    <t>at 20℃</t>
    <phoneticPr fontId="5" type="noConversion"/>
  </si>
  <si>
    <t>Frequemcy (kHz)</t>
    <phoneticPr fontId="5" type="noConversion"/>
  </si>
  <si>
    <t>[mmT]</t>
    <phoneticPr fontId="8" type="noConversion"/>
  </si>
  <si>
    <t>SA508 Carbo-steel Specific Heat</t>
    <phoneticPr fontId="8" type="noConversion"/>
  </si>
  <si>
    <r>
      <t>[</t>
    </r>
    <r>
      <rPr>
        <sz val="11"/>
        <color indexed="8"/>
        <rFont val="맑은 고딕"/>
        <family val="3"/>
        <charset val="129"/>
      </rPr>
      <t>℃</t>
    </r>
    <r>
      <rPr>
        <sz val="11"/>
        <color indexed="8"/>
        <rFont val="맑은 고딕"/>
        <family val="3"/>
        <charset val="129"/>
      </rPr>
      <t>]</t>
    </r>
    <phoneticPr fontId="8" type="noConversion"/>
  </si>
  <si>
    <t>[W·s/kg·k]</t>
    <phoneticPr fontId="5" type="noConversion"/>
  </si>
  <si>
    <r>
      <t>[mW·s/ton</t>
    </r>
    <r>
      <rPr>
        <sz val="11"/>
        <color indexed="8"/>
        <rFont val="맑은 고딕"/>
        <family val="3"/>
        <charset val="129"/>
      </rPr>
      <t>·</t>
    </r>
    <r>
      <rPr>
        <sz val="11"/>
        <color indexed="8"/>
        <rFont val="맑은 고딕"/>
        <family val="3"/>
        <charset val="129"/>
      </rPr>
      <t>k]</t>
    </r>
    <phoneticPr fontId="8" type="noConversion"/>
  </si>
  <si>
    <r>
      <t xml:space="preserve">Co K </t>
    </r>
    <r>
      <rPr>
        <b/>
        <sz val="11"/>
        <color indexed="10"/>
        <rFont val="맑은 고딕"/>
        <family val="3"/>
        <charset val="129"/>
      </rPr>
      <t xml:space="preserve"> /1</t>
    </r>
    <r>
      <rPr>
        <b/>
        <sz val="11"/>
        <color indexed="10"/>
        <rFont val="맑은 고딕"/>
        <family val="3"/>
        <charset val="129"/>
      </rPr>
      <t>℃</t>
    </r>
    <phoneticPr fontId="5" type="noConversion"/>
  </si>
  <si>
    <t xml:space="preserve">Temperature </t>
    <phoneticPr fontId="5" type="noConversion"/>
  </si>
  <si>
    <t xml:space="preserve">Relative Permerbility
</t>
    <phoneticPr fontId="5" type="noConversion"/>
  </si>
  <si>
    <t>X2.5 Skin Depth(임계)</t>
    <phoneticPr fontId="8" type="noConversion"/>
  </si>
  <si>
    <t>X3 Skin Depth(고효율)</t>
    <phoneticPr fontId="8" type="noConversion"/>
  </si>
  <si>
    <t>코일 혹은 C/T 1차측 L값 (측정값 혹은 설계 값)</t>
    <phoneticPr fontId="5" type="noConversion"/>
  </si>
  <si>
    <t>코일의 Q값 (예상값 범위를 입력)</t>
    <phoneticPr fontId="5" type="noConversion"/>
  </si>
  <si>
    <t>Vdc 전압</t>
    <phoneticPr fontId="5" type="noConversion"/>
  </si>
  <si>
    <t>상당 입력 선전류 (차단기 및 FUSE 선정 기준)</t>
    <phoneticPr fontId="5" type="noConversion"/>
  </si>
  <si>
    <t>Idc 전류 (정류다이오드 선정 기준)</t>
    <phoneticPr fontId="5" type="noConversion"/>
  </si>
  <si>
    <t>공진 콘덴서 총 C값 (Fs 및 Fr를 원하는 주파수에 맞게 C값을 조정)</t>
    <phoneticPr fontId="5" type="noConversion"/>
  </si>
  <si>
    <t>기입순서</t>
    <phoneticPr fontId="5" type="noConversion"/>
  </si>
  <si>
    <t>Switching Current(peak)</t>
    <phoneticPr fontId="5" type="noConversion"/>
  </si>
  <si>
    <t>IGBT 병렬 수량</t>
    <phoneticPr fontId="5" type="noConversion"/>
  </si>
  <si>
    <t>IGBT Loss (Total)</t>
    <phoneticPr fontId="5" type="noConversion"/>
  </si>
  <si>
    <t>Diode Loss (Total)</t>
    <phoneticPr fontId="5" type="noConversion"/>
  </si>
  <si>
    <t>IGBT 1EA 당 흐르는 IC RMS 전류</t>
    <phoneticPr fontId="5" type="noConversion"/>
  </si>
  <si>
    <t>IGBT 병렬 연결 수량</t>
    <phoneticPr fontId="5" type="noConversion"/>
  </si>
  <si>
    <t>정현파 기준 PEAK치로 계산 (IC RMS *1.414)</t>
    <phoneticPr fontId="5" type="noConversion"/>
  </si>
  <si>
    <t>Loss %</t>
    <phoneticPr fontId="5" type="noConversion"/>
  </si>
  <si>
    <t>약 30% 이하가 되어야 함</t>
    <phoneticPr fontId="5" type="noConversion"/>
  </si>
  <si>
    <t>SINGLE 모듈: 1, DUAL 모듈: 2(62mm package)</t>
    <phoneticPr fontId="5" type="noConversion"/>
  </si>
  <si>
    <t>Total Loss/Module</t>
    <phoneticPr fontId="5" type="noConversion"/>
  </si>
  <si>
    <t>Vc Voltage</t>
    <phoneticPr fontId="5" type="noConversion"/>
  </si>
  <si>
    <t>Vl Voltage</t>
    <phoneticPr fontId="5" type="noConversion"/>
  </si>
  <si>
    <t xml:space="preserve">Vac max </t>
    <phoneticPr fontId="5" type="noConversion"/>
  </si>
  <si>
    <t>M/T 2차 구형파 전압으로 얻을 수 있는 AC 전압의 최대값</t>
    <phoneticPr fontId="5" type="noConversion"/>
  </si>
  <si>
    <t>Zl at Fr</t>
    <phoneticPr fontId="5" type="noConversion"/>
  </si>
  <si>
    <t>직렬공진회로 설계 시트_FM</t>
    <phoneticPr fontId="5" type="noConversion"/>
  </si>
  <si>
    <t>IGBT 발열량 계산(기초)</t>
    <phoneticPr fontId="5" type="noConversion"/>
  </si>
  <si>
    <t>&lt;평판 커패시턴스 계산 공식&gt;</t>
    <phoneticPr fontId="5" type="noConversion"/>
  </si>
  <si>
    <t>판 면적</t>
    <phoneticPr fontId="5" type="noConversion"/>
  </si>
  <si>
    <t>nF</t>
    <phoneticPr fontId="5" type="noConversion"/>
  </si>
  <si>
    <t>테프론(2.1)</t>
    <phoneticPr fontId="5" type="noConversion"/>
  </si>
  <si>
    <t>내부도체외경</t>
    <phoneticPr fontId="5" type="noConversion"/>
  </si>
  <si>
    <t>절연체두께</t>
    <phoneticPr fontId="5" type="noConversion"/>
  </si>
  <si>
    <t>판사이거리(절연체두께)</t>
    <phoneticPr fontId="5" type="noConversion"/>
  </si>
  <si>
    <t>외부도체내경</t>
    <phoneticPr fontId="5" type="noConversion"/>
  </si>
  <si>
    <t>공기유전율 (ε0)</t>
    <phoneticPr fontId="13" type="noConversion"/>
  </si>
  <si>
    <t>비유전율 (εr)</t>
    <phoneticPr fontId="5" type="noConversion"/>
  </si>
  <si>
    <t>C(단위길이당 1m 당)</t>
    <phoneticPr fontId="5" type="noConversion"/>
  </si>
  <si>
    <t>케이블 길이</t>
    <phoneticPr fontId="5" type="noConversion"/>
  </si>
  <si>
    <t xml:space="preserve">C값 </t>
    <phoneticPr fontId="5" type="noConversion"/>
  </si>
  <si>
    <t>m</t>
    <phoneticPr fontId="5" type="noConversion"/>
  </si>
  <si>
    <t>&lt;동축케이블 커패시턴스 계산 공식&gt;</t>
    <phoneticPr fontId="5" type="noConversion"/>
  </si>
  <si>
    <t>정격전력</t>
    <phoneticPr fontId="14" type="noConversion"/>
  </si>
  <si>
    <t>입력전압</t>
    <phoneticPr fontId="14" type="noConversion"/>
  </si>
  <si>
    <t>입력선전류</t>
    <phoneticPr fontId="14" type="noConversion"/>
  </si>
  <si>
    <t>DC전압</t>
    <phoneticPr fontId="14" type="noConversion"/>
  </si>
  <si>
    <t>DC전류</t>
    <phoneticPr fontId="14" type="noConversion"/>
  </si>
  <si>
    <t>필요SQ</t>
    <phoneticPr fontId="14" type="noConversion"/>
  </si>
  <si>
    <t>SQ당 전류</t>
    <phoneticPr fontId="14" type="noConversion"/>
  </si>
  <si>
    <t>인입선SQ</t>
    <phoneticPr fontId="14" type="noConversion"/>
  </si>
  <si>
    <t>가닥수</t>
    <phoneticPr fontId="14" type="noConversion"/>
  </si>
  <si>
    <t>접지선필요SQ</t>
    <phoneticPr fontId="14" type="noConversion"/>
  </si>
  <si>
    <t>접지선SQ</t>
    <phoneticPr fontId="14" type="noConversion"/>
  </si>
  <si>
    <t>차단기 용량</t>
    <phoneticPr fontId="14" type="noConversion"/>
  </si>
  <si>
    <t xml:space="preserve">Main차단기 </t>
    <phoneticPr fontId="14" type="noConversion"/>
  </si>
  <si>
    <t>3상입력선SQ</t>
    <phoneticPr fontId="14" type="noConversion"/>
  </si>
  <si>
    <t>퓨즈용량</t>
    <phoneticPr fontId="14" type="noConversion"/>
  </si>
  <si>
    <t>퓨즈</t>
    <phoneticPr fontId="14" type="noConversion"/>
  </si>
  <si>
    <t>정류소자</t>
    <phoneticPr fontId="14" type="noConversion"/>
  </si>
  <si>
    <t>DC REACTOR</t>
    <phoneticPr fontId="14" type="noConversion"/>
  </si>
  <si>
    <t>션트저항</t>
    <phoneticPr fontId="14" type="noConversion"/>
  </si>
  <si>
    <t>초기충전</t>
    <phoneticPr fontId="14" type="noConversion"/>
  </si>
  <si>
    <t>DC과전압보호</t>
    <phoneticPr fontId="14" type="noConversion"/>
  </si>
  <si>
    <t>다이오드</t>
    <phoneticPr fontId="14" type="noConversion"/>
  </si>
  <si>
    <t>SCR</t>
    <phoneticPr fontId="14" type="noConversion"/>
  </si>
  <si>
    <t>GMC-75</t>
    <phoneticPr fontId="14" type="noConversion"/>
  </si>
  <si>
    <t>25 (연선)</t>
    <phoneticPr fontId="14" type="noConversion"/>
  </si>
  <si>
    <t>100A</t>
    <phoneticPr fontId="14" type="noConversion"/>
  </si>
  <si>
    <t>DDB6U215N16L</t>
    <phoneticPr fontId="14" type="noConversion"/>
  </si>
  <si>
    <t>50XF</t>
  </si>
  <si>
    <t>100A</t>
    <phoneticPr fontId="14" type="noConversion"/>
  </si>
  <si>
    <t>INRUSH_V6</t>
    <phoneticPr fontId="14" type="noConversion"/>
  </si>
  <si>
    <t>-</t>
    <phoneticPr fontId="14" type="noConversion"/>
  </si>
  <si>
    <t>GMC-50</t>
    <phoneticPr fontId="14" type="noConversion"/>
  </si>
  <si>
    <t>16 (연선)</t>
    <phoneticPr fontId="14" type="noConversion"/>
  </si>
  <si>
    <t>50A</t>
    <phoneticPr fontId="14" type="noConversion"/>
  </si>
  <si>
    <t>INRUSH_V6</t>
    <phoneticPr fontId="14" type="noConversion"/>
  </si>
  <si>
    <t>GMC-125</t>
    <phoneticPr fontId="14" type="noConversion"/>
  </si>
  <si>
    <t>35 (연선)</t>
    <phoneticPr fontId="14" type="noConversion"/>
  </si>
  <si>
    <t>120A</t>
    <phoneticPr fontId="14" type="noConversion"/>
  </si>
  <si>
    <t>150A</t>
    <phoneticPr fontId="14" type="noConversion"/>
  </si>
  <si>
    <t>ABS203c 200A</t>
    <phoneticPr fontId="14" type="noConversion"/>
  </si>
  <si>
    <t>50 (연선)</t>
    <phoneticPr fontId="14" type="noConversion"/>
  </si>
  <si>
    <t>200A</t>
    <phoneticPr fontId="14" type="noConversion"/>
  </si>
  <si>
    <t>DD171N16K/MDD17216N1</t>
    <phoneticPr fontId="14" type="noConversion"/>
  </si>
  <si>
    <t>100XF</t>
    <phoneticPr fontId="14" type="noConversion"/>
  </si>
  <si>
    <t>300A</t>
    <phoneticPr fontId="14" type="noConversion"/>
  </si>
  <si>
    <t>INRUSH_MC_DC SUNBBER</t>
    <phoneticPr fontId="14" type="noConversion"/>
  </si>
  <si>
    <t>ABS103c 125A</t>
    <phoneticPr fontId="14" type="noConversion"/>
  </si>
  <si>
    <t>ABS403c 300A</t>
    <phoneticPr fontId="14" type="noConversion"/>
  </si>
  <si>
    <t>95 (연선)*2</t>
    <phoneticPr fontId="14" type="noConversion"/>
  </si>
  <si>
    <t>300A</t>
    <phoneticPr fontId="14" type="noConversion"/>
  </si>
  <si>
    <t>100XF</t>
    <phoneticPr fontId="14" type="noConversion"/>
  </si>
  <si>
    <t>95 (연선)</t>
    <phoneticPr fontId="14" type="noConversion"/>
  </si>
  <si>
    <t>250A</t>
    <phoneticPr fontId="14" type="noConversion"/>
  </si>
  <si>
    <t>200XF</t>
    <phoneticPr fontId="14" type="noConversion"/>
  </si>
  <si>
    <t>ABS203c 225A</t>
    <phoneticPr fontId="14" type="noConversion"/>
  </si>
  <si>
    <t>400A</t>
    <phoneticPr fontId="14" type="noConversion"/>
  </si>
  <si>
    <t>ABS403c 400A</t>
    <phoneticPr fontId="14" type="noConversion"/>
  </si>
  <si>
    <t>500A</t>
    <phoneticPr fontId="14" type="noConversion"/>
  </si>
  <si>
    <t>DD350N16K1/MDD31216N1</t>
    <phoneticPr fontId="14" type="noConversion"/>
  </si>
  <si>
    <t>ABS603c 500A</t>
    <phoneticPr fontId="14" type="noConversion"/>
  </si>
  <si>
    <t>40*8T (부스바)</t>
    <phoneticPr fontId="14" type="noConversion"/>
  </si>
  <si>
    <t>600A</t>
    <phoneticPr fontId="14" type="noConversion"/>
  </si>
  <si>
    <t>400XF</t>
    <phoneticPr fontId="14" type="noConversion"/>
  </si>
  <si>
    <t>40*6T (부스바)</t>
    <phoneticPr fontId="14" type="noConversion"/>
  </si>
  <si>
    <t>ABS603c 630A</t>
    <phoneticPr fontId="14" type="noConversion"/>
  </si>
  <si>
    <t>800A</t>
    <phoneticPr fontId="14" type="noConversion"/>
  </si>
  <si>
    <t>ABS803c 800A</t>
    <phoneticPr fontId="14" type="noConversion"/>
  </si>
  <si>
    <t>50*10T (부스바)</t>
    <phoneticPr fontId="14" type="noConversion"/>
  </si>
  <si>
    <t>DD600N16K</t>
    <phoneticPr fontId="14" type="noConversion"/>
  </si>
  <si>
    <t>1000A</t>
    <phoneticPr fontId="14" type="noConversion"/>
  </si>
  <si>
    <t>50*11T (부스바)</t>
  </si>
  <si>
    <t>900A</t>
    <phoneticPr fontId="14" type="noConversion"/>
  </si>
  <si>
    <t>ABS1003c 1000A</t>
    <phoneticPr fontId="14" type="noConversion"/>
  </si>
  <si>
    <t>50*12T (부스바)</t>
    <phoneticPr fontId="14" type="noConversion"/>
  </si>
  <si>
    <t>500XF_규소강판_명신산업적용</t>
    <phoneticPr fontId="14" type="noConversion"/>
  </si>
  <si>
    <t>1500A</t>
    <phoneticPr fontId="14" type="noConversion"/>
  </si>
  <si>
    <t>ABS1003c 1200A</t>
    <phoneticPr fontId="14" type="noConversion"/>
  </si>
  <si>
    <t>1200A</t>
    <phoneticPr fontId="14" type="noConversion"/>
  </si>
  <si>
    <t>600XF_규소강판_명신산업적용</t>
    <phoneticPr fontId="14" type="noConversion"/>
  </si>
  <si>
    <t>저항 사용</t>
    <phoneticPr fontId="14" type="noConversion"/>
  </si>
  <si>
    <t>CROWBAR 회로_MCO500</t>
    <phoneticPr fontId="14" type="noConversion"/>
  </si>
  <si>
    <t>ACB_1250A</t>
    <phoneticPr fontId="14" type="noConversion"/>
  </si>
  <si>
    <t>DH-804_480 (편조선)</t>
    <phoneticPr fontId="14" type="noConversion"/>
  </si>
  <si>
    <t>-</t>
    <phoneticPr fontId="14" type="noConversion"/>
  </si>
  <si>
    <t>DD600N16K</t>
    <phoneticPr fontId="14" type="noConversion"/>
  </si>
  <si>
    <t>규소강판_신규설계</t>
    <phoneticPr fontId="14" type="noConversion"/>
  </si>
  <si>
    <t>1500A</t>
    <phoneticPr fontId="14" type="noConversion"/>
  </si>
  <si>
    <t>저항 사용</t>
    <phoneticPr fontId="14" type="noConversion"/>
  </si>
  <si>
    <t>CROWBAR 회로_MCO500</t>
    <phoneticPr fontId="14" type="noConversion"/>
  </si>
  <si>
    <t>2000A</t>
    <phoneticPr fontId="14" type="noConversion"/>
  </si>
  <si>
    <t>ACB_1600A</t>
    <phoneticPr fontId="14" type="noConversion"/>
  </si>
  <si>
    <t>DH-805_640 (편조선)</t>
    <phoneticPr fontId="14" type="noConversion"/>
  </si>
  <si>
    <t>ACB_2000A</t>
    <phoneticPr fontId="14" type="noConversion"/>
  </si>
  <si>
    <t>DH-1006_800 (편조선)</t>
    <phoneticPr fontId="14" type="noConversion"/>
  </si>
  <si>
    <t>MDD810-16N2</t>
  </si>
  <si>
    <t>N1806QK160</t>
    <phoneticPr fontId="14" type="noConversion"/>
  </si>
  <si>
    <t>2500A</t>
    <phoneticPr fontId="14" type="noConversion"/>
  </si>
  <si>
    <t>ACB_2500A</t>
    <phoneticPr fontId="14" type="noConversion"/>
  </si>
  <si>
    <t>DH-1007_1000 (편조선)</t>
    <phoneticPr fontId="14" type="noConversion"/>
  </si>
  <si>
    <t>CROWBAR 회로_N1806QK160</t>
    <phoneticPr fontId="14" type="noConversion"/>
  </si>
  <si>
    <t>ACB_2500A</t>
    <phoneticPr fontId="14" type="noConversion"/>
  </si>
  <si>
    <t>DH-1007_1000 (편조선)</t>
    <phoneticPr fontId="14" type="noConversion"/>
  </si>
  <si>
    <t>-</t>
    <phoneticPr fontId="14" type="noConversion"/>
  </si>
  <si>
    <t>N1806QK160</t>
    <phoneticPr fontId="14" type="noConversion"/>
  </si>
  <si>
    <t>규소강판_신규설계</t>
    <phoneticPr fontId="14" type="noConversion"/>
  </si>
  <si>
    <t>2500A</t>
    <phoneticPr fontId="14" type="noConversion"/>
  </si>
  <si>
    <t>저항 사용</t>
    <phoneticPr fontId="14" type="noConversion"/>
  </si>
  <si>
    <t>W3270N#160</t>
    <phoneticPr fontId="14" type="noConversion"/>
  </si>
  <si>
    <t>3000A</t>
    <phoneticPr fontId="14" type="noConversion"/>
  </si>
  <si>
    <t>CROWBAR 회로_N1806QK160</t>
    <phoneticPr fontId="14" type="noConversion"/>
  </si>
  <si>
    <t>ACB_3200A</t>
    <phoneticPr fontId="14" type="noConversion"/>
  </si>
  <si>
    <t>DH-1006_800*2 (편조선)</t>
    <phoneticPr fontId="14" type="noConversion"/>
  </si>
  <si>
    <t>W3270N#160</t>
  </si>
  <si>
    <t>N2593MK160</t>
    <phoneticPr fontId="14" type="noConversion"/>
  </si>
  <si>
    <t>4000A</t>
    <phoneticPr fontId="14" type="noConversion"/>
  </si>
  <si>
    <t>CROWBAR 회로_N2593MK160</t>
    <phoneticPr fontId="14" type="noConversion"/>
  </si>
  <si>
    <t>W3270N#160</t>
    <phoneticPr fontId="14" type="noConversion"/>
  </si>
  <si>
    <t>ACB_4000A</t>
    <phoneticPr fontId="14" type="noConversion"/>
  </si>
  <si>
    <t>5000A</t>
    <phoneticPr fontId="14" type="noConversion"/>
  </si>
  <si>
    <t>6000A</t>
    <phoneticPr fontId="14" type="noConversion"/>
  </si>
  <si>
    <t>CROWBAR 회로_N2593MK160</t>
    <phoneticPr fontId="14" type="noConversion"/>
  </si>
  <si>
    <t>ACB_3200A</t>
    <phoneticPr fontId="14" type="noConversion"/>
  </si>
  <si>
    <t>DH-1006_800*2 (편조선)</t>
    <phoneticPr fontId="14" type="noConversion"/>
  </si>
  <si>
    <t>-</t>
    <phoneticPr fontId="14" type="noConversion"/>
  </si>
  <si>
    <t>N2593MK160</t>
    <phoneticPr fontId="14" type="noConversion"/>
  </si>
  <si>
    <t>규소강판_신규설계</t>
    <phoneticPr fontId="14" type="noConversion"/>
  </si>
  <si>
    <t>4000A</t>
    <phoneticPr fontId="14" type="noConversion"/>
  </si>
  <si>
    <t xml:space="preserve">PROJECT </t>
    <phoneticPr fontId="15" type="noConversion"/>
  </si>
  <si>
    <t>작성일시</t>
    <phoneticPr fontId="15" type="noConversion"/>
  </si>
  <si>
    <t>요청 일시</t>
  </si>
  <si>
    <t>시운전일시</t>
    <phoneticPr fontId="15" type="noConversion"/>
  </si>
  <si>
    <t>납품 일시</t>
  </si>
  <si>
    <t>PROGRAM SPECIFICATION</t>
    <phoneticPr fontId="15" type="noConversion"/>
  </si>
  <si>
    <t>CLOCK</t>
    <phoneticPr fontId="15" type="noConversion"/>
  </si>
  <si>
    <t>M</t>
    <phoneticPr fontId="15" type="noConversion"/>
  </si>
  <si>
    <t>SCALE</t>
    <phoneticPr fontId="15" type="noConversion"/>
  </si>
  <si>
    <t>분주</t>
    <phoneticPr fontId="15" type="noConversion"/>
  </si>
  <si>
    <t>ECAP_CLOCK_10HZ</t>
    <phoneticPr fontId="15" type="noConversion"/>
  </si>
  <si>
    <t>FREQUENCY</t>
    <phoneticPr fontId="15" type="noConversion"/>
  </si>
  <si>
    <t>PERIOD</t>
    <phoneticPr fontId="15" type="noConversion"/>
  </si>
  <si>
    <t>HALF PERIOD</t>
    <phoneticPr fontId="15" type="noConversion"/>
  </si>
  <si>
    <t>POWER</t>
    <phoneticPr fontId="15" type="noConversion"/>
  </si>
  <si>
    <t>MAXIMUM</t>
    <phoneticPr fontId="15" type="noConversion"/>
  </si>
  <si>
    <t>kW</t>
    <phoneticPr fontId="15" type="noConversion"/>
  </si>
  <si>
    <t>MINIMUM</t>
    <phoneticPr fontId="15" type="noConversion"/>
  </si>
  <si>
    <t>INPUT VOLTAGE</t>
    <phoneticPr fontId="15" type="noConversion"/>
  </si>
  <si>
    <t>VAC</t>
    <phoneticPr fontId="15" type="noConversion"/>
  </si>
  <si>
    <t>Vo MAX</t>
    <phoneticPr fontId="15" type="noConversion"/>
  </si>
  <si>
    <t>V</t>
    <phoneticPr fontId="15" type="noConversion"/>
  </si>
  <si>
    <t>INRUSH Voltage</t>
    <phoneticPr fontId="15" type="noConversion"/>
  </si>
  <si>
    <t>UVP</t>
    <phoneticPr fontId="15" type="noConversion"/>
  </si>
  <si>
    <t>전류 센싱</t>
    <phoneticPr fontId="15" type="noConversion"/>
  </si>
  <si>
    <t>SHUNT</t>
    <phoneticPr fontId="15" type="noConversion"/>
  </si>
  <si>
    <t>A/50mV</t>
    <phoneticPr fontId="15" type="noConversion"/>
  </si>
  <si>
    <t>Io OCP</t>
    <phoneticPr fontId="15" type="noConversion"/>
  </si>
  <si>
    <t>A</t>
    <phoneticPr fontId="15" type="noConversion"/>
  </si>
  <si>
    <t>공진 전류 센싱</t>
    <phoneticPr fontId="15" type="noConversion"/>
  </si>
  <si>
    <t>RESISTOR</t>
    <phoneticPr fontId="15" type="noConversion"/>
  </si>
  <si>
    <t>Ω</t>
    <phoneticPr fontId="15" type="noConversion"/>
  </si>
  <si>
    <t>PARALLEL</t>
    <phoneticPr fontId="15" type="noConversion"/>
  </si>
  <si>
    <t>개수</t>
    <phoneticPr fontId="15" type="noConversion"/>
  </si>
  <si>
    <t>CT</t>
    <phoneticPr fontId="15" type="noConversion"/>
  </si>
  <si>
    <t>:1</t>
    <phoneticPr fontId="15" type="noConversion"/>
  </si>
  <si>
    <t>실제 CURRENT</t>
    <phoneticPr fontId="15" type="noConversion"/>
  </si>
  <si>
    <t>IR RMS</t>
    <phoneticPr fontId="15" type="noConversion"/>
  </si>
  <si>
    <t>IR AVG(LCD)</t>
    <phoneticPr fontId="15" type="noConversion"/>
  </si>
  <si>
    <t>IR OCP</t>
    <phoneticPr fontId="15" type="noConversion"/>
  </si>
  <si>
    <t>AD REF
(4 ~ 20mA)</t>
    <phoneticPr fontId="15" type="noConversion"/>
  </si>
  <si>
    <t xml:space="preserve">kW </t>
    <phoneticPr fontId="15" type="noConversion"/>
  </si>
  <si>
    <t>DA POWER</t>
    <phoneticPr fontId="15" type="noConversion"/>
  </si>
  <si>
    <t>DA FREQUENCY</t>
    <phoneticPr fontId="15" type="noConversion"/>
  </si>
  <si>
    <t>Hz</t>
    <phoneticPr fontId="15" type="noConversion"/>
  </si>
  <si>
    <t>공진 CAP</t>
    <phoneticPr fontId="15" type="noConversion"/>
  </si>
  <si>
    <t>RESONANT_CAP</t>
    <phoneticPr fontId="15" type="noConversion"/>
  </si>
  <si>
    <t xml:space="preserve">uF </t>
    <phoneticPr fontId="15" type="noConversion"/>
  </si>
  <si>
    <t>VOLTAGE</t>
    <phoneticPr fontId="15" type="noConversion"/>
  </si>
  <si>
    <t>SET_Vr</t>
    <phoneticPr fontId="15" type="noConversion"/>
  </si>
  <si>
    <t>M/T</t>
    <phoneticPr fontId="15" type="noConversion"/>
  </si>
  <si>
    <t>SET_TURN_RATIO</t>
  </si>
  <si>
    <t>동작 주파수</t>
    <phoneticPr fontId="15" type="noConversion"/>
  </si>
  <si>
    <t>START FREQUENCY</t>
    <phoneticPr fontId="15" type="noConversion"/>
  </si>
  <si>
    <t>PWM FREQUENCY</t>
    <phoneticPr fontId="15" type="noConversion"/>
  </si>
  <si>
    <t>DEAD TIME</t>
    <phoneticPr fontId="15" type="noConversion"/>
  </si>
  <si>
    <t xml:space="preserve">uS </t>
    <phoneticPr fontId="15" type="noConversion"/>
  </si>
  <si>
    <t>분주 주파수</t>
    <phoneticPr fontId="15" type="noConversion"/>
  </si>
  <si>
    <t>SET DEAD TIME</t>
    <phoneticPr fontId="15" type="noConversion"/>
  </si>
  <si>
    <t>COUNT</t>
    <phoneticPr fontId="15" type="noConversion"/>
  </si>
  <si>
    <t>EXT FAULT</t>
    <phoneticPr fontId="15" type="noConversion"/>
  </si>
  <si>
    <t>FLT1</t>
    <phoneticPr fontId="15" type="noConversion"/>
  </si>
  <si>
    <t>DOOR OPEN</t>
    <phoneticPr fontId="15" type="noConversion"/>
  </si>
  <si>
    <t>○</t>
    <phoneticPr fontId="15" type="noConversion"/>
  </si>
  <si>
    <t>FLT2</t>
  </si>
  <si>
    <t>OPP CAP</t>
    <phoneticPr fontId="15" type="noConversion"/>
  </si>
  <si>
    <t>FLT3</t>
  </si>
  <si>
    <t>OTP WATER</t>
    <phoneticPr fontId="15" type="noConversion"/>
  </si>
  <si>
    <t>FLT4</t>
  </si>
  <si>
    <t>FLOW WATER</t>
    <phoneticPr fontId="15" type="noConversion"/>
  </si>
  <si>
    <t>FLT5</t>
  </si>
  <si>
    <t>MA/CB AUX</t>
    <phoneticPr fontId="15" type="noConversion"/>
  </si>
  <si>
    <t>FLT6</t>
  </si>
  <si>
    <t>SPARE</t>
    <phoneticPr fontId="15" type="noConversion"/>
  </si>
  <si>
    <t>X</t>
    <phoneticPr fontId="15" type="noConversion"/>
  </si>
  <si>
    <t>FLT7</t>
  </si>
  <si>
    <t>LEAK WATER</t>
    <phoneticPr fontId="15" type="noConversion"/>
  </si>
  <si>
    <t>CONTROL MODE</t>
    <phoneticPr fontId="15" type="noConversion"/>
  </si>
  <si>
    <t>공진회로</t>
    <phoneticPr fontId="15" type="noConversion"/>
  </si>
  <si>
    <t>특이 사항</t>
    <phoneticPr fontId="15" type="noConversion"/>
  </si>
  <si>
    <t>IH PROGRAM SETTING VALUE_Digital</t>
    <phoneticPr fontId="15" type="noConversion"/>
  </si>
  <si>
    <t>공정</t>
    <phoneticPr fontId="16" type="noConversion"/>
  </si>
  <si>
    <t>전력</t>
    <phoneticPr fontId="16" type="noConversion"/>
  </si>
  <si>
    <t>예상 동작 주파수</t>
    <phoneticPr fontId="16" type="noConversion"/>
  </si>
  <si>
    <t>MCCB</t>
    <phoneticPr fontId="16" type="noConversion"/>
  </si>
  <si>
    <t>FUSE</t>
    <phoneticPr fontId="16" type="noConversion"/>
  </si>
  <si>
    <t xml:space="preserve">DIODE </t>
    <phoneticPr fontId="16" type="noConversion"/>
  </si>
  <si>
    <t>인러쉬 충전 및 과전압보호</t>
    <phoneticPr fontId="16" type="noConversion"/>
  </si>
  <si>
    <t>전류센싱 션트저항</t>
    <phoneticPr fontId="16" type="noConversion"/>
  </si>
  <si>
    <t>1000A</t>
    <phoneticPr fontId="16" type="noConversion"/>
  </si>
  <si>
    <t>제어방식</t>
    <phoneticPr fontId="16" type="noConversion"/>
  </si>
  <si>
    <t>PFM (Half Bridge)</t>
    <phoneticPr fontId="16" type="noConversion"/>
  </si>
  <si>
    <t>M/T(Matching Transformer)</t>
    <phoneticPr fontId="16" type="noConversion"/>
  </si>
  <si>
    <t>전류센싱 C/T</t>
    <phoneticPr fontId="16" type="noConversion"/>
  </si>
  <si>
    <t>DC BLOCKING CAP</t>
    <phoneticPr fontId="16" type="noConversion"/>
  </si>
  <si>
    <t>공진 CAP</t>
    <phoneticPr fontId="16" type="noConversion"/>
  </si>
  <si>
    <t>공진 CAP 구조</t>
    <phoneticPr fontId="16" type="noConversion"/>
  </si>
  <si>
    <t xml:space="preserve">코일 </t>
    <phoneticPr fontId="16" type="noConversion"/>
  </si>
  <si>
    <t>코일 연결 구조</t>
    <phoneticPr fontId="16" type="noConversion"/>
  </si>
  <si>
    <t>예상 Q값</t>
    <phoneticPr fontId="16" type="noConversion"/>
  </si>
  <si>
    <t>입력 선전류( 마진포함)</t>
    <phoneticPr fontId="16" type="noConversion"/>
  </si>
  <si>
    <t>입력 DC전류</t>
    <phoneticPr fontId="16" type="noConversion"/>
  </si>
  <si>
    <t>인버터 출력전류(M/T 1차)</t>
    <phoneticPr fontId="16" type="noConversion"/>
  </si>
  <si>
    <t>공진전류(공진CAP,출력케이블)</t>
    <phoneticPr fontId="16" type="noConversion"/>
  </si>
  <si>
    <t>비고</t>
    <phoneticPr fontId="16" type="noConversion"/>
  </si>
  <si>
    <t>고객사</t>
    <phoneticPr fontId="16" type="noConversion"/>
  </si>
  <si>
    <t>MAIN C/T</t>
    <phoneticPr fontId="5" type="noConversion"/>
  </si>
  <si>
    <t>사용안함</t>
    <phoneticPr fontId="16" type="noConversion"/>
  </si>
  <si>
    <t>주파수[kHz]</t>
    <phoneticPr fontId="5" type="noConversion"/>
  </si>
  <si>
    <t>규소강판[Tesla]</t>
    <phoneticPr fontId="5" type="noConversion"/>
  </si>
  <si>
    <t>아몰퍼스[Tesla]</t>
    <phoneticPr fontId="5" type="noConversion"/>
  </si>
  <si>
    <t>페라이트[Tesla]</t>
    <phoneticPr fontId="5" type="noConversion"/>
  </si>
  <si>
    <t>dT 75~80℃기준</t>
    <phoneticPr fontId="5" type="noConversion"/>
  </si>
  <si>
    <t>dT 60℃기준</t>
    <phoneticPr fontId="5" type="noConversion"/>
  </si>
  <si>
    <t>dT 80℃기준</t>
    <phoneticPr fontId="5" type="noConversion"/>
  </si>
  <si>
    <t>최대자속밀도(온도dT기준)</t>
    <phoneticPr fontId="5" type="noConversion"/>
  </si>
  <si>
    <t>HALF(2)/FULL(1)</t>
    <phoneticPr fontId="5" type="noConversion"/>
  </si>
  <si>
    <t>&lt;코아/주파수별 자속밀도 실험 데이터&gt;</t>
    <phoneticPr fontId="5" type="noConversion"/>
  </si>
  <si>
    <t>규소강판(0.2t, Si 3%)</t>
    <phoneticPr fontId="5" type="noConversion"/>
  </si>
  <si>
    <t>아몰퍼스(50x175xSF)</t>
    <phoneticPr fontId="5" type="noConversion"/>
  </si>
  <si>
    <t>코아 종류</t>
    <phoneticPr fontId="5" type="noConversion"/>
  </si>
  <si>
    <t>&lt;코아 중족 단면적 ( 1조기준, 주사용품)&gt;</t>
    <phoneticPr fontId="5" type="noConversion"/>
  </si>
  <si>
    <t>UU100</t>
    <phoneticPr fontId="5" type="noConversion"/>
  </si>
  <si>
    <t>UU120</t>
    <phoneticPr fontId="5" type="noConversion"/>
  </si>
  <si>
    <t>UU120C</t>
    <phoneticPr fontId="5" type="noConversion"/>
  </si>
  <si>
    <t>I118+I140 조합</t>
    <phoneticPr fontId="5" type="noConversion"/>
  </si>
  <si>
    <t>중족단면적(Ae)</t>
    <phoneticPr fontId="5" type="noConversion"/>
  </si>
  <si>
    <t>3상 : 0.93, 6상: 0.96 (설계시에는 마진 고려 0.9로 함)</t>
    <phoneticPr fontId="5" type="noConversion"/>
  </si>
  <si>
    <t>uH</t>
  </si>
  <si>
    <t xml:space="preserve">단위길이당 L값 (2EA) </t>
    <phoneticPr fontId="5" type="noConversion"/>
  </si>
  <si>
    <t>수냉케이블 길이 (2EA)</t>
    <phoneticPr fontId="5" type="noConversion"/>
  </si>
  <si>
    <t>수냉케이블 L값 (2EA)</t>
    <phoneticPr fontId="5" type="noConversion"/>
  </si>
  <si>
    <t xml:space="preserve">단위길이당 L값 (4EA) </t>
    <phoneticPr fontId="5" type="noConversion"/>
  </si>
  <si>
    <t>수냉케이블 길이 (4EA)</t>
    <phoneticPr fontId="5" type="noConversion"/>
  </si>
  <si>
    <t>수냉케이블 L값 (4EA)</t>
    <phoneticPr fontId="5" type="noConversion"/>
  </si>
  <si>
    <t>&lt;수냉케이블 L값 계산 공식: 10kHz 기준, 트위스트 하지 않음&gt;</t>
    <phoneticPr fontId="5" type="noConversion"/>
  </si>
  <si>
    <t>&lt;동 부스바(DC) 발열량 계산 공식&gt;</t>
    <phoneticPr fontId="5" type="noConversion"/>
  </si>
  <si>
    <t>&lt;동 부스바(AC) 발열량 계산 공식&gt;</t>
    <phoneticPr fontId="5" type="noConversion"/>
  </si>
  <si>
    <t>&lt;동 파이프(AC) 발열량 계산 공식&gt;</t>
    <phoneticPr fontId="5" type="noConversion"/>
  </si>
  <si>
    <t>&lt;사각 파이프(AC) 발열량 계산 공식&gt;</t>
    <phoneticPr fontId="5" type="noConversion"/>
  </si>
  <si>
    <t>mmSQ당 전류</t>
    <phoneticPr fontId="5" type="noConversion"/>
  </si>
  <si>
    <t>CROWBAR 회로_N1806QK160,N1114</t>
    <phoneticPr fontId="14" type="noConversion"/>
  </si>
  <si>
    <t>FLT8</t>
    <phoneticPr fontId="5" type="noConversion"/>
  </si>
  <si>
    <t>COIL TOUCH(열처리)
GOUND LEAK(용해로)</t>
    <phoneticPr fontId="5" type="noConversion"/>
  </si>
  <si>
    <t>○</t>
    <phoneticPr fontId="5" type="noConversion"/>
  </si>
  <si>
    <t>FLT9</t>
    <phoneticPr fontId="8" type="noConversion"/>
  </si>
  <si>
    <t>FUSE OPEN</t>
    <phoneticPr fontId="8" type="noConversion"/>
  </si>
  <si>
    <t>○</t>
    <phoneticPr fontId="8" type="noConversion"/>
  </si>
  <si>
    <t>FLT10</t>
    <phoneticPr fontId="8" type="noConversion"/>
  </si>
  <si>
    <t>OVGR</t>
    <phoneticPr fontId="8" type="noConversion"/>
  </si>
  <si>
    <t>IR OCP</t>
    <phoneticPr fontId="8" type="noConversion"/>
  </si>
  <si>
    <t>IIN OCP</t>
    <phoneticPr fontId="8" type="noConversion"/>
  </si>
  <si>
    <t>MD FAULT</t>
    <phoneticPr fontId="8" type="noConversion"/>
  </si>
  <si>
    <t>&lt;FUSE 용량 계산 공식&gt;</t>
    <phoneticPr fontId="5" type="noConversion"/>
  </si>
  <si>
    <t>입력선전압</t>
    <phoneticPr fontId="5" type="noConversion"/>
  </si>
  <si>
    <t>V 이상</t>
    <phoneticPr fontId="5" type="noConversion"/>
  </si>
  <si>
    <t>A 이상</t>
    <phoneticPr fontId="5" type="noConversion"/>
  </si>
  <si>
    <t>FUSE 정격전압</t>
    <phoneticPr fontId="5" type="noConversion"/>
  </si>
  <si>
    <t>FUSE 정격전류</t>
    <phoneticPr fontId="5" type="noConversion"/>
  </si>
  <si>
    <t>Vin(입력선전압)</t>
    <phoneticPr fontId="5" type="noConversion"/>
  </si>
  <si>
    <t>&lt;컷오프주파수 계산 공식&gt;</t>
    <phoneticPr fontId="5" type="noConversion"/>
  </si>
  <si>
    <t>&lt;직렬공진주파수 계산 공식&gt;</t>
    <phoneticPr fontId="5" type="noConversion"/>
  </si>
  <si>
    <t>직렬공진회로(FULL BRIDGE)</t>
    <phoneticPr fontId="15" type="noConversion"/>
  </si>
  <si>
    <t>코일전류</t>
    <phoneticPr fontId="5" type="noConversion"/>
  </si>
  <si>
    <t>메인 컨트롤 보드</t>
    <phoneticPr fontId="5" type="noConversion"/>
  </si>
  <si>
    <t>게이트 드라이버 보드</t>
    <phoneticPr fontId="5" type="noConversion"/>
  </si>
  <si>
    <t>확장(익스펜션) 보드</t>
    <phoneticPr fontId="5" type="noConversion"/>
  </si>
  <si>
    <t>모듈 컨트롤 보드</t>
    <phoneticPr fontId="5" type="noConversion"/>
  </si>
  <si>
    <t>Cold Steel</t>
    <phoneticPr fontId="8" type="noConversion"/>
  </si>
  <si>
    <t>&lt;DC 인덕터 L값)&gt;</t>
    <phoneticPr fontId="5" type="noConversion"/>
  </si>
  <si>
    <t>규격</t>
    <phoneticPr fontId="5" type="noConversion"/>
  </si>
  <si>
    <t>자재코드</t>
    <phoneticPr fontId="5" type="noConversion"/>
  </si>
  <si>
    <t>L값(360Hz)</t>
    <phoneticPr fontId="5" type="noConversion"/>
  </si>
  <si>
    <t xml:space="preserve">[PSIH-50XF-L1F-V1] </t>
    <phoneticPr fontId="5" type="noConversion"/>
  </si>
  <si>
    <t>LLL00001</t>
    <phoneticPr fontId="17" type="noConversion"/>
  </si>
  <si>
    <t>60uH</t>
    <phoneticPr fontId="17" type="noConversion"/>
  </si>
  <si>
    <t xml:space="preserve">[PSIH-050HF-LO-01] </t>
    <phoneticPr fontId="5" type="noConversion"/>
  </si>
  <si>
    <t>LLL00005</t>
    <phoneticPr fontId="17" type="noConversion"/>
  </si>
  <si>
    <t>390uH</t>
    <phoneticPr fontId="17" type="noConversion"/>
  </si>
  <si>
    <t>[PSIH-100XF-LI-V1]</t>
    <phoneticPr fontId="5" type="noConversion"/>
  </si>
  <si>
    <t>LLL00060</t>
    <phoneticPr fontId="17" type="noConversion"/>
  </si>
  <si>
    <t>900uH</t>
    <phoneticPr fontId="17" type="noConversion"/>
  </si>
  <si>
    <t xml:space="preserve">[PSIH-200XF-LI-V1] </t>
    <phoneticPr fontId="5" type="noConversion"/>
  </si>
  <si>
    <t>LLL00012</t>
    <phoneticPr fontId="17" type="noConversion"/>
  </si>
  <si>
    <t>630uH</t>
    <phoneticPr fontId="17" type="noConversion"/>
  </si>
  <si>
    <t xml:space="preserve">[PSIH-400XF-LI-V1]  </t>
    <phoneticPr fontId="5" type="noConversion"/>
  </si>
  <si>
    <t>LLL00013</t>
    <phoneticPr fontId="17" type="noConversion"/>
  </si>
  <si>
    <t>375uH</t>
    <phoneticPr fontId="17" type="noConversion"/>
  </si>
  <si>
    <t xml:space="preserve">[PSIH-500XF-LI-V2] </t>
    <phoneticPr fontId="5" type="noConversion"/>
  </si>
  <si>
    <t>LLL00051</t>
    <phoneticPr fontId="17" type="noConversion"/>
  </si>
  <si>
    <t>515uH</t>
    <phoneticPr fontId="17" type="noConversion"/>
  </si>
  <si>
    <t>&lt;L값 계산 공식&gt;</t>
    <phoneticPr fontId="5" type="noConversion"/>
  </si>
  <si>
    <t>인덕턴스</t>
    <phoneticPr fontId="5" type="noConversion"/>
  </si>
  <si>
    <t>인덕터 인가 전압</t>
    <phoneticPr fontId="5" type="noConversion"/>
  </si>
  <si>
    <t>인덕터 통전 전류</t>
    <phoneticPr fontId="5" type="noConversion"/>
  </si>
  <si>
    <t>Uh</t>
    <phoneticPr fontId="5" type="noConversion"/>
  </si>
  <si>
    <t>코일 파이프 리드 포함: 0.08uH</t>
    <phoneticPr fontId="5" type="noConversion"/>
  </si>
  <si>
    <t xml:space="preserve">800A급 </t>
    <phoneticPr fontId="16" type="noConversion"/>
  </si>
  <si>
    <t>DD600N16K(3EA) :EBB00021</t>
    <phoneticPr fontId="16" type="noConversion"/>
  </si>
  <si>
    <t>SMPS 회로 이용하여 초기 충전</t>
    <phoneticPr fontId="16" type="noConversion"/>
  </si>
  <si>
    <t>인버팅 소자(SiC-FET)</t>
    <phoneticPr fontId="16" type="noConversion"/>
  </si>
  <si>
    <t>DC LINK CAPACITOR</t>
    <phoneticPr fontId="8" type="noConversion"/>
  </si>
  <si>
    <t>SiC-FET 모듈에 적용되어 있음</t>
    <phoneticPr fontId="5" type="noConversion"/>
  </si>
  <si>
    <t>SiC-FET 모듈에 적용되어 있음</t>
    <phoneticPr fontId="16" type="noConversion"/>
  </si>
  <si>
    <t>M/T 연결 구조</t>
    <phoneticPr fontId="5" type="noConversion"/>
  </si>
  <si>
    <t>사용안함</t>
    <phoneticPr fontId="16" type="noConversion"/>
  </si>
  <si>
    <t>IH DIGITAL Control V5.4</t>
    <phoneticPr fontId="5" type="noConversion"/>
  </si>
  <si>
    <t>대용량 SIC-MOSFET 모듈에 적용되어 있음</t>
    <phoneticPr fontId="5" type="noConversion"/>
  </si>
  <si>
    <t xml:space="preserve">출력부 </t>
    <phoneticPr fontId="5" type="noConversion"/>
  </si>
  <si>
    <t>크로우바회로 적용하지 않음.</t>
    <phoneticPr fontId="5" type="noConversion"/>
  </si>
  <si>
    <t>PFM</t>
    <phoneticPr fontId="15" type="noConversion"/>
  </si>
  <si>
    <t>비고</t>
    <phoneticPr fontId="5" type="noConversion"/>
  </si>
  <si>
    <t>48.6파이 2T
20.3mpm</t>
  </si>
  <si>
    <t>34파이 3.1T
40mpm</t>
  </si>
  <si>
    <t>76파이 2.3T
20mpm</t>
  </si>
  <si>
    <t>38파이 5.5T
25mpm</t>
  </si>
  <si>
    <t>27.2파이 5T
21.9mpm</t>
    <phoneticPr fontId="5" type="noConversion"/>
  </si>
  <si>
    <t>코일</t>
    <phoneticPr fontId="5" type="noConversion"/>
  </si>
  <si>
    <t>더미코일</t>
    <phoneticPr fontId="5" type="noConversion"/>
  </si>
  <si>
    <r>
      <t>A</t>
    </r>
    <r>
      <rPr>
        <sz val="11"/>
        <rFont val="돋움"/>
        <family val="3"/>
        <charset val="129"/>
      </rPr>
      <t>C 리액터 L</t>
    </r>
    <phoneticPr fontId="5" type="noConversion"/>
  </si>
  <si>
    <r>
      <t>D</t>
    </r>
    <r>
      <rPr>
        <sz val="11"/>
        <rFont val="돋움"/>
        <family val="3"/>
        <charset val="129"/>
      </rPr>
      <t xml:space="preserve">C 전류 </t>
    </r>
    <phoneticPr fontId="5" type="noConversion"/>
  </si>
  <si>
    <t>A</t>
    <phoneticPr fontId="5" type="noConversion"/>
  </si>
  <si>
    <r>
      <t>1호기</t>
    </r>
    <r>
      <rPr>
        <sz val="11"/>
        <rFont val="돋움"/>
        <family val="3"/>
        <charset val="129"/>
      </rPr>
      <t xml:space="preserve"> 직병렬 데이터 -&gt; 직렬 변경 데이터</t>
    </r>
    <phoneticPr fontId="5" type="noConversion"/>
  </si>
  <si>
    <r>
      <t>직렬 변경</t>
    </r>
    <r>
      <rPr>
        <sz val="11"/>
        <rFont val="돋움"/>
        <family val="3"/>
        <charset val="129"/>
      </rPr>
      <t xml:space="preserve"> 데이터에 더미코일 추가 데이터</t>
    </r>
    <phoneticPr fontId="5" type="noConversion"/>
  </si>
  <si>
    <r>
      <t>트랜스 탭비</t>
    </r>
    <r>
      <rPr>
        <sz val="11"/>
        <rFont val="돋움"/>
        <family val="3"/>
        <charset val="129"/>
      </rPr>
      <t xml:space="preserve"> 1.5:1 일때 소재별 예상 출력</t>
    </r>
    <phoneticPr fontId="5" type="noConversion"/>
  </si>
  <si>
    <t>250~300kHz</t>
    <phoneticPr fontId="16" type="noConversion"/>
  </si>
  <si>
    <t xml:space="preserve">400KW </t>
    <phoneticPr fontId="16" type="noConversion"/>
  </si>
  <si>
    <t>AC 리액터 값의 2배</t>
    <phoneticPr fontId="5" type="noConversion"/>
  </si>
  <si>
    <t>BHACLA1H-450</t>
    <phoneticPr fontId="5" type="noConversion"/>
  </si>
  <si>
    <r>
      <t xml:space="preserve">더미코일 </t>
    </r>
    <r>
      <rPr>
        <sz val="11"/>
        <rFont val="돋움"/>
        <family val="3"/>
        <charset val="129"/>
      </rPr>
      <t>L값 포함</t>
    </r>
    <phoneticPr fontId="5" type="noConversion"/>
  </si>
  <si>
    <t>&lt;Fault 발생시 L에 의한 VDC 상승전압 계산공식(AC 리액터사용시)&gt;</t>
    <phoneticPr fontId="5" type="noConversion"/>
  </si>
  <si>
    <t>38파이 5.5T
25mpm</t>
    <phoneticPr fontId="5" type="noConversion"/>
  </si>
  <si>
    <t>1호기 직병렬 데이터 -&gt; 직렬 변경 데이터</t>
    <phoneticPr fontId="5" type="noConversion"/>
  </si>
  <si>
    <t>직렬 변경 데이터에 더미코일 추가 데이터</t>
    <phoneticPr fontId="5" type="noConversion"/>
  </si>
  <si>
    <t>38파이 소재기준 회로 설계</t>
    <phoneticPr fontId="5" type="noConversion"/>
  </si>
  <si>
    <t>AC 인덕터</t>
    <phoneticPr fontId="16" type="noConversion"/>
  </si>
  <si>
    <t>한두철강</t>
    <phoneticPr fontId="16" type="noConversion"/>
  </si>
  <si>
    <t>파이프 용접기</t>
    <phoneticPr fontId="16" type="noConversion"/>
  </si>
  <si>
    <t>6.9URD33TTF0900 (3EA)</t>
    <phoneticPr fontId="16" type="noConversion"/>
  </si>
  <si>
    <t>사양 미정</t>
    <phoneticPr fontId="16" type="noConversion"/>
  </si>
  <si>
    <t>사양 확정되는데로 추가 예정</t>
    <phoneticPr fontId="5" type="noConversion"/>
  </si>
  <si>
    <t>대용량 SiC-FET 모듈 적용 개선품 (총 2모듈)</t>
    <phoneticPr fontId="16" type="noConversion"/>
  </si>
  <si>
    <t xml:space="preserve"> 0.66UF 700VAC 550A</t>
    <phoneticPr fontId="5" type="noConversion"/>
  </si>
  <si>
    <t>8직렬 4병렬, 
 :총 0.33uF, 5600V, 2200A</t>
    <phoneticPr fontId="16" type="noConversion"/>
  </si>
  <si>
    <t>콘덴서 직렬 연결시 방열판 사용
TGS파이프 참고</t>
    <phoneticPr fontId="5" type="noConversion"/>
  </si>
  <si>
    <t>중족단면적 : 48 cm2, UU120C 코아 4조
세아제강(창원)_STS파이프용접기 참고
-&gt; 세아제강의 경우 동블럭당 동권선 2장연결 구조</t>
    <phoneticPr fontId="5" type="noConversion"/>
  </si>
  <si>
    <t>10~12 (38파이 기준)</t>
    <phoneticPr fontId="16" type="noConversion"/>
  </si>
  <si>
    <t>750A</t>
    <phoneticPr fontId="16" type="noConversion"/>
  </si>
  <si>
    <t>800A</t>
    <phoneticPr fontId="16" type="noConversion"/>
  </si>
  <si>
    <t>최대 1000A  (모듈당 500A)</t>
    <phoneticPr fontId="16" type="noConversion"/>
  </si>
  <si>
    <t>최대 1500A</t>
    <phoneticPr fontId="16" type="noConversion"/>
  </si>
  <si>
    <t>TGS 파이프에 사용한것보다 사이즈 큰것 적용</t>
    <phoneticPr fontId="5" type="noConversion"/>
  </si>
  <si>
    <t>2022.01.31</t>
    <phoneticPr fontId="15" type="noConversion"/>
  </si>
  <si>
    <t>2022.01.14</t>
    <phoneticPr fontId="15" type="noConversion"/>
  </si>
  <si>
    <t>2022.01.17</t>
    <phoneticPr fontId="15" type="noConversion"/>
  </si>
  <si>
    <t xml:space="preserve"> </t>
    <phoneticPr fontId="5" type="noConversion"/>
  </si>
  <si>
    <t>2모듈 사용 1000A</t>
    <phoneticPr fontId="5" type="noConversion"/>
  </si>
  <si>
    <t>파이프 용접기 프로그램 적용_연구소 3팀과 협의하여 진행 필요
1. 위상 적분하여제어
2. Po, Ir Two Track 제어 
3. Remote 보드
  - Po, Io, Vo, Ir 가상 출력값 및 Gain, Offset 설정 항목 필요
4. 모듈 2EA 적용</t>
    <phoneticPr fontId="5" type="noConversion"/>
  </si>
  <si>
    <t>ok</t>
    <phoneticPr fontId="5" type="noConversion"/>
  </si>
  <si>
    <r>
      <t>인버터 모듈</t>
    </r>
    <r>
      <rPr>
        <sz val="11"/>
        <rFont val="돋움"/>
        <family val="3"/>
        <charset val="129"/>
      </rPr>
      <t xml:space="preserve"> 1EA 당 618uF</t>
    </r>
    <phoneticPr fontId="5" type="noConversion"/>
  </si>
  <si>
    <t>총 12층, 동블럭 당 동권선 3장, 권선 간 스페이스 에폭시 적용
1. 판 + 판 적층형, 권선 간 절연 에폭시 2mm
2. 코아 : UU120C 4조 (중족 단면적 48cm2)
3. 기본 턴비 : 1차 6/6 : 2차 2/2/2/2/2/2
--&gt; 1차 최대 전류 : 500A, 2차 전류 : 1500A
4. 총 수량 : 2EA (인버터 모듈 출력에 1EA씩)</t>
    <phoneticPr fontId="8" type="noConversion"/>
  </si>
  <si>
    <t>총 2EA의 M/T를 1차 병렬, 2차를 직렬로 연결함
--&gt; 1차전류 : 최대 1000A,(M/T 1EA 당 500A)
--&gt; 2차전류 : 최대 1500A 
--&gt; 턴비 : 3: 1의 M/T를 2차 직렬하여 총 등가 턴비는 3: 2(1.5:1)</t>
    <phoneticPr fontId="5" type="noConversion"/>
  </si>
  <si>
    <t>1. 누설 L값 : 0.5uH 필요
2. 19mm 호스 50SQ 리쯔와이어 적용 수냉케이블을 출력 A,B당 3개씩(합계 6EA)
3. 전원장치 부분에 수냉식 케이블 연결부분 5개 적용 (위치 변경하며 L값 조정 가능성 있음)</t>
    <phoneticPr fontId="5" type="noConversion"/>
  </si>
  <si>
    <t>추가 할 경우
1. CX4C0008 C-BOX [DMF-SD090506T] 900VDC 50uF W*T*H=57.5*35*50, L-리드(볼트)타입, 한쪽 단자4m 갭 
2. 7200uF (50uF x 144EA)</t>
    <phoneticPr fontId="5" type="noConversion"/>
  </si>
  <si>
    <t>미사용
시뮬레이션 및 사내 시운전 결과에 따라 추가 가능하므로 설치 공간 확보 필요</t>
    <phoneticPr fontId="5" type="noConversion"/>
  </si>
  <si>
    <t>사양 확정되는데로 추가 예정
DPDA0065 대용량 SIC FET 모듈 V5_C3M0030090K 에서 케이스 변경품적용 예정</t>
    <phoneticPr fontId="5" type="noConversion"/>
  </si>
  <si>
    <t>2021.12.16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</si>
</sst>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-* #,##0_-;\-* #,##0_-;_-* &quot;-&quot;_-;_-@_-"/>
    <numFmt numFmtId="176" formatCode="0.00_ "/>
    <numFmt numFmtId="177" formatCode="0.0000_ "/>
    <numFmt numFmtId="178" formatCode="0.000_ "/>
    <numFmt numFmtId="179" formatCode="0.0_ "/>
    <numFmt numFmtId="180" formatCode="0.000000_ "/>
    <numFmt numFmtId="181" formatCode="0.00000_ "/>
    <numFmt numFmtId="182" formatCode="0_ "/>
    <numFmt numFmtId="183" formatCode="0_);[Red]\(0\)"/>
    <numFmt numFmtId="184" formatCode="0.0_);[Red]\(0.0\)"/>
    <numFmt numFmtId="185" formatCode="0.000_);[Red]\(0.000\)"/>
    <numFmt numFmtId="186" formatCode="General&quot;:1&quot;"/>
    <numFmt numFmtId="187" formatCode="General&quot;D&quot;"/>
    <numFmt numFmtId="188" formatCode="0.0&quot;[%]&quot;"/>
    <numFmt numFmtId="189" formatCode="0.0&quot;[A]&quot;"/>
    <numFmt numFmtId="190" formatCode="#,##0_);[Red]\(#,##0\)"/>
    <numFmt numFmtId="191" formatCode="_-* #,##0.0_-;\-* #,##0.0_-;_-* &quot;-&quot;_-;_-@_-"/>
    <numFmt numFmtId="192" formatCode="0.000"/>
    <numFmt numFmtId="193" formatCode="_-* #,##0.000_-;\-* #,##0.000_-;_-* &quot;-&quot;_-;_-@_-"/>
  </numFmts>
  <fonts count="33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00000"/>
      </left>
      <right style="thin">
        <color indexed="64"/>
      </right>
      <top style="medium">
        <color rgb="FFC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C00000"/>
      </top>
      <bottom style="thin">
        <color indexed="64"/>
      </bottom>
      <diagonal/>
    </border>
    <border>
      <left style="thin">
        <color indexed="64"/>
      </left>
      <right style="medium">
        <color rgb="FFC00000"/>
      </right>
      <top style="medium">
        <color rgb="FFC00000"/>
      </top>
      <bottom style="thin">
        <color indexed="64"/>
      </bottom>
      <diagonal/>
    </border>
    <border>
      <left style="medium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C00000"/>
      </right>
      <top style="thin">
        <color indexed="64"/>
      </top>
      <bottom style="thin">
        <color indexed="64"/>
      </bottom>
      <diagonal/>
    </border>
    <border>
      <left style="medium">
        <color rgb="FFC00000"/>
      </left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 style="medium">
        <color rgb="FFC00000"/>
      </right>
      <top style="thin">
        <color indexed="64"/>
      </top>
      <bottom style="medium">
        <color rgb="FFC00000"/>
      </bottom>
      <diagonal/>
    </border>
  </borders>
  <cellStyleXfs count="12">
    <xf numFmtId="0" fontId="0" fillId="0" borderId="0"/>
    <xf numFmtId="41" fontId="4" fillId="0" borderId="0" applyFont="0" applyFill="0" applyBorder="0" applyAlignment="0" applyProtection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1" fontId="4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91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9" fillId="6" borderId="8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7" borderId="11" xfId="0" applyNumberFormat="1" applyFill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186" fontId="0" fillId="7" borderId="11" xfId="0" applyNumberFormat="1" applyFill="1" applyBorder="1" applyAlignment="1">
      <alignment horizontal="center" vertical="center"/>
    </xf>
    <xf numFmtId="187" fontId="0" fillId="7" borderId="12" xfId="0" applyNumberFormat="1" applyFill="1" applyBorder="1" applyAlignment="1">
      <alignment horizontal="center" vertical="center"/>
    </xf>
    <xf numFmtId="178" fontId="0" fillId="2" borderId="11" xfId="0" applyNumberFormat="1" applyFill="1" applyBorder="1" applyAlignment="1">
      <alignment horizontal="center" vertical="center"/>
    </xf>
    <xf numFmtId="188" fontId="0" fillId="2" borderId="12" xfId="0" applyNumberFormat="1" applyFill="1" applyBorder="1" applyAlignment="1">
      <alignment horizontal="center" vertical="center"/>
    </xf>
    <xf numFmtId="0" fontId="0" fillId="7" borderId="13" xfId="0" applyNumberFormat="1" applyFill="1" applyBorder="1" applyAlignment="1">
      <alignment horizontal="center" vertical="center"/>
    </xf>
    <xf numFmtId="189" fontId="0" fillId="4" borderId="11" xfId="0" applyNumberFormat="1" applyFill="1" applyBorder="1" applyAlignment="1">
      <alignment horizontal="center" vertical="center"/>
    </xf>
    <xf numFmtId="188" fontId="0" fillId="4" borderId="14" xfId="0" applyNumberFormat="1" applyFill="1" applyBorder="1" applyAlignment="1">
      <alignment horizontal="center" vertical="center"/>
    </xf>
    <xf numFmtId="186" fontId="0" fillId="7" borderId="13" xfId="0" applyNumberFormat="1" applyFill="1" applyBorder="1" applyAlignment="1">
      <alignment horizontal="center" vertical="center"/>
    </xf>
    <xf numFmtId="189" fontId="0" fillId="5" borderId="11" xfId="0" applyNumberFormat="1" applyFill="1" applyBorder="1" applyAlignment="1">
      <alignment horizontal="center" vertical="center"/>
    </xf>
    <xf numFmtId="188" fontId="0" fillId="5" borderId="12" xfId="0" applyNumberForma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189" fontId="0" fillId="6" borderId="11" xfId="0" applyNumberFormat="1" applyFill="1" applyBorder="1" applyAlignment="1">
      <alignment horizontal="center" vertical="center"/>
    </xf>
    <xf numFmtId="188" fontId="0" fillId="6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7" borderId="17" xfId="0" applyNumberFormat="1" applyFill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186" fontId="0" fillId="7" borderId="17" xfId="0" applyNumberFormat="1" applyFill="1" applyBorder="1" applyAlignment="1">
      <alignment horizontal="center" vertical="center"/>
    </xf>
    <xf numFmtId="187" fontId="0" fillId="7" borderId="18" xfId="0" applyNumberFormat="1" applyFill="1" applyBorder="1" applyAlignment="1">
      <alignment horizontal="center" vertical="center"/>
    </xf>
    <xf numFmtId="178" fontId="0" fillId="2" borderId="17" xfId="0" applyNumberFormat="1" applyFill="1" applyBorder="1" applyAlignment="1">
      <alignment horizontal="center" vertical="center"/>
    </xf>
    <xf numFmtId="188" fontId="0" fillId="2" borderId="18" xfId="0" applyNumberFormat="1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189" fontId="0" fillId="4" borderId="17" xfId="0" applyNumberFormat="1" applyFill="1" applyBorder="1" applyAlignment="1">
      <alignment horizontal="center" vertical="center"/>
    </xf>
    <xf numFmtId="188" fontId="0" fillId="4" borderId="20" xfId="0" applyNumberFormat="1" applyFill="1" applyBorder="1" applyAlignment="1">
      <alignment horizontal="center" vertical="center"/>
    </xf>
    <xf numFmtId="186" fontId="0" fillId="7" borderId="19" xfId="0" applyNumberFormat="1" applyFill="1" applyBorder="1" applyAlignment="1">
      <alignment horizontal="center" vertical="center"/>
    </xf>
    <xf numFmtId="189" fontId="0" fillId="5" borderId="17" xfId="0" applyNumberFormat="1" applyFill="1" applyBorder="1" applyAlignment="1">
      <alignment horizontal="center" vertical="center"/>
    </xf>
    <xf numFmtId="188" fontId="0" fillId="5" borderId="18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189" fontId="0" fillId="6" borderId="17" xfId="0" applyNumberFormat="1" applyFill="1" applyBorder="1" applyAlignment="1">
      <alignment horizontal="center" vertical="center"/>
    </xf>
    <xf numFmtId="188" fontId="0" fillId="6" borderId="21" xfId="0" applyNumberFormat="1" applyFill="1" applyBorder="1" applyAlignment="1">
      <alignment horizontal="center" vertical="center"/>
    </xf>
    <xf numFmtId="14" fontId="0" fillId="0" borderId="9" xfId="0" applyNumberFormat="1" applyBorder="1" applyAlignment="1">
      <alignment vertical="center"/>
    </xf>
    <xf numFmtId="14" fontId="0" fillId="0" borderId="22" xfId="0" applyNumberFormat="1" applyBorder="1" applyAlignment="1">
      <alignment vertical="center"/>
    </xf>
    <xf numFmtId="0" fontId="0" fillId="7" borderId="23" xfId="0" applyNumberFormat="1" applyFill="1" applyBorder="1" applyAlignment="1">
      <alignment horizontal="center" vertical="center"/>
    </xf>
    <xf numFmtId="0" fontId="0" fillId="7" borderId="24" xfId="0" applyNumberFormat="1" applyFill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186" fontId="0" fillId="7" borderId="24" xfId="0" applyNumberFormat="1" applyFill="1" applyBorder="1" applyAlignment="1">
      <alignment horizontal="center" vertical="center"/>
    </xf>
    <xf numFmtId="187" fontId="0" fillId="7" borderId="25" xfId="0" applyNumberFormat="1" applyFill="1" applyBorder="1" applyAlignment="1">
      <alignment horizontal="center" vertical="center"/>
    </xf>
    <xf numFmtId="178" fontId="0" fillId="2" borderId="24" xfId="0" applyNumberFormat="1" applyFill="1" applyBorder="1" applyAlignment="1">
      <alignment horizontal="center" vertical="center"/>
    </xf>
    <xf numFmtId="188" fontId="0" fillId="2" borderId="25" xfId="0" applyNumberFormat="1" applyFill="1" applyBorder="1" applyAlignment="1">
      <alignment horizontal="center" vertical="center"/>
    </xf>
    <xf numFmtId="0" fontId="0" fillId="7" borderId="26" xfId="0" applyNumberFormat="1" applyFill="1" applyBorder="1" applyAlignment="1">
      <alignment horizontal="center" vertical="center"/>
    </xf>
    <xf numFmtId="189" fontId="0" fillId="4" borderId="24" xfId="0" applyNumberFormat="1" applyFill="1" applyBorder="1" applyAlignment="1">
      <alignment horizontal="center" vertical="center"/>
    </xf>
    <xf numFmtId="188" fontId="0" fillId="4" borderId="27" xfId="0" applyNumberFormat="1" applyFill="1" applyBorder="1" applyAlignment="1">
      <alignment horizontal="center" vertical="center"/>
    </xf>
    <xf numFmtId="186" fontId="0" fillId="7" borderId="26" xfId="0" applyNumberFormat="1" applyFill="1" applyBorder="1" applyAlignment="1">
      <alignment horizontal="center" vertical="center"/>
    </xf>
    <xf numFmtId="189" fontId="0" fillId="5" borderId="24" xfId="0" applyNumberFormat="1" applyFill="1" applyBorder="1" applyAlignment="1">
      <alignment horizontal="center" vertical="center"/>
    </xf>
    <xf numFmtId="188" fontId="0" fillId="5" borderId="25" xfId="0" applyNumberFormat="1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189" fontId="0" fillId="6" borderId="24" xfId="0" applyNumberFormat="1" applyFill="1" applyBorder="1" applyAlignment="1">
      <alignment horizontal="center" vertical="center"/>
    </xf>
    <xf numFmtId="188" fontId="0" fillId="6" borderId="28" xfId="0" applyNumberForma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178" fontId="18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10" borderId="1" xfId="0" applyFont="1" applyFill="1" applyBorder="1" applyAlignment="1">
      <alignment vertical="center"/>
    </xf>
    <xf numFmtId="0" fontId="20" fillId="9" borderId="1" xfId="0" applyFont="1" applyFill="1" applyBorder="1" applyAlignment="1">
      <alignment vertical="center"/>
    </xf>
    <xf numFmtId="0" fontId="20" fillId="8" borderId="1" xfId="0" applyFont="1" applyFill="1" applyBorder="1" applyAlignment="1">
      <alignment vertical="center"/>
    </xf>
    <xf numFmtId="0" fontId="20" fillId="11" borderId="1" xfId="0" applyFont="1" applyFill="1" applyBorder="1" applyAlignment="1">
      <alignment vertical="center"/>
    </xf>
    <xf numFmtId="179" fontId="20" fillId="8" borderId="1" xfId="0" applyNumberFormat="1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20" fillId="0" borderId="0" xfId="2" applyFont="1" applyAlignment="1">
      <alignment vertical="center"/>
    </xf>
    <xf numFmtId="0" fontId="4" fillId="0" borderId="0" xfId="2" applyAlignment="1">
      <alignment vertical="center"/>
    </xf>
    <xf numFmtId="0" fontId="19" fillId="0" borderId="1" xfId="0" applyNumberFormat="1" applyFont="1" applyBorder="1" applyAlignment="1">
      <alignment vertical="center"/>
    </xf>
    <xf numFmtId="0" fontId="18" fillId="0" borderId="1" xfId="0" applyNumberFormat="1" applyFont="1" applyBorder="1" applyAlignment="1">
      <alignment vertical="center"/>
    </xf>
    <xf numFmtId="0" fontId="19" fillId="10" borderId="1" xfId="0" applyNumberFormat="1" applyFont="1" applyFill="1" applyBorder="1" applyAlignment="1">
      <alignment vertical="center"/>
    </xf>
    <xf numFmtId="1" fontId="19" fillId="0" borderId="1" xfId="0" applyNumberFormat="1" applyFont="1" applyBorder="1" applyAlignment="1">
      <alignment vertical="center"/>
    </xf>
    <xf numFmtId="0" fontId="18" fillId="9" borderId="1" xfId="0" applyNumberFormat="1" applyFont="1" applyFill="1" applyBorder="1" applyAlignment="1">
      <alignment vertical="center"/>
    </xf>
    <xf numFmtId="0" fontId="20" fillId="9" borderId="1" xfId="0" applyNumberFormat="1" applyFont="1" applyFill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20" fillId="9" borderId="1" xfId="2" applyFont="1" applyFill="1" applyBorder="1" applyAlignment="1">
      <alignment vertical="center"/>
    </xf>
    <xf numFmtId="0" fontId="20" fillId="8" borderId="1" xfId="2" applyFont="1" applyFill="1" applyBorder="1" applyAlignment="1">
      <alignment vertical="center"/>
    </xf>
    <xf numFmtId="179" fontId="21" fillId="8" borderId="1" xfId="0" applyNumberFormat="1" applyFont="1" applyFill="1" applyBorder="1" applyAlignment="1">
      <alignment vertical="center"/>
    </xf>
    <xf numFmtId="0" fontId="21" fillId="8" borderId="1" xfId="0" applyFont="1" applyFill="1" applyBorder="1" applyAlignment="1">
      <alignment vertical="center"/>
    </xf>
    <xf numFmtId="179" fontId="18" fillId="9" borderId="1" xfId="0" applyNumberFormat="1" applyFont="1" applyFill="1" applyBorder="1" applyAlignment="1">
      <alignment vertical="center"/>
    </xf>
    <xf numFmtId="179" fontId="18" fillId="8" borderId="1" xfId="0" applyNumberFormat="1" applyFont="1" applyFill="1" applyBorder="1" applyAlignment="1">
      <alignment vertical="center"/>
    </xf>
    <xf numFmtId="179" fontId="21" fillId="12" borderId="1" xfId="0" applyNumberFormat="1" applyFont="1" applyFill="1" applyBorder="1" applyAlignment="1">
      <alignment vertical="center"/>
    </xf>
    <xf numFmtId="0" fontId="21" fillId="8" borderId="1" xfId="2" applyFont="1" applyFill="1" applyBorder="1" applyAlignment="1">
      <alignment vertical="center"/>
    </xf>
    <xf numFmtId="185" fontId="21" fillId="8" borderId="1" xfId="0" applyNumberFormat="1" applyFont="1" applyFill="1" applyBorder="1" applyAlignment="1">
      <alignment vertical="center"/>
    </xf>
    <xf numFmtId="179" fontId="19" fillId="8" borderId="1" xfId="0" applyNumberFormat="1" applyFont="1" applyFill="1" applyBorder="1" applyAlignment="1">
      <alignment vertical="center"/>
    </xf>
    <xf numFmtId="0" fontId="20" fillId="0" borderId="1" xfId="0" applyFont="1" applyBorder="1"/>
    <xf numFmtId="0" fontId="20" fillId="9" borderId="1" xfId="0" applyFont="1" applyFill="1" applyBorder="1"/>
    <xf numFmtId="0" fontId="20" fillId="9" borderId="1" xfId="0" applyFont="1" applyFill="1" applyBorder="1" applyAlignment="1">
      <alignment horizontal="right"/>
    </xf>
    <xf numFmtId="0" fontId="21" fillId="0" borderId="1" xfId="0" applyFont="1" applyBorder="1"/>
    <xf numFmtId="179" fontId="21" fillId="8" borderId="1" xfId="0" applyNumberFormat="1" applyFont="1" applyFill="1" applyBorder="1"/>
    <xf numFmtId="0" fontId="20" fillId="0" borderId="1" xfId="0" applyFont="1" applyFill="1" applyBorder="1"/>
    <xf numFmtId="0" fontId="19" fillId="0" borderId="29" xfId="0" applyFont="1" applyBorder="1" applyAlignment="1"/>
    <xf numFmtId="0" fontId="19" fillId="0" borderId="30" xfId="0" applyFont="1" applyBorder="1" applyAlignment="1"/>
    <xf numFmtId="0" fontId="6" fillId="0" borderId="31" xfId="0" applyFont="1" applyBorder="1"/>
    <xf numFmtId="0" fontId="19" fillId="0" borderId="32" xfId="0" applyFont="1" applyBorder="1" applyAlignment="1"/>
    <xf numFmtId="0" fontId="19" fillId="0" borderId="33" xfId="0" applyFont="1" applyBorder="1" applyAlignment="1"/>
    <xf numFmtId="0" fontId="6" fillId="0" borderId="34" xfId="0" applyFont="1" applyBorder="1"/>
    <xf numFmtId="0" fontId="19" fillId="0" borderId="32" xfId="0" applyFont="1" applyBorder="1" applyAlignment="1">
      <alignment vertical="center"/>
    </xf>
    <xf numFmtId="0" fontId="19" fillId="13" borderId="1" xfId="0" applyFont="1" applyFill="1" applyBorder="1" applyAlignment="1">
      <alignment vertical="center"/>
    </xf>
    <xf numFmtId="0" fontId="19" fillId="11" borderId="1" xfId="0" applyFont="1" applyFill="1" applyBorder="1" applyAlignment="1">
      <alignment vertical="center"/>
    </xf>
    <xf numFmtId="0" fontId="19" fillId="0" borderId="34" xfId="0" applyFont="1" applyBorder="1" applyAlignment="1">
      <alignment vertical="center"/>
    </xf>
    <xf numFmtId="0" fontId="19" fillId="0" borderId="35" xfId="0" applyFont="1" applyBorder="1" applyAlignment="1"/>
    <xf numFmtId="0" fontId="19" fillId="0" borderId="29" xfId="0" applyNumberFormat="1" applyFont="1" applyBorder="1" applyAlignment="1"/>
    <xf numFmtId="0" fontId="19" fillId="0" borderId="36" xfId="0" applyNumberFormat="1" applyFont="1" applyBorder="1" applyAlignment="1"/>
    <xf numFmtId="0" fontId="19" fillId="0" borderId="31" xfId="0" applyNumberFormat="1" applyFont="1" applyBorder="1" applyAlignment="1"/>
    <xf numFmtId="0" fontId="19" fillId="0" borderId="37" xfId="0" applyFont="1" applyBorder="1" applyAlignment="1"/>
    <xf numFmtId="0" fontId="19" fillId="13" borderId="1" xfId="0" applyNumberFormat="1" applyFont="1" applyFill="1" applyBorder="1" applyAlignment="1"/>
    <xf numFmtId="0" fontId="19" fillId="11" borderId="1" xfId="0" applyNumberFormat="1" applyFont="1" applyFill="1" applyBorder="1" applyAlignment="1"/>
    <xf numFmtId="0" fontId="19" fillId="0" borderId="34" xfId="0" applyFont="1" applyBorder="1" applyAlignment="1"/>
    <xf numFmtId="0" fontId="19" fillId="0" borderId="32" xfId="0" applyNumberFormat="1" applyFont="1" applyBorder="1" applyAlignment="1"/>
    <xf numFmtId="0" fontId="19" fillId="0" borderId="1" xfId="0" applyNumberFormat="1" applyFont="1" applyBorder="1" applyAlignment="1"/>
    <xf numFmtId="0" fontId="19" fillId="0" borderId="34" xfId="0" applyNumberFormat="1" applyFont="1" applyBorder="1" applyAlignment="1"/>
    <xf numFmtId="1" fontId="19" fillId="13" borderId="1" xfId="0" applyNumberFormat="1" applyFont="1" applyFill="1" applyBorder="1" applyAlignment="1"/>
    <xf numFmtId="1" fontId="19" fillId="11" borderId="1" xfId="0" applyNumberFormat="1" applyFont="1" applyFill="1" applyBorder="1" applyAlignment="1"/>
    <xf numFmtId="0" fontId="19" fillId="0" borderId="1" xfId="0" applyFont="1" applyBorder="1" applyAlignment="1"/>
    <xf numFmtId="0" fontId="19" fillId="0" borderId="32" xfId="0" applyFont="1" applyBorder="1" applyAlignment="1">
      <alignment wrapText="1"/>
    </xf>
    <xf numFmtId="0" fontId="21" fillId="6" borderId="1" xfId="0" applyFont="1" applyFill="1" applyBorder="1" applyAlignment="1"/>
    <xf numFmtId="0" fontId="19" fillId="11" borderId="32" xfId="0" applyNumberFormat="1" applyFont="1" applyFill="1" applyBorder="1" applyAlignment="1"/>
    <xf numFmtId="0" fontId="19" fillId="11" borderId="34" xfId="0" applyNumberFormat="1" applyFont="1" applyFill="1" applyBorder="1" applyAlignment="1"/>
    <xf numFmtId="0" fontId="19" fillId="14" borderId="32" xfId="0" applyNumberFormat="1" applyFont="1" applyFill="1" applyBorder="1" applyAlignment="1"/>
    <xf numFmtId="0" fontId="19" fillId="14" borderId="1" xfId="0" applyNumberFormat="1" applyFont="1" applyFill="1" applyBorder="1" applyAlignment="1"/>
    <xf numFmtId="0" fontId="19" fillId="14" borderId="34" xfId="0" applyNumberFormat="1" applyFont="1" applyFill="1" applyBorder="1" applyAlignment="1"/>
    <xf numFmtId="0" fontId="19" fillId="15" borderId="1" xfId="0" applyNumberFormat="1" applyFont="1" applyFill="1" applyBorder="1" applyAlignment="1"/>
    <xf numFmtId="0" fontId="19" fillId="16" borderId="1" xfId="0" applyNumberFormat="1" applyFont="1" applyFill="1" applyBorder="1" applyAlignment="1"/>
    <xf numFmtId="0" fontId="21" fillId="0" borderId="34" xfId="0" applyFont="1" applyBorder="1" applyAlignment="1"/>
    <xf numFmtId="180" fontId="19" fillId="0" borderId="32" xfId="0" applyNumberFormat="1" applyFont="1" applyBorder="1" applyAlignment="1"/>
    <xf numFmtId="180" fontId="19" fillId="0" borderId="1" xfId="0" applyNumberFormat="1" applyFont="1" applyBorder="1" applyAlignment="1"/>
    <xf numFmtId="180" fontId="19" fillId="0" borderId="34" xfId="0" applyNumberFormat="1" applyFont="1" applyBorder="1" applyAlignment="1"/>
    <xf numFmtId="181" fontId="19" fillId="13" borderId="1" xfId="0" applyNumberFormat="1" applyFont="1" applyFill="1" applyBorder="1" applyAlignment="1"/>
    <xf numFmtId="181" fontId="19" fillId="11" borderId="1" xfId="0" applyNumberFormat="1" applyFont="1" applyFill="1" applyBorder="1" applyAlignment="1"/>
    <xf numFmtId="0" fontId="19" fillId="0" borderId="38" xfId="0" applyFont="1" applyBorder="1" applyAlignment="1"/>
    <xf numFmtId="178" fontId="19" fillId="16" borderId="39" xfId="0" applyNumberFormat="1" applyFont="1" applyFill="1" applyBorder="1" applyAlignment="1">
      <alignment vertical="center"/>
    </xf>
    <xf numFmtId="178" fontId="19" fillId="16" borderId="40" xfId="0" applyNumberFormat="1" applyFont="1" applyFill="1" applyBorder="1" applyAlignment="1">
      <alignment vertical="center"/>
    </xf>
    <xf numFmtId="178" fontId="19" fillId="16" borderId="41" xfId="0" applyNumberFormat="1" applyFont="1" applyFill="1" applyBorder="1" applyAlignment="1">
      <alignment vertical="center"/>
    </xf>
    <xf numFmtId="178" fontId="19" fillId="8" borderId="39" xfId="0" applyNumberFormat="1" applyFont="1" applyFill="1" applyBorder="1" applyAlignment="1">
      <alignment vertical="center"/>
    </xf>
    <xf numFmtId="178" fontId="19" fillId="8" borderId="40" xfId="0" applyNumberFormat="1" applyFont="1" applyFill="1" applyBorder="1" applyAlignment="1">
      <alignment vertical="center"/>
    </xf>
    <xf numFmtId="178" fontId="19" fillId="8" borderId="41" xfId="0" applyNumberFormat="1" applyFont="1" applyFill="1" applyBorder="1" applyAlignment="1">
      <alignment vertical="center"/>
    </xf>
    <xf numFmtId="0" fontId="19" fillId="0" borderId="42" xfId="0" applyFont="1" applyBorder="1" applyAlignment="1"/>
    <xf numFmtId="178" fontId="19" fillId="13" borderId="1" xfId="0" applyNumberFormat="1" applyFont="1" applyFill="1" applyBorder="1" applyAlignment="1">
      <alignment vertical="center"/>
    </xf>
    <xf numFmtId="178" fontId="19" fillId="11" borderId="1" xfId="0" applyNumberFormat="1" applyFont="1" applyFill="1" applyBorder="1" applyAlignment="1">
      <alignment vertical="center"/>
    </xf>
    <xf numFmtId="2" fontId="21" fillId="13" borderId="1" xfId="0" applyNumberFormat="1" applyFont="1" applyFill="1" applyBorder="1" applyAlignment="1">
      <alignment vertical="center"/>
    </xf>
    <xf numFmtId="2" fontId="21" fillId="11" borderId="1" xfId="0" applyNumberFormat="1" applyFont="1" applyFill="1" applyBorder="1" applyAlignment="1">
      <alignment vertical="center"/>
    </xf>
    <xf numFmtId="0" fontId="19" fillId="0" borderId="39" xfId="0" applyFont="1" applyBorder="1" applyAlignment="1">
      <alignment wrapText="1"/>
    </xf>
    <xf numFmtId="2" fontId="23" fillId="13" borderId="40" xfId="0" applyNumberFormat="1" applyFont="1" applyFill="1" applyBorder="1" applyAlignment="1">
      <alignment vertical="center"/>
    </xf>
    <xf numFmtId="2" fontId="23" fillId="11" borderId="40" xfId="0" applyNumberFormat="1" applyFont="1" applyFill="1" applyBorder="1" applyAlignment="1">
      <alignment vertical="center"/>
    </xf>
    <xf numFmtId="0" fontId="23" fillId="0" borderId="41" xfId="0" applyFont="1" applyBorder="1" applyAlignment="1"/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7" borderId="1" xfId="0" applyFont="1" applyFill="1" applyBorder="1" applyAlignment="1">
      <alignment vertical="center"/>
    </xf>
    <xf numFmtId="0" fontId="19" fillId="16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/>
    </xf>
    <xf numFmtId="0" fontId="19" fillId="17" borderId="1" xfId="0" applyNumberFormat="1" applyFont="1" applyFill="1" applyBorder="1" applyAlignment="1"/>
    <xf numFmtId="1" fontId="19" fillId="14" borderId="1" xfId="0" applyNumberFormat="1" applyFont="1" applyFill="1" applyBorder="1" applyAlignment="1"/>
    <xf numFmtId="1" fontId="19" fillId="0" borderId="1" xfId="0" applyNumberFormat="1" applyFont="1" applyBorder="1" applyAlignment="1"/>
    <xf numFmtId="1" fontId="19" fillId="17" borderId="1" xfId="0" applyNumberFormat="1" applyFont="1" applyFill="1" applyBorder="1" applyAlignment="1"/>
    <xf numFmtId="1" fontId="19" fillId="16" borderId="1" xfId="0" applyNumberFormat="1" applyFont="1" applyFill="1" applyBorder="1" applyAlignment="1"/>
    <xf numFmtId="1" fontId="19" fillId="15" borderId="1" xfId="0" applyNumberFormat="1" applyFont="1" applyFill="1" applyBorder="1" applyAlignment="1"/>
    <xf numFmtId="0" fontId="19" fillId="0" borderId="1" xfId="0" applyFont="1" applyBorder="1" applyAlignment="1">
      <alignment wrapText="1"/>
    </xf>
    <xf numFmtId="0" fontId="19" fillId="14" borderId="1" xfId="0" applyFont="1" applyFill="1" applyBorder="1" applyAlignment="1"/>
    <xf numFmtId="0" fontId="19" fillId="17" borderId="1" xfId="0" applyFont="1" applyFill="1" applyBorder="1" applyAlignment="1"/>
    <xf numFmtId="0" fontId="19" fillId="16" borderId="1" xfId="0" applyFont="1" applyFill="1" applyBorder="1" applyAlignment="1"/>
    <xf numFmtId="0" fontId="19" fillId="13" borderId="1" xfId="0" applyFont="1" applyFill="1" applyBorder="1" applyAlignment="1"/>
    <xf numFmtId="0" fontId="19" fillId="15" borderId="1" xfId="0" applyFont="1" applyFill="1" applyBorder="1" applyAlignment="1"/>
    <xf numFmtId="0" fontId="21" fillId="0" borderId="1" xfId="0" applyFont="1" applyBorder="1" applyAlignment="1"/>
    <xf numFmtId="181" fontId="19" fillId="14" borderId="1" xfId="0" applyNumberFormat="1" applyFont="1" applyFill="1" applyBorder="1" applyAlignment="1"/>
    <xf numFmtId="181" fontId="19" fillId="0" borderId="1" xfId="0" applyNumberFormat="1" applyFont="1" applyBorder="1" applyAlignment="1"/>
    <xf numFmtId="181" fontId="19" fillId="17" borderId="1" xfId="0" applyNumberFormat="1" applyFont="1" applyFill="1" applyBorder="1" applyAlignment="1"/>
    <xf numFmtId="181" fontId="19" fillId="16" borderId="1" xfId="0" applyNumberFormat="1" applyFont="1" applyFill="1" applyBorder="1" applyAlignment="1"/>
    <xf numFmtId="181" fontId="19" fillId="15" borderId="1" xfId="0" applyNumberFormat="1" applyFont="1" applyFill="1" applyBorder="1" applyAlignment="1"/>
    <xf numFmtId="178" fontId="19" fillId="14" borderId="1" xfId="0" applyNumberFormat="1" applyFont="1" applyFill="1" applyBorder="1" applyAlignment="1">
      <alignment vertical="center"/>
    </xf>
    <xf numFmtId="178" fontId="19" fillId="0" borderId="1" xfId="0" applyNumberFormat="1" applyFont="1" applyBorder="1" applyAlignment="1">
      <alignment vertical="center"/>
    </xf>
    <xf numFmtId="178" fontId="19" fillId="17" borderId="1" xfId="0" applyNumberFormat="1" applyFont="1" applyFill="1" applyBorder="1" applyAlignment="1">
      <alignment vertical="center"/>
    </xf>
    <xf numFmtId="178" fontId="19" fillId="16" borderId="1" xfId="0" applyNumberFormat="1" applyFont="1" applyFill="1" applyBorder="1" applyAlignment="1">
      <alignment vertical="center"/>
    </xf>
    <xf numFmtId="178" fontId="19" fillId="15" borderId="1" xfId="0" applyNumberFormat="1" applyFont="1" applyFill="1" applyBorder="1" applyAlignment="1">
      <alignment vertical="center"/>
    </xf>
    <xf numFmtId="2" fontId="21" fillId="14" borderId="1" xfId="0" applyNumberFormat="1" applyFont="1" applyFill="1" applyBorder="1" applyAlignment="1">
      <alignment vertical="center"/>
    </xf>
    <xf numFmtId="2" fontId="21" fillId="0" borderId="1" xfId="0" applyNumberFormat="1" applyFont="1" applyBorder="1" applyAlignment="1">
      <alignment vertical="center"/>
    </xf>
    <xf numFmtId="2" fontId="21" fillId="17" borderId="1" xfId="0" applyNumberFormat="1" applyFont="1" applyFill="1" applyBorder="1" applyAlignment="1">
      <alignment vertical="center"/>
    </xf>
    <xf numFmtId="2" fontId="21" fillId="16" borderId="1" xfId="0" applyNumberFormat="1" applyFont="1" applyFill="1" applyBorder="1" applyAlignment="1">
      <alignment vertical="center"/>
    </xf>
    <xf numFmtId="2" fontId="21" fillId="15" borderId="1" xfId="0" applyNumberFormat="1" applyFont="1" applyFill="1" applyBorder="1" applyAlignment="1">
      <alignment vertical="center"/>
    </xf>
    <xf numFmtId="2" fontId="23" fillId="14" borderId="1" xfId="0" applyNumberFormat="1" applyFont="1" applyFill="1" applyBorder="1" applyAlignment="1">
      <alignment vertical="center"/>
    </xf>
    <xf numFmtId="2" fontId="23" fillId="0" borderId="1" xfId="0" applyNumberFormat="1" applyFont="1" applyBorder="1" applyAlignment="1">
      <alignment vertical="center"/>
    </xf>
    <xf numFmtId="2" fontId="23" fillId="17" borderId="1" xfId="0" applyNumberFormat="1" applyFont="1" applyFill="1" applyBorder="1" applyAlignment="1">
      <alignment vertical="center"/>
    </xf>
    <xf numFmtId="2" fontId="23" fillId="16" borderId="1" xfId="0" applyNumberFormat="1" applyFont="1" applyFill="1" applyBorder="1" applyAlignment="1">
      <alignment vertical="center"/>
    </xf>
    <xf numFmtId="2" fontId="23" fillId="13" borderId="1" xfId="0" applyNumberFormat="1" applyFont="1" applyFill="1" applyBorder="1" applyAlignment="1">
      <alignment vertical="center"/>
    </xf>
    <xf numFmtId="2" fontId="23" fillId="15" borderId="1" xfId="0" applyNumberFormat="1" applyFont="1" applyFill="1" applyBorder="1" applyAlignment="1">
      <alignment vertical="center"/>
    </xf>
    <xf numFmtId="0" fontId="23" fillId="0" borderId="1" xfId="0" applyFont="1" applyBorder="1" applyAlignment="1"/>
    <xf numFmtId="0" fontId="7" fillId="0" borderId="0" xfId="0" applyFont="1"/>
    <xf numFmtId="1" fontId="0" fillId="0" borderId="0" xfId="0" applyNumberFormat="1" applyAlignment="1">
      <alignment horizontal="center" vertical="center"/>
    </xf>
    <xf numFmtId="0" fontId="7" fillId="0" borderId="0" xfId="0" applyNumberFormat="1" applyFont="1"/>
    <xf numFmtId="11" fontId="0" fillId="0" borderId="0" xfId="0" applyNumberFormat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179" fontId="20" fillId="9" borderId="1" xfId="0" applyNumberFormat="1" applyFont="1" applyFill="1" applyBorder="1" applyAlignment="1">
      <alignment horizontal="right"/>
    </xf>
    <xf numFmtId="179" fontId="20" fillId="14" borderId="1" xfId="0" applyNumberFormat="1" applyFont="1" applyFill="1" applyBorder="1" applyAlignment="1">
      <alignment horizontal="right"/>
    </xf>
    <xf numFmtId="179" fontId="20" fillId="14" borderId="1" xfId="0" applyNumberFormat="1" applyFont="1" applyFill="1" applyBorder="1"/>
    <xf numFmtId="179" fontId="22" fillId="8" borderId="1" xfId="0" applyNumberFormat="1" applyFont="1" applyFill="1" applyBorder="1" applyAlignment="1">
      <alignment horizontal="right"/>
    </xf>
    <xf numFmtId="179" fontId="20" fillId="10" borderId="1" xfId="0" applyNumberFormat="1" applyFont="1" applyFill="1" applyBorder="1" applyAlignment="1">
      <alignment horizontal="right"/>
    </xf>
    <xf numFmtId="179" fontId="19" fillId="8" borderId="1" xfId="0" applyNumberFormat="1" applyFont="1" applyFill="1" applyBorder="1" applyAlignment="1">
      <alignment horizontal="right"/>
    </xf>
    <xf numFmtId="179" fontId="21" fillId="8" borderId="1" xfId="0" applyNumberFormat="1" applyFont="1" applyFill="1" applyBorder="1" applyAlignment="1">
      <alignment horizontal="right"/>
    </xf>
    <xf numFmtId="179" fontId="22" fillId="9" borderId="1" xfId="0" applyNumberFormat="1" applyFont="1" applyFill="1" applyBorder="1" applyAlignment="1">
      <alignment horizontal="right"/>
    </xf>
    <xf numFmtId="0" fontId="20" fillId="18" borderId="1" xfId="2" applyFont="1" applyFill="1" applyBorder="1">
      <alignment vertical="center"/>
    </xf>
    <xf numFmtId="0" fontId="20" fillId="0" borderId="0" xfId="2" applyFont="1">
      <alignment vertical="center"/>
    </xf>
    <xf numFmtId="0" fontId="20" fillId="0" borderId="1" xfId="2" applyFont="1" applyBorder="1">
      <alignment vertical="center"/>
    </xf>
    <xf numFmtId="0" fontId="22" fillId="0" borderId="1" xfId="2" applyFont="1" applyBorder="1" applyAlignment="1">
      <alignment horizontal="center" vertical="center"/>
    </xf>
    <xf numFmtId="0" fontId="21" fillId="0" borderId="1" xfId="2" applyFont="1" applyBorder="1">
      <alignment vertical="center"/>
    </xf>
    <xf numFmtId="0" fontId="22" fillId="0" borderId="1" xfId="2" applyFont="1" applyBorder="1">
      <alignment vertical="center"/>
    </xf>
    <xf numFmtId="0" fontId="22" fillId="0" borderId="1" xfId="2" applyFont="1" applyBorder="1" applyAlignment="1">
      <alignment vertical="center" wrapText="1"/>
    </xf>
    <xf numFmtId="0" fontId="22" fillId="0" borderId="1" xfId="0" applyFont="1" applyBorder="1"/>
    <xf numFmtId="0" fontId="20" fillId="10" borderId="1" xfId="0" applyFont="1" applyFill="1" applyBorder="1"/>
    <xf numFmtId="179" fontId="20" fillId="10" borderId="1" xfId="0" applyNumberFormat="1" applyFont="1" applyFill="1" applyBorder="1"/>
    <xf numFmtId="179" fontId="19" fillId="10" borderId="1" xfId="0" applyNumberFormat="1" applyFont="1" applyFill="1" applyBorder="1"/>
    <xf numFmtId="0" fontId="20" fillId="9" borderId="1" xfId="2" applyFont="1" applyFill="1" applyBorder="1">
      <alignment vertical="center"/>
    </xf>
    <xf numFmtId="0" fontId="20" fillId="10" borderId="1" xfId="2" applyFont="1" applyFill="1" applyBorder="1">
      <alignment vertical="center"/>
    </xf>
    <xf numFmtId="0" fontId="20" fillId="14" borderId="1" xfId="2" applyFont="1" applyFill="1" applyBorder="1">
      <alignment vertical="center"/>
    </xf>
    <xf numFmtId="176" fontId="20" fillId="14" borderId="1" xfId="2" applyNumberFormat="1" applyFont="1" applyFill="1" applyBorder="1">
      <alignment vertical="center"/>
    </xf>
    <xf numFmtId="178" fontId="20" fillId="8" borderId="1" xfId="2" applyNumberFormat="1" applyFont="1" applyFill="1" applyBorder="1">
      <alignment vertical="center"/>
    </xf>
    <xf numFmtId="179" fontId="20" fillId="10" borderId="1" xfId="2" applyNumberFormat="1" applyFont="1" applyFill="1" applyBorder="1">
      <alignment vertical="center"/>
    </xf>
    <xf numFmtId="176" fontId="20" fillId="10" borderId="1" xfId="2" applyNumberFormat="1" applyFont="1" applyFill="1" applyBorder="1">
      <alignment vertical="center"/>
    </xf>
    <xf numFmtId="179" fontId="20" fillId="0" borderId="1" xfId="2" applyNumberFormat="1" applyFont="1" applyBorder="1">
      <alignment vertical="center"/>
    </xf>
    <xf numFmtId="179" fontId="20" fillId="8" borderId="1" xfId="2" applyNumberFormat="1" applyFont="1" applyFill="1" applyBorder="1">
      <alignment vertical="center"/>
    </xf>
    <xf numFmtId="178" fontId="20" fillId="10" borderId="1" xfId="2" applyNumberFormat="1" applyFont="1" applyFill="1" applyBorder="1">
      <alignment vertical="center"/>
    </xf>
    <xf numFmtId="179" fontId="20" fillId="18" borderId="1" xfId="2" applyNumberFormat="1" applyFont="1" applyFill="1" applyBorder="1">
      <alignment vertical="center"/>
    </xf>
    <xf numFmtId="0" fontId="24" fillId="0" borderId="0" xfId="2" applyFont="1">
      <alignment vertical="center"/>
    </xf>
    <xf numFmtId="0" fontId="18" fillId="0" borderId="1" xfId="0" applyFont="1" applyBorder="1" applyAlignment="1">
      <alignment horizontal="left" vertical="center"/>
    </xf>
    <xf numFmtId="0" fontId="20" fillId="8" borderId="1" xfId="2" applyFont="1" applyFill="1" applyBorder="1">
      <alignment vertical="center"/>
    </xf>
    <xf numFmtId="0" fontId="21" fillId="12" borderId="1" xfId="2" applyFont="1" applyFill="1" applyBorder="1">
      <alignment vertical="center"/>
    </xf>
    <xf numFmtId="0" fontId="21" fillId="12" borderId="1" xfId="2" quotePrefix="1" applyFont="1" applyFill="1" applyBorder="1" applyAlignment="1">
      <alignment vertical="center"/>
    </xf>
    <xf numFmtId="0" fontId="21" fillId="12" borderId="1" xfId="0" applyFont="1" applyFill="1" applyBorder="1"/>
    <xf numFmtId="0" fontId="20" fillId="0" borderId="1" xfId="0" applyFont="1" applyBorder="1" applyAlignment="1">
      <alignment horizontal="center" vertical="center"/>
    </xf>
    <xf numFmtId="177" fontId="20" fillId="9" borderId="1" xfId="0" applyNumberFormat="1" applyFont="1" applyFill="1" applyBorder="1"/>
    <xf numFmtId="41" fontId="0" fillId="0" borderId="0" xfId="1" applyFont="1" applyAlignment="1">
      <alignment vertical="center"/>
    </xf>
    <xf numFmtId="0" fontId="25" fillId="0" borderId="43" xfId="0" applyFont="1" applyBorder="1" applyAlignment="1">
      <alignment horizontal="center" vertical="center"/>
    </xf>
    <xf numFmtId="0" fontId="26" fillId="6" borderId="43" xfId="0" applyFont="1" applyFill="1" applyBorder="1" applyAlignment="1">
      <alignment horizontal="center" vertical="center"/>
    </xf>
    <xf numFmtId="0" fontId="25" fillId="0" borderId="43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90" fontId="18" fillId="6" borderId="1" xfId="0" applyNumberFormat="1" applyFont="1" applyFill="1" applyBorder="1" applyAlignment="1">
      <alignment vertical="center"/>
    </xf>
    <xf numFmtId="41" fontId="20" fillId="6" borderId="1" xfId="1" applyFont="1" applyFill="1" applyBorder="1" applyAlignment="1">
      <alignment vertical="center"/>
    </xf>
    <xf numFmtId="190" fontId="19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190" fontId="18" fillId="0" borderId="1" xfId="0" applyNumberFormat="1" applyFont="1" applyBorder="1" applyAlignment="1">
      <alignment vertical="center"/>
    </xf>
    <xf numFmtId="41" fontId="20" fillId="0" borderId="1" xfId="1" applyFont="1" applyBorder="1" applyAlignment="1">
      <alignment vertical="center"/>
    </xf>
    <xf numFmtId="190" fontId="20" fillId="0" borderId="1" xfId="0" applyNumberFormat="1" applyFont="1" applyBorder="1" applyAlignment="1">
      <alignment vertical="center"/>
    </xf>
    <xf numFmtId="41" fontId="20" fillId="6" borderId="1" xfId="1" applyNumberFormat="1" applyFont="1" applyFill="1" applyBorder="1" applyAlignment="1">
      <alignment vertical="center"/>
    </xf>
    <xf numFmtId="190" fontId="20" fillId="6" borderId="1" xfId="0" applyNumberFormat="1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191" fontId="20" fillId="6" borderId="1" xfId="1" applyNumberFormat="1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79" fontId="18" fillId="6" borderId="1" xfId="0" applyNumberFormat="1" applyFont="1" applyFill="1" applyBorder="1" applyAlignment="1">
      <alignment horizontal="center" vertical="center"/>
    </xf>
    <xf numFmtId="183" fontId="20" fillId="6" borderId="1" xfId="1" applyNumberFormat="1" applyFont="1" applyFill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7" fillId="0" borderId="45" xfId="0" applyFont="1" applyBorder="1" applyAlignment="1">
      <alignment vertical="center"/>
    </xf>
    <xf numFmtId="0" fontId="27" fillId="0" borderId="45" xfId="0" applyFont="1" applyBorder="1" applyAlignment="1">
      <alignment horizontal="center" vertical="center"/>
    </xf>
    <xf numFmtId="0" fontId="27" fillId="0" borderId="45" xfId="0" applyFont="1" applyBorder="1" applyAlignment="1">
      <alignment horizontal="left" vertical="center"/>
    </xf>
    <xf numFmtId="0" fontId="27" fillId="0" borderId="46" xfId="0" applyFont="1" applyBorder="1" applyAlignment="1">
      <alignment vertical="center"/>
    </xf>
    <xf numFmtId="0" fontId="27" fillId="10" borderId="47" xfId="0" applyFont="1" applyFill="1" applyBorder="1" applyAlignment="1">
      <alignment vertical="center"/>
    </xf>
    <xf numFmtId="0" fontId="27" fillId="10" borderId="46" xfId="0" applyFont="1" applyFill="1" applyBorder="1" applyAlignment="1">
      <alignment vertical="center"/>
    </xf>
    <xf numFmtId="0" fontId="27" fillId="10" borderId="46" xfId="0" applyFont="1" applyFill="1" applyBorder="1" applyAlignment="1">
      <alignment vertical="center" wrapText="1"/>
    </xf>
    <xf numFmtId="0" fontId="28" fillId="0" borderId="46" xfId="0" applyFont="1" applyBorder="1" applyAlignment="1">
      <alignment vertical="center" wrapText="1"/>
    </xf>
    <xf numFmtId="0" fontId="27" fillId="0" borderId="48" xfId="0" applyFont="1" applyBorder="1" applyAlignment="1">
      <alignment vertical="center"/>
    </xf>
    <xf numFmtId="0" fontId="27" fillId="0" borderId="49" xfId="0" applyFont="1" applyBorder="1" applyAlignment="1">
      <alignment vertical="center"/>
    </xf>
    <xf numFmtId="0" fontId="20" fillId="0" borderId="1" xfId="0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11" borderId="1" xfId="0" applyFont="1" applyFill="1" applyBorder="1" applyAlignment="1">
      <alignment horizontal="left"/>
    </xf>
    <xf numFmtId="0" fontId="20" fillId="11" borderId="1" xfId="2" applyFont="1" applyFill="1" applyBorder="1">
      <alignment vertical="center"/>
    </xf>
    <xf numFmtId="2" fontId="20" fillId="10" borderId="1" xfId="2" applyNumberFormat="1" applyFont="1" applyFill="1" applyBorder="1">
      <alignment vertical="center"/>
    </xf>
    <xf numFmtId="0" fontId="21" fillId="8" borderId="1" xfId="2" applyFont="1" applyFill="1" applyBorder="1">
      <alignment vertical="center"/>
    </xf>
    <xf numFmtId="0" fontId="20" fillId="11" borderId="1" xfId="2" applyFont="1" applyFill="1" applyBorder="1" applyAlignment="1">
      <alignment vertical="center"/>
    </xf>
    <xf numFmtId="0" fontId="20" fillId="8" borderId="50" xfId="0" applyFont="1" applyFill="1" applyBorder="1" applyAlignment="1">
      <alignment horizontal="center" vertical="center"/>
    </xf>
    <xf numFmtId="0" fontId="20" fillId="18" borderId="51" xfId="0" applyFont="1" applyFill="1" applyBorder="1" applyAlignment="1">
      <alignment horizontal="center" vertical="center"/>
    </xf>
    <xf numFmtId="0" fontId="20" fillId="10" borderId="52" xfId="0" applyFont="1" applyFill="1" applyBorder="1" applyAlignment="1">
      <alignment horizontal="left" vertical="center"/>
    </xf>
    <xf numFmtId="0" fontId="20" fillId="10" borderId="52" xfId="0" applyFont="1" applyFill="1" applyBorder="1" applyAlignment="1">
      <alignment horizontal="left"/>
    </xf>
    <xf numFmtId="183" fontId="20" fillId="10" borderId="52" xfId="0" applyNumberFormat="1" applyFont="1" applyFill="1" applyBorder="1" applyAlignment="1">
      <alignment horizontal="left" vertical="center"/>
    </xf>
    <xf numFmtId="184" fontId="20" fillId="10" borderId="52" xfId="0" applyNumberFormat="1" applyFont="1" applyFill="1" applyBorder="1" applyAlignment="1">
      <alignment horizontal="left" vertical="center"/>
    </xf>
    <xf numFmtId="182" fontId="20" fillId="10" borderId="52" xfId="0" applyNumberFormat="1" applyFont="1" applyFill="1" applyBorder="1" applyAlignment="1">
      <alignment horizontal="left" vertical="center"/>
    </xf>
    <xf numFmtId="0" fontId="20" fillId="10" borderId="53" xfId="0" applyFont="1" applyFill="1" applyBorder="1" applyAlignment="1">
      <alignment horizontal="left" vertical="center"/>
    </xf>
    <xf numFmtId="0" fontId="20" fillId="10" borderId="54" xfId="0" applyFont="1" applyFill="1" applyBorder="1" applyAlignment="1">
      <alignment horizontal="center" vertical="center"/>
    </xf>
    <xf numFmtId="0" fontId="20" fillId="10" borderId="52" xfId="0" applyFont="1" applyFill="1" applyBorder="1" applyAlignment="1">
      <alignment horizontal="center" vertical="center"/>
    </xf>
    <xf numFmtId="0" fontId="20" fillId="0" borderId="54" xfId="0" applyFont="1" applyBorder="1" applyAlignment="1">
      <alignment horizontal="left" vertical="center"/>
    </xf>
    <xf numFmtId="0" fontId="20" fillId="18" borderId="55" xfId="0" applyFont="1" applyFill="1" applyBorder="1" applyAlignment="1">
      <alignment horizontal="center" vertical="center"/>
    </xf>
    <xf numFmtId="183" fontId="20" fillId="10" borderId="56" xfId="0" applyNumberFormat="1" applyFont="1" applyFill="1" applyBorder="1" applyAlignment="1">
      <alignment horizontal="left" vertical="center"/>
    </xf>
    <xf numFmtId="0" fontId="20" fillId="10" borderId="56" xfId="0" applyFont="1" applyFill="1" applyBorder="1" applyAlignment="1">
      <alignment horizontal="left" vertical="center"/>
    </xf>
    <xf numFmtId="0" fontId="20" fillId="10" borderId="56" xfId="0" applyFont="1" applyFill="1" applyBorder="1" applyAlignment="1">
      <alignment horizontal="left"/>
    </xf>
    <xf numFmtId="184" fontId="20" fillId="10" borderId="56" xfId="0" applyNumberFormat="1" applyFont="1" applyFill="1" applyBorder="1" applyAlignment="1">
      <alignment horizontal="left" vertical="center"/>
    </xf>
    <xf numFmtId="182" fontId="20" fillId="10" borderId="56" xfId="0" applyNumberFormat="1" applyFont="1" applyFill="1" applyBorder="1" applyAlignment="1">
      <alignment horizontal="left" vertical="center"/>
    </xf>
    <xf numFmtId="0" fontId="20" fillId="10" borderId="56" xfId="0" applyFont="1" applyFill="1" applyBorder="1" applyAlignment="1">
      <alignment horizontal="center" vertical="center"/>
    </xf>
    <xf numFmtId="0" fontId="20" fillId="10" borderId="57" xfId="0" applyFont="1" applyFill="1" applyBorder="1" applyAlignment="1">
      <alignment horizontal="left" vertical="center"/>
    </xf>
    <xf numFmtId="0" fontId="20" fillId="0" borderId="58" xfId="0" applyFont="1" applyBorder="1" applyAlignment="1">
      <alignment horizontal="left" vertical="center"/>
    </xf>
    <xf numFmtId="0" fontId="20" fillId="18" borderId="59" xfId="0" applyFont="1" applyFill="1" applyBorder="1" applyAlignment="1">
      <alignment horizontal="center" vertical="center"/>
    </xf>
    <xf numFmtId="0" fontId="20" fillId="10" borderId="60" xfId="0" applyFont="1" applyFill="1" applyBorder="1" applyAlignment="1">
      <alignment horizontal="left" vertical="center"/>
    </xf>
    <xf numFmtId="0" fontId="20" fillId="10" borderId="60" xfId="0" applyFont="1" applyFill="1" applyBorder="1" applyAlignment="1">
      <alignment horizontal="left"/>
    </xf>
    <xf numFmtId="183" fontId="20" fillId="10" borderId="60" xfId="0" applyNumberFormat="1" applyFont="1" applyFill="1" applyBorder="1" applyAlignment="1">
      <alignment horizontal="left" vertical="center"/>
    </xf>
    <xf numFmtId="184" fontId="20" fillId="10" borderId="60" xfId="0" applyNumberFormat="1" applyFont="1" applyFill="1" applyBorder="1" applyAlignment="1">
      <alignment horizontal="left" vertical="center"/>
    </xf>
    <xf numFmtId="182" fontId="20" fillId="10" borderId="60" xfId="0" applyNumberFormat="1" applyFont="1" applyFill="1" applyBorder="1" applyAlignment="1">
      <alignment horizontal="left" vertical="center"/>
    </xf>
    <xf numFmtId="0" fontId="20" fillId="10" borderId="60" xfId="0" applyFont="1" applyFill="1" applyBorder="1" applyAlignment="1">
      <alignment horizontal="center" vertical="center"/>
    </xf>
    <xf numFmtId="0" fontId="20" fillId="10" borderId="61" xfId="0" applyFont="1" applyFill="1" applyBorder="1" applyAlignment="1">
      <alignment horizontal="left" vertical="center"/>
    </xf>
    <xf numFmtId="0" fontId="20" fillId="0" borderId="62" xfId="0" applyFont="1" applyBorder="1" applyAlignment="1">
      <alignment horizontal="left" vertical="center"/>
    </xf>
    <xf numFmtId="2" fontId="20" fillId="9" borderId="1" xfId="2" applyNumberFormat="1" applyFont="1" applyFill="1" applyBorder="1">
      <alignment vertical="center"/>
    </xf>
    <xf numFmtId="0" fontId="20" fillId="6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20" fillId="17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 vertical="center"/>
    </xf>
    <xf numFmtId="192" fontId="20" fillId="9" borderId="1" xfId="2" applyNumberFormat="1" applyFont="1" applyFill="1" applyBorder="1">
      <alignment vertical="center"/>
    </xf>
    <xf numFmtId="181" fontId="21" fillId="12" borderId="1" xfId="0" applyNumberFormat="1" applyFont="1" applyFill="1" applyBorder="1" applyAlignment="1">
      <alignment vertical="center"/>
    </xf>
    <xf numFmtId="0" fontId="27" fillId="0" borderId="46" xfId="5" applyFont="1" applyBorder="1" applyAlignment="1">
      <alignment vertical="center"/>
    </xf>
    <xf numFmtId="193" fontId="20" fillId="6" borderId="1" xfId="1" applyNumberFormat="1" applyFont="1" applyFill="1" applyBorder="1" applyAlignment="1">
      <alignment vertical="center"/>
    </xf>
    <xf numFmtId="0" fontId="32" fillId="10" borderId="46" xfId="0" applyFont="1" applyFill="1" applyBorder="1" applyAlignment="1">
      <alignment vertical="center" wrapText="1"/>
    </xf>
    <xf numFmtId="0" fontId="27" fillId="10" borderId="47" xfId="0" applyFont="1" applyFill="1" applyBorder="1" applyAlignment="1">
      <alignment vertical="center" wrapText="1"/>
    </xf>
    <xf numFmtId="185" fontId="21" fillId="8" borderId="0" xfId="0" applyNumberFormat="1" applyFont="1" applyFill="1" applyBorder="1" applyAlignment="1">
      <alignment vertical="center"/>
    </xf>
    <xf numFmtId="0" fontId="20" fillId="10" borderId="0" xfId="0" applyFont="1" applyFill="1" applyBorder="1" applyAlignment="1">
      <alignment vertical="center"/>
    </xf>
    <xf numFmtId="0" fontId="20" fillId="0" borderId="0" xfId="2" applyFont="1" applyAlignment="1">
      <alignment vertical="center"/>
    </xf>
    <xf numFmtId="0" fontId="4" fillId="0" borderId="0" xfId="2">
      <alignment vertical="center"/>
    </xf>
    <xf numFmtId="0" fontId="20" fillId="0" borderId="1" xfId="0" applyFont="1" applyBorder="1" applyAlignment="1">
      <alignment vertical="center"/>
    </xf>
    <xf numFmtId="0" fontId="20" fillId="9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179" fontId="18" fillId="9" borderId="1" xfId="0" applyNumberFormat="1" applyFont="1" applyFill="1" applyBorder="1" applyAlignment="1">
      <alignment vertical="center"/>
    </xf>
    <xf numFmtId="0" fontId="20" fillId="0" borderId="1" xfId="2" applyFont="1" applyBorder="1">
      <alignment vertical="center"/>
    </xf>
    <xf numFmtId="0" fontId="20" fillId="9" borderId="1" xfId="2" applyFont="1" applyFill="1" applyBorder="1">
      <alignment vertical="center"/>
    </xf>
    <xf numFmtId="2" fontId="20" fillId="10" borderId="1" xfId="2" applyNumberFormat="1" applyFont="1" applyFill="1" applyBorder="1">
      <alignment vertical="center"/>
    </xf>
    <xf numFmtId="2" fontId="20" fillId="9" borderId="1" xfId="2" applyNumberFormat="1" applyFont="1" applyFill="1" applyBorder="1">
      <alignment vertical="center"/>
    </xf>
    <xf numFmtId="0" fontId="20" fillId="9" borderId="1" xfId="0" applyFont="1" applyFill="1" applyBorder="1" applyAlignment="1">
      <alignment horizontal="right"/>
    </xf>
    <xf numFmtId="179" fontId="20" fillId="10" borderId="1" xfId="0" applyNumberFormat="1" applyFont="1" applyFill="1" applyBorder="1"/>
    <xf numFmtId="179" fontId="20" fillId="9" borderId="1" xfId="0" applyNumberFormat="1" applyFont="1" applyFill="1" applyBorder="1" applyAlignment="1">
      <alignment horizontal="right"/>
    </xf>
    <xf numFmtId="179" fontId="20" fillId="10" borderId="1" xfId="0" applyNumberFormat="1" applyFont="1" applyFill="1" applyBorder="1" applyAlignment="1">
      <alignment horizontal="right"/>
    </xf>
    <xf numFmtId="179" fontId="22" fillId="8" borderId="1" xfId="0" applyNumberFormat="1" applyFont="1" applyFill="1" applyBorder="1" applyAlignment="1">
      <alignment horizontal="right"/>
    </xf>
    <xf numFmtId="179" fontId="20" fillId="14" borderId="1" xfId="0" applyNumberFormat="1" applyFont="1" applyFill="1" applyBorder="1" applyAlignment="1">
      <alignment horizontal="right"/>
    </xf>
    <xf numFmtId="179" fontId="19" fillId="8" borderId="1" xfId="0" applyNumberFormat="1" applyFont="1" applyFill="1" applyBorder="1" applyAlignment="1">
      <alignment horizontal="right"/>
    </xf>
    <xf numFmtId="179" fontId="21" fillId="8" borderId="1" xfId="0" applyNumberFormat="1" applyFont="1" applyFill="1" applyBorder="1" applyAlignment="1">
      <alignment horizontal="right"/>
    </xf>
    <xf numFmtId="179" fontId="22" fillId="9" borderId="1" xfId="0" applyNumberFormat="1" applyFont="1" applyFill="1" applyBorder="1" applyAlignment="1">
      <alignment horizontal="right"/>
    </xf>
    <xf numFmtId="177" fontId="20" fillId="9" borderId="1" xfId="0" applyNumberFormat="1" applyFont="1" applyFill="1" applyBorder="1"/>
    <xf numFmtId="179" fontId="21" fillId="8" borderId="1" xfId="0" applyNumberFormat="1" applyFont="1" applyFill="1" applyBorder="1"/>
    <xf numFmtId="179" fontId="19" fillId="10" borderId="1" xfId="0" applyNumberFormat="1" applyFont="1" applyFill="1" applyBorder="1"/>
    <xf numFmtId="0" fontId="20" fillId="10" borderId="1" xfId="0" applyFont="1" applyFill="1" applyBorder="1"/>
    <xf numFmtId="179" fontId="20" fillId="14" borderId="1" xfId="0" applyNumberFormat="1" applyFont="1" applyFill="1" applyBorder="1"/>
    <xf numFmtId="0" fontId="21" fillId="0" borderId="1" xfId="2" applyFont="1" applyBorder="1">
      <alignment vertical="center"/>
    </xf>
    <xf numFmtId="0" fontId="20" fillId="0" borderId="0" xfId="0" applyFont="1" applyBorder="1" applyAlignment="1">
      <alignment vertical="center"/>
    </xf>
    <xf numFmtId="0" fontId="0" fillId="0" borderId="82" xfId="0" applyBorder="1" applyAlignment="1">
      <alignment horizontal="center" wrapText="1"/>
    </xf>
    <xf numFmtId="0" fontId="0" fillId="0" borderId="63" xfId="0" applyBorder="1" applyAlignment="1">
      <alignment horizontal="center" wrapText="1"/>
    </xf>
    <xf numFmtId="0" fontId="20" fillId="0" borderId="63" xfId="2" applyFont="1" applyBorder="1">
      <alignment vertical="center"/>
    </xf>
    <xf numFmtId="0" fontId="26" fillId="6" borderId="43" xfId="0" applyFont="1" applyFill="1" applyBorder="1" applyAlignment="1">
      <alignment horizontal="center" vertical="center"/>
    </xf>
    <xf numFmtId="0" fontId="0" fillId="0" borderId="1" xfId="2" applyFont="1" applyBorder="1">
      <alignment vertical="center"/>
    </xf>
    <xf numFmtId="0" fontId="4" fillId="0" borderId="1" xfId="2" applyBorder="1">
      <alignment vertical="center"/>
    </xf>
    <xf numFmtId="0" fontId="20" fillId="9" borderId="43" xfId="2" applyFont="1" applyFill="1" applyBorder="1">
      <alignment vertical="center"/>
    </xf>
    <xf numFmtId="2" fontId="20" fillId="10" borderId="43" xfId="2" applyNumberFormat="1" applyFont="1" applyFill="1" applyBorder="1">
      <alignment vertical="center"/>
    </xf>
    <xf numFmtId="0" fontId="20" fillId="14" borderId="43" xfId="2" applyFont="1" applyFill="1" applyBorder="1">
      <alignment vertical="center"/>
    </xf>
    <xf numFmtId="0" fontId="20" fillId="10" borderId="43" xfId="2" applyFont="1" applyFill="1" applyBorder="1">
      <alignment vertical="center"/>
    </xf>
    <xf numFmtId="0" fontId="20" fillId="0" borderId="43" xfId="2" applyFont="1" applyBorder="1">
      <alignment vertical="center"/>
    </xf>
    <xf numFmtId="192" fontId="20" fillId="9" borderId="43" xfId="2" applyNumberFormat="1" applyFont="1" applyFill="1" applyBorder="1">
      <alignment vertical="center"/>
    </xf>
    <xf numFmtId="176" fontId="20" fillId="14" borderId="43" xfId="2" applyNumberFormat="1" applyFont="1" applyFill="1" applyBorder="1">
      <alignment vertical="center"/>
    </xf>
    <xf numFmtId="2" fontId="20" fillId="9" borderId="43" xfId="2" applyNumberFormat="1" applyFont="1" applyFill="1" applyBorder="1">
      <alignment vertical="center"/>
    </xf>
    <xf numFmtId="178" fontId="20" fillId="8" borderId="43" xfId="2" applyNumberFormat="1" applyFont="1" applyFill="1" applyBorder="1">
      <alignment vertical="center"/>
    </xf>
    <xf numFmtId="179" fontId="20" fillId="10" borderId="43" xfId="2" applyNumberFormat="1" applyFont="1" applyFill="1" applyBorder="1">
      <alignment vertical="center"/>
    </xf>
    <xf numFmtId="176" fontId="20" fillId="10" borderId="43" xfId="2" applyNumberFormat="1" applyFont="1" applyFill="1" applyBorder="1">
      <alignment vertical="center"/>
    </xf>
    <xf numFmtId="179" fontId="20" fillId="0" borderId="43" xfId="2" applyNumberFormat="1" applyFont="1" applyBorder="1">
      <alignment vertical="center"/>
    </xf>
    <xf numFmtId="179" fontId="20" fillId="8" borderId="43" xfId="2" applyNumberFormat="1" applyFont="1" applyFill="1" applyBorder="1">
      <alignment vertical="center"/>
    </xf>
    <xf numFmtId="178" fontId="20" fillId="10" borderId="43" xfId="2" applyNumberFormat="1" applyFont="1" applyFill="1" applyBorder="1">
      <alignment vertical="center"/>
    </xf>
    <xf numFmtId="179" fontId="20" fillId="18" borderId="43" xfId="2" applyNumberFormat="1" applyFont="1" applyFill="1" applyBorder="1">
      <alignment vertical="center"/>
    </xf>
    <xf numFmtId="0" fontId="20" fillId="9" borderId="44" xfId="2" applyFont="1" applyFill="1" applyBorder="1">
      <alignment vertical="center"/>
    </xf>
    <xf numFmtId="2" fontId="20" fillId="10" borderId="44" xfId="2" applyNumberFormat="1" applyFont="1" applyFill="1" applyBorder="1">
      <alignment vertical="center"/>
    </xf>
    <xf numFmtId="0" fontId="20" fillId="14" borderId="44" xfId="2" applyFont="1" applyFill="1" applyBorder="1">
      <alignment vertical="center"/>
    </xf>
    <xf numFmtId="0" fontId="20" fillId="10" borderId="44" xfId="2" applyFont="1" applyFill="1" applyBorder="1">
      <alignment vertical="center"/>
    </xf>
    <xf numFmtId="0" fontId="20" fillId="0" borderId="44" xfId="2" applyFont="1" applyBorder="1">
      <alignment vertical="center"/>
    </xf>
    <xf numFmtId="192" fontId="20" fillId="9" borderId="44" xfId="2" applyNumberFormat="1" applyFont="1" applyFill="1" applyBorder="1">
      <alignment vertical="center"/>
    </xf>
    <xf numFmtId="176" fontId="20" fillId="14" borderId="44" xfId="2" applyNumberFormat="1" applyFont="1" applyFill="1" applyBorder="1">
      <alignment vertical="center"/>
    </xf>
    <xf numFmtId="2" fontId="20" fillId="9" borderId="44" xfId="2" applyNumberFormat="1" applyFont="1" applyFill="1" applyBorder="1">
      <alignment vertical="center"/>
    </xf>
    <xf numFmtId="178" fontId="20" fillId="8" borderId="44" xfId="2" applyNumberFormat="1" applyFont="1" applyFill="1" applyBorder="1">
      <alignment vertical="center"/>
    </xf>
    <xf numFmtId="179" fontId="20" fillId="10" borderId="44" xfId="2" applyNumberFormat="1" applyFont="1" applyFill="1" applyBorder="1">
      <alignment vertical="center"/>
    </xf>
    <xf numFmtId="176" fontId="20" fillId="10" borderId="44" xfId="2" applyNumberFormat="1" applyFont="1" applyFill="1" applyBorder="1">
      <alignment vertical="center"/>
    </xf>
    <xf numFmtId="179" fontId="20" fillId="0" borderId="44" xfId="2" applyNumberFormat="1" applyFont="1" applyBorder="1">
      <alignment vertical="center"/>
    </xf>
    <xf numFmtId="179" fontId="20" fillId="8" borderId="44" xfId="2" applyNumberFormat="1" applyFont="1" applyFill="1" applyBorder="1">
      <alignment vertical="center"/>
    </xf>
    <xf numFmtId="178" fontId="20" fillId="10" borderId="44" xfId="2" applyNumberFormat="1" applyFont="1" applyFill="1" applyBorder="1">
      <alignment vertical="center"/>
    </xf>
    <xf numFmtId="179" fontId="20" fillId="18" borderId="44" xfId="2" applyNumberFormat="1" applyFont="1" applyFill="1" applyBorder="1">
      <alignment vertical="center"/>
    </xf>
    <xf numFmtId="0" fontId="0" fillId="0" borderId="0" xfId="0" applyBorder="1" applyAlignment="1">
      <alignment horizontal="center" wrapText="1"/>
    </xf>
    <xf numFmtId="0" fontId="20" fillId="9" borderId="83" xfId="2" applyFont="1" applyFill="1" applyBorder="1">
      <alignment vertical="center"/>
    </xf>
    <xf numFmtId="0" fontId="20" fillId="9" borderId="84" xfId="2" applyFont="1" applyFill="1" applyBorder="1">
      <alignment vertical="center"/>
    </xf>
    <xf numFmtId="0" fontId="20" fillId="9" borderId="85" xfId="2" applyFont="1" applyFill="1" applyBorder="1">
      <alignment vertical="center"/>
    </xf>
    <xf numFmtId="0" fontId="20" fillId="9" borderId="86" xfId="2" applyFont="1" applyFill="1" applyBorder="1">
      <alignment vertical="center"/>
    </xf>
    <xf numFmtId="0" fontId="20" fillId="9" borderId="87" xfId="2" applyFont="1" applyFill="1" applyBorder="1">
      <alignment vertical="center"/>
    </xf>
    <xf numFmtId="2" fontId="20" fillId="10" borderId="86" xfId="2" applyNumberFormat="1" applyFont="1" applyFill="1" applyBorder="1">
      <alignment vertical="center"/>
    </xf>
    <xf numFmtId="2" fontId="20" fillId="10" borderId="87" xfId="2" applyNumberFormat="1" applyFont="1" applyFill="1" applyBorder="1">
      <alignment vertical="center"/>
    </xf>
    <xf numFmtId="0" fontId="20" fillId="14" borderId="86" xfId="2" applyFont="1" applyFill="1" applyBorder="1">
      <alignment vertical="center"/>
    </xf>
    <xf numFmtId="0" fontId="20" fillId="14" borderId="87" xfId="2" applyFont="1" applyFill="1" applyBorder="1">
      <alignment vertical="center"/>
    </xf>
    <xf numFmtId="0" fontId="20" fillId="10" borderId="86" xfId="2" applyFont="1" applyFill="1" applyBorder="1">
      <alignment vertical="center"/>
    </xf>
    <xf numFmtId="0" fontId="20" fillId="10" borderId="87" xfId="2" applyFont="1" applyFill="1" applyBorder="1">
      <alignment vertical="center"/>
    </xf>
    <xf numFmtId="0" fontId="20" fillId="0" borderId="86" xfId="2" applyFont="1" applyBorder="1">
      <alignment vertical="center"/>
    </xf>
    <xf numFmtId="0" fontId="20" fillId="0" borderId="87" xfId="2" applyFont="1" applyBorder="1">
      <alignment vertical="center"/>
    </xf>
    <xf numFmtId="192" fontId="20" fillId="9" borderId="86" xfId="2" applyNumberFormat="1" applyFont="1" applyFill="1" applyBorder="1">
      <alignment vertical="center"/>
    </xf>
    <xf numFmtId="192" fontId="20" fillId="9" borderId="87" xfId="2" applyNumberFormat="1" applyFont="1" applyFill="1" applyBorder="1">
      <alignment vertical="center"/>
    </xf>
    <xf numFmtId="176" fontId="20" fillId="14" borderId="86" xfId="2" applyNumberFormat="1" applyFont="1" applyFill="1" applyBorder="1">
      <alignment vertical="center"/>
    </xf>
    <xf numFmtId="176" fontId="20" fillId="14" borderId="87" xfId="2" applyNumberFormat="1" applyFont="1" applyFill="1" applyBorder="1">
      <alignment vertical="center"/>
    </xf>
    <xf numFmtId="2" fontId="20" fillId="9" borderId="86" xfId="2" applyNumberFormat="1" applyFont="1" applyFill="1" applyBorder="1">
      <alignment vertical="center"/>
    </xf>
    <xf numFmtId="2" fontId="20" fillId="9" borderId="87" xfId="2" applyNumberFormat="1" applyFont="1" applyFill="1" applyBorder="1">
      <alignment vertical="center"/>
    </xf>
    <xf numFmtId="178" fontId="20" fillId="8" borderId="86" xfId="2" applyNumberFormat="1" applyFont="1" applyFill="1" applyBorder="1">
      <alignment vertical="center"/>
    </xf>
    <xf numFmtId="178" fontId="20" fillId="8" borderId="87" xfId="2" applyNumberFormat="1" applyFont="1" applyFill="1" applyBorder="1">
      <alignment vertical="center"/>
    </xf>
    <xf numFmtId="179" fontId="20" fillId="10" borderId="86" xfId="2" applyNumberFormat="1" applyFont="1" applyFill="1" applyBorder="1">
      <alignment vertical="center"/>
    </xf>
    <xf numFmtId="179" fontId="20" fillId="10" borderId="87" xfId="2" applyNumberFormat="1" applyFont="1" applyFill="1" applyBorder="1">
      <alignment vertical="center"/>
    </xf>
    <xf numFmtId="176" fontId="20" fillId="10" borderId="86" xfId="2" applyNumberFormat="1" applyFont="1" applyFill="1" applyBorder="1">
      <alignment vertical="center"/>
    </xf>
    <xf numFmtId="176" fontId="20" fillId="10" borderId="87" xfId="2" applyNumberFormat="1" applyFont="1" applyFill="1" applyBorder="1">
      <alignment vertical="center"/>
    </xf>
    <xf numFmtId="179" fontId="20" fillId="0" borderId="86" xfId="2" applyNumberFormat="1" applyFont="1" applyBorder="1">
      <alignment vertical="center"/>
    </xf>
    <xf numFmtId="179" fontId="20" fillId="0" borderId="87" xfId="2" applyNumberFormat="1" applyFont="1" applyBorder="1">
      <alignment vertical="center"/>
    </xf>
    <xf numFmtId="179" fontId="20" fillId="8" borderId="86" xfId="2" applyNumberFormat="1" applyFont="1" applyFill="1" applyBorder="1">
      <alignment vertical="center"/>
    </xf>
    <xf numFmtId="179" fontId="20" fillId="8" borderId="87" xfId="2" applyNumberFormat="1" applyFont="1" applyFill="1" applyBorder="1">
      <alignment vertical="center"/>
    </xf>
    <xf numFmtId="178" fontId="20" fillId="10" borderId="86" xfId="2" applyNumberFormat="1" applyFont="1" applyFill="1" applyBorder="1">
      <alignment vertical="center"/>
    </xf>
    <xf numFmtId="178" fontId="20" fillId="10" borderId="87" xfId="2" applyNumberFormat="1" applyFont="1" applyFill="1" applyBorder="1">
      <alignment vertical="center"/>
    </xf>
    <xf numFmtId="179" fontId="20" fillId="18" borderId="86" xfId="2" applyNumberFormat="1" applyFont="1" applyFill="1" applyBorder="1">
      <alignment vertical="center"/>
    </xf>
    <xf numFmtId="179" fontId="20" fillId="18" borderId="87" xfId="2" applyNumberFormat="1" applyFont="1" applyFill="1" applyBorder="1">
      <alignment vertical="center"/>
    </xf>
    <xf numFmtId="176" fontId="20" fillId="10" borderId="88" xfId="2" applyNumberFormat="1" applyFont="1" applyFill="1" applyBorder="1">
      <alignment vertical="center"/>
    </xf>
    <xf numFmtId="176" fontId="20" fillId="10" borderId="89" xfId="2" applyNumberFormat="1" applyFont="1" applyFill="1" applyBorder="1">
      <alignment vertical="center"/>
    </xf>
    <xf numFmtId="176" fontId="20" fillId="10" borderId="90" xfId="2" applyNumberFormat="1" applyFont="1" applyFill="1" applyBorder="1">
      <alignment vertical="center"/>
    </xf>
    <xf numFmtId="0" fontId="27" fillId="0" borderId="46" xfId="0" applyFont="1" applyFill="1" applyBorder="1" applyAlignment="1">
      <alignment vertical="center"/>
    </xf>
    <xf numFmtId="0" fontId="27" fillId="0" borderId="46" xfId="0" applyFont="1" applyFill="1" applyBorder="1" applyAlignment="1">
      <alignment vertical="center" wrapText="1"/>
    </xf>
    <xf numFmtId="0" fontId="32" fillId="0" borderId="46" xfId="0" applyFont="1" applyFill="1" applyBorder="1" applyAlignment="1">
      <alignment vertical="center" wrapText="1"/>
    </xf>
    <xf numFmtId="0" fontId="32" fillId="0" borderId="46" xfId="0" applyFont="1" applyFill="1" applyBorder="1" applyAlignment="1">
      <alignment vertical="center"/>
    </xf>
    <xf numFmtId="0" fontId="29" fillId="0" borderId="46" xfId="0" applyFont="1" applyFill="1" applyBorder="1" applyAlignment="1">
      <alignment vertical="center" wrapText="1"/>
    </xf>
    <xf numFmtId="0" fontId="29" fillId="0" borderId="46" xfId="0" applyFont="1" applyFill="1" applyBorder="1" applyAlignment="1">
      <alignment vertical="center"/>
    </xf>
    <xf numFmtId="22" fontId="29" fillId="0" borderId="46" xfId="0" applyNumberFormat="1" applyFont="1" applyFill="1" applyBorder="1" applyAlignment="1">
      <alignment vertical="center"/>
    </xf>
    <xf numFmtId="0" fontId="29" fillId="0" borderId="46" xfId="5" applyFont="1" applyFill="1" applyBorder="1" applyAlignment="1">
      <alignment vertical="center" wrapText="1"/>
    </xf>
    <xf numFmtId="0" fontId="29" fillId="10" borderId="46" xfId="0" applyFont="1" applyFill="1" applyBorder="1" applyAlignment="1">
      <alignment vertical="center"/>
    </xf>
    <xf numFmtId="0" fontId="32" fillId="0" borderId="35" xfId="5" applyFont="1" applyFill="1" applyBorder="1" applyAlignment="1">
      <alignment vertical="center" wrapText="1"/>
    </xf>
    <xf numFmtId="0" fontId="22" fillId="0" borderId="63" xfId="2" applyFont="1" applyBorder="1" applyAlignment="1">
      <alignment horizontal="left" vertical="center"/>
    </xf>
    <xf numFmtId="0" fontId="22" fillId="0" borderId="0" xfId="2" applyFont="1" applyAlignment="1">
      <alignment horizontal="left" vertical="center"/>
    </xf>
    <xf numFmtId="0" fontId="20" fillId="11" borderId="1" xfId="0" applyFont="1" applyFill="1" applyBorder="1" applyAlignment="1">
      <alignment horizontal="center" vertical="center"/>
    </xf>
    <xf numFmtId="0" fontId="22" fillId="0" borderId="63" xfId="0" applyFont="1" applyBorder="1" applyAlignment="1">
      <alignment horizontal="left"/>
    </xf>
    <xf numFmtId="0" fontId="0" fillId="0" borderId="0" xfId="2" applyFont="1" applyAlignment="1">
      <alignment horizontal="center" vertical="center"/>
    </xf>
    <xf numFmtId="0" fontId="4" fillId="0" borderId="0" xfId="2" applyAlignment="1">
      <alignment horizontal="center" vertical="center"/>
    </xf>
    <xf numFmtId="0" fontId="0" fillId="0" borderId="67" xfId="0" applyBorder="1" applyAlignment="1">
      <alignment horizontal="left" vertical="center" wrapText="1"/>
    </xf>
    <xf numFmtId="0" fontId="0" fillId="0" borderId="67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20" fillId="0" borderId="64" xfId="0" applyFont="1" applyBorder="1" applyAlignment="1">
      <alignment horizontal="center" vertical="center"/>
    </xf>
    <xf numFmtId="0" fontId="20" fillId="0" borderId="65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/>
    </xf>
    <xf numFmtId="0" fontId="20" fillId="0" borderId="64" xfId="0" applyFont="1" applyBorder="1" applyAlignment="1">
      <alignment horizontal="left" vertical="center"/>
    </xf>
    <xf numFmtId="0" fontId="20" fillId="0" borderId="65" xfId="0" applyFont="1" applyBorder="1" applyAlignment="1">
      <alignment horizontal="left" vertical="center"/>
    </xf>
    <xf numFmtId="0" fontId="20" fillId="0" borderId="66" xfId="0" applyFont="1" applyBorder="1" applyAlignment="1">
      <alignment horizontal="left" vertical="center"/>
    </xf>
    <xf numFmtId="41" fontId="20" fillId="6" borderId="43" xfId="1" applyFont="1" applyFill="1" applyBorder="1" applyAlignment="1">
      <alignment horizontal="center" vertical="center"/>
    </xf>
    <xf numFmtId="41" fontId="20" fillId="6" borderId="67" xfId="1" applyFont="1" applyFill="1" applyBorder="1" applyAlignment="1">
      <alignment horizontal="center" vertical="center"/>
    </xf>
    <xf numFmtId="41" fontId="20" fillId="6" borderId="44" xfId="1" applyFont="1" applyFill="1" applyBorder="1" applyAlignment="1">
      <alignment horizontal="center" vertical="center"/>
    </xf>
    <xf numFmtId="0" fontId="20" fillId="0" borderId="64" xfId="0" applyFont="1" applyBorder="1" applyAlignment="1">
      <alignment horizontal="left" vertical="center" wrapText="1"/>
    </xf>
    <xf numFmtId="0" fontId="26" fillId="6" borderId="43" xfId="0" applyFont="1" applyFill="1" applyBorder="1" applyAlignment="1">
      <alignment horizontal="center" vertical="center"/>
    </xf>
    <xf numFmtId="0" fontId="26" fillId="6" borderId="67" xfId="0" applyFont="1" applyFill="1" applyBorder="1" applyAlignment="1">
      <alignment horizontal="center" vertical="center"/>
    </xf>
    <xf numFmtId="0" fontId="26" fillId="6" borderId="44" xfId="0" applyFont="1" applyFill="1" applyBorder="1" applyAlignment="1">
      <alignment horizontal="center" vertical="center"/>
    </xf>
    <xf numFmtId="0" fontId="30" fillId="0" borderId="43" xfId="0" applyFont="1" applyBorder="1" applyAlignment="1">
      <alignment horizontal="center" vertical="center"/>
    </xf>
    <xf numFmtId="0" fontId="30" fillId="0" borderId="67" xfId="0" applyFont="1" applyBorder="1" applyAlignment="1">
      <alignment horizontal="center" vertical="center"/>
    </xf>
    <xf numFmtId="0" fontId="30" fillId="0" borderId="44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1" fillId="6" borderId="43" xfId="0" applyFont="1" applyFill="1" applyBorder="1" applyAlignment="1">
      <alignment horizontal="center" vertical="center"/>
    </xf>
    <xf numFmtId="0" fontId="31" fillId="6" borderId="44" xfId="0" applyFont="1" applyFill="1" applyBorder="1" applyAlignment="1">
      <alignment horizontal="center" vertical="center"/>
    </xf>
    <xf numFmtId="0" fontId="20" fillId="19" borderId="45" xfId="0" applyFont="1" applyFill="1" applyBorder="1" applyAlignment="1">
      <alignment horizontal="center" vertical="center"/>
    </xf>
    <xf numFmtId="0" fontId="20" fillId="19" borderId="50" xfId="0" applyFont="1" applyFill="1" applyBorder="1" applyAlignment="1">
      <alignment horizontal="center" vertical="center"/>
    </xf>
    <xf numFmtId="0" fontId="20" fillId="8" borderId="45" xfId="0" applyFont="1" applyFill="1" applyBorder="1" applyAlignment="1">
      <alignment horizontal="center" vertical="center"/>
    </xf>
    <xf numFmtId="0" fontId="20" fillId="8" borderId="5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50" xfId="0" applyFont="1" applyFill="1" applyBorder="1" applyAlignment="1">
      <alignment horizontal="center" vertical="center"/>
    </xf>
    <xf numFmtId="0" fontId="20" fillId="8" borderId="68" xfId="0" applyFont="1" applyFill="1" applyBorder="1" applyAlignment="1">
      <alignment horizontal="center" vertical="center"/>
    </xf>
    <xf numFmtId="0" fontId="20" fillId="8" borderId="69" xfId="0" applyFont="1" applyFill="1" applyBorder="1" applyAlignment="1">
      <alignment horizontal="center" vertical="center"/>
    </xf>
    <xf numFmtId="0" fontId="20" fillId="7" borderId="45" xfId="0" applyFont="1" applyFill="1" applyBorder="1" applyAlignment="1">
      <alignment horizontal="center" vertical="center"/>
    </xf>
    <xf numFmtId="0" fontId="20" fillId="7" borderId="50" xfId="0" applyFont="1" applyFill="1" applyBorder="1" applyAlignment="1">
      <alignment horizontal="center" vertical="center"/>
    </xf>
    <xf numFmtId="0" fontId="20" fillId="8" borderId="70" xfId="0" applyFont="1" applyFill="1" applyBorder="1" applyAlignment="1">
      <alignment horizontal="center" vertical="center"/>
    </xf>
    <xf numFmtId="0" fontId="20" fillId="8" borderId="71" xfId="0" applyFont="1" applyFill="1" applyBorder="1" applyAlignment="1">
      <alignment horizontal="center" vertical="center"/>
    </xf>
    <xf numFmtId="0" fontId="20" fillId="8" borderId="72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horizontal="center" vertical="center"/>
    </xf>
    <xf numFmtId="0" fontId="20" fillId="10" borderId="53" xfId="0" applyFont="1" applyFill="1" applyBorder="1" applyAlignment="1">
      <alignment horizontal="left" vertical="center"/>
    </xf>
    <xf numFmtId="0" fontId="20" fillId="10" borderId="37" xfId="0" applyFont="1" applyFill="1" applyBorder="1" applyAlignment="1">
      <alignment horizontal="left" vertical="center"/>
    </xf>
    <xf numFmtId="0" fontId="19" fillId="0" borderId="73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19" fillId="0" borderId="74" xfId="0" applyFont="1" applyBorder="1" applyAlignment="1">
      <alignment horizontal="center"/>
    </xf>
    <xf numFmtId="0" fontId="19" fillId="0" borderId="29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75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7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19" fillId="2" borderId="79" xfId="0" applyFont="1" applyFill="1" applyBorder="1" applyAlignment="1">
      <alignment horizontal="center" vertical="center"/>
    </xf>
    <xf numFmtId="0" fontId="19" fillId="4" borderId="80" xfId="0" applyFont="1" applyFill="1" applyBorder="1" applyAlignment="1">
      <alignment horizontal="center" vertical="center"/>
    </xf>
    <xf numFmtId="0" fontId="19" fillId="5" borderId="80" xfId="0" applyFont="1" applyFill="1" applyBorder="1" applyAlignment="1">
      <alignment horizontal="center" vertical="center"/>
    </xf>
    <xf numFmtId="0" fontId="19" fillId="6" borderId="80" xfId="0" applyFont="1" applyFill="1" applyBorder="1" applyAlignment="1">
      <alignment horizontal="center" vertical="center"/>
    </xf>
    <xf numFmtId="0" fontId="19" fillId="6" borderId="81" xfId="0" applyFont="1" applyFill="1" applyBorder="1" applyAlignment="1">
      <alignment horizontal="center" vertical="center"/>
    </xf>
  </cellXfs>
  <cellStyles count="12">
    <cellStyle name="쉼표 [0]" xfId="1" builtinId="6"/>
    <cellStyle name="쉼표 [0] 2" xfId="8"/>
    <cellStyle name="표준" xfId="0" builtinId="0"/>
    <cellStyle name="표준 2" xfId="3"/>
    <cellStyle name="표준 2 2" xfId="4"/>
    <cellStyle name="표준 2 2 2" xfId="9"/>
    <cellStyle name="표준 2 3" xfId="10"/>
    <cellStyle name="표준 2 4" xfId="6"/>
    <cellStyle name="표준 3" xfId="5"/>
    <cellStyle name="표준 4" xfId="7"/>
    <cellStyle name="표준 5" xfId="11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chemeClr val="tx1"/>
                </a:solidFill>
              </a:rPr>
              <a:t>SA508 Carbo-steel Specific Heat</a:t>
            </a:r>
            <a:endParaRPr lang="ko-KR" altLang="en-US" b="1">
              <a:solidFill>
                <a:schemeClr val="tx1"/>
              </a:solidFill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'[1]HOT SLAB 가열'!$C$65:$C$98</c:f>
              <c:numCache>
                <c:formatCode>General</c:formatCode>
                <c:ptCount val="34"/>
                <c:pt idx="0">
                  <c:v>21.11111</c:v>
                </c:pt>
                <c:pt idx="1">
                  <c:v>37.77778</c:v>
                </c:pt>
                <c:pt idx="2">
                  <c:v>65.55556</c:v>
                </c:pt>
                <c:pt idx="3">
                  <c:v>93.333330000000004</c:v>
                </c:pt>
                <c:pt idx="4">
                  <c:v>121.11111</c:v>
                </c:pt>
                <c:pt idx="5">
                  <c:v>148.88889</c:v>
                </c:pt>
                <c:pt idx="6">
                  <c:v>176.66667000000001</c:v>
                </c:pt>
                <c:pt idx="7">
                  <c:v>204.44443999999999</c:v>
                </c:pt>
                <c:pt idx="8">
                  <c:v>232.22221999999999</c:v>
                </c:pt>
                <c:pt idx="9">
                  <c:v>260</c:v>
                </c:pt>
                <c:pt idx="10">
                  <c:v>287.77778000000001</c:v>
                </c:pt>
                <c:pt idx="11">
                  <c:v>315.55556000000001</c:v>
                </c:pt>
                <c:pt idx="12">
                  <c:v>343.33332999999999</c:v>
                </c:pt>
                <c:pt idx="13">
                  <c:v>371.11111</c:v>
                </c:pt>
                <c:pt idx="14">
                  <c:v>398.88889</c:v>
                </c:pt>
                <c:pt idx="15">
                  <c:v>426.66667000000001</c:v>
                </c:pt>
                <c:pt idx="16">
                  <c:v>454.44443999999999</c:v>
                </c:pt>
                <c:pt idx="17">
                  <c:v>482.22221999999999</c:v>
                </c:pt>
                <c:pt idx="18">
                  <c:v>510</c:v>
                </c:pt>
                <c:pt idx="19">
                  <c:v>537.77778000000001</c:v>
                </c:pt>
                <c:pt idx="20">
                  <c:v>565.55556000000001</c:v>
                </c:pt>
                <c:pt idx="21">
                  <c:v>593.33333000000005</c:v>
                </c:pt>
                <c:pt idx="22">
                  <c:v>621.11111000000005</c:v>
                </c:pt>
                <c:pt idx="23">
                  <c:v>648.88888999999995</c:v>
                </c:pt>
                <c:pt idx="24">
                  <c:v>676.66666999999995</c:v>
                </c:pt>
                <c:pt idx="25">
                  <c:v>704.44443999999999</c:v>
                </c:pt>
                <c:pt idx="26">
                  <c:v>732.22221999999999</c:v>
                </c:pt>
                <c:pt idx="27">
                  <c:v>760</c:v>
                </c:pt>
                <c:pt idx="28">
                  <c:v>787.77778000000001</c:v>
                </c:pt>
                <c:pt idx="29">
                  <c:v>815.55556000000001</c:v>
                </c:pt>
                <c:pt idx="30">
                  <c:v>830</c:v>
                </c:pt>
                <c:pt idx="31">
                  <c:v>1461.09</c:v>
                </c:pt>
                <c:pt idx="32">
                  <c:v>1501.04</c:v>
                </c:pt>
                <c:pt idx="33">
                  <c:v>1900</c:v>
                </c:pt>
              </c:numCache>
            </c:numRef>
          </c:xVal>
          <c:yVal>
            <c:numRef>
              <c:f>'[1]HOT SLAB 가열'!$D$65:$D$98</c:f>
              <c:numCache>
                <c:formatCode>General</c:formatCode>
                <c:ptCount val="34"/>
                <c:pt idx="0">
                  <c:v>400</c:v>
                </c:pt>
                <c:pt idx="1">
                  <c:v>449</c:v>
                </c:pt>
                <c:pt idx="2">
                  <c:v>462</c:v>
                </c:pt>
                <c:pt idx="3">
                  <c:v>476</c:v>
                </c:pt>
                <c:pt idx="4">
                  <c:v>487</c:v>
                </c:pt>
                <c:pt idx="5">
                  <c:v>500</c:v>
                </c:pt>
                <c:pt idx="6">
                  <c:v>513</c:v>
                </c:pt>
                <c:pt idx="7">
                  <c:v>523</c:v>
                </c:pt>
                <c:pt idx="8">
                  <c:v>534</c:v>
                </c:pt>
                <c:pt idx="9">
                  <c:v>546</c:v>
                </c:pt>
                <c:pt idx="10">
                  <c:v>557</c:v>
                </c:pt>
                <c:pt idx="11">
                  <c:v>566</c:v>
                </c:pt>
                <c:pt idx="12">
                  <c:v>575</c:v>
                </c:pt>
                <c:pt idx="13">
                  <c:v>587</c:v>
                </c:pt>
                <c:pt idx="14">
                  <c:v>602</c:v>
                </c:pt>
                <c:pt idx="15">
                  <c:v>616</c:v>
                </c:pt>
                <c:pt idx="16">
                  <c:v>633</c:v>
                </c:pt>
                <c:pt idx="17">
                  <c:v>646</c:v>
                </c:pt>
                <c:pt idx="18">
                  <c:v>664</c:v>
                </c:pt>
                <c:pt idx="19">
                  <c:v>683</c:v>
                </c:pt>
                <c:pt idx="20">
                  <c:v>704</c:v>
                </c:pt>
                <c:pt idx="21">
                  <c:v>727</c:v>
                </c:pt>
                <c:pt idx="22">
                  <c:v>752</c:v>
                </c:pt>
                <c:pt idx="23">
                  <c:v>779</c:v>
                </c:pt>
                <c:pt idx="24">
                  <c:v>819</c:v>
                </c:pt>
                <c:pt idx="25">
                  <c:v>867</c:v>
                </c:pt>
                <c:pt idx="26">
                  <c:v>961</c:v>
                </c:pt>
                <c:pt idx="27">
                  <c:v>1700</c:v>
                </c:pt>
                <c:pt idx="28">
                  <c:v>1010</c:v>
                </c:pt>
                <c:pt idx="29">
                  <c:v>647</c:v>
                </c:pt>
                <c:pt idx="30">
                  <c:v>685</c:v>
                </c:pt>
                <c:pt idx="31">
                  <c:v>836</c:v>
                </c:pt>
                <c:pt idx="32">
                  <c:v>845</c:v>
                </c:pt>
                <c:pt idx="33">
                  <c:v>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30208"/>
        <c:axId val="202832512"/>
      </c:scatterChart>
      <c:valAx>
        <c:axId val="2028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400" b="1">
                    <a:solidFill>
                      <a:schemeClr val="tx1"/>
                    </a:solidFill>
                  </a:rPr>
                  <a:t>온도구간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202832512"/>
        <c:crosses val="autoZero"/>
        <c:crossBetween val="midCat"/>
      </c:valAx>
      <c:valAx>
        <c:axId val="2028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>
                    <a:solidFill>
                      <a:schemeClr val="tx1"/>
                    </a:solidFill>
                  </a:rPr>
                  <a:t>비열 </a:t>
                </a:r>
                <a:r>
                  <a:rPr lang="en-US" altLang="ko-KR" sz="1600" b="1">
                    <a:solidFill>
                      <a:schemeClr val="tx1"/>
                    </a:solidFill>
                  </a:rPr>
                  <a:t>W*s/kg*</a:t>
                </a:r>
                <a:endParaRPr lang="ko-KR" altLang="en-US" sz="16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8302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1557705</xdr:colOff>
      <xdr:row>21</xdr:row>
      <xdr:rowOff>58555</xdr:rowOff>
    </xdr:from>
    <xdr:to>
      <xdr:col>28</xdr:col>
      <xdr:colOff>1651260</xdr:colOff>
      <xdr:row>21</xdr:row>
      <xdr:rowOff>148340</xdr:rowOff>
    </xdr:to>
    <xdr:sp macro="" textlink="">
      <xdr:nvSpPr>
        <xdr:cNvPr id="2" name="타원 1"/>
        <xdr:cNvSpPr/>
      </xdr:nvSpPr>
      <xdr:spPr>
        <a:xfrm>
          <a:off x="34133205" y="4866775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1695356</xdr:colOff>
      <xdr:row>21</xdr:row>
      <xdr:rowOff>55621</xdr:rowOff>
    </xdr:from>
    <xdr:to>
      <xdr:col>28</xdr:col>
      <xdr:colOff>1786806</xdr:colOff>
      <xdr:row>21</xdr:row>
      <xdr:rowOff>147459</xdr:rowOff>
    </xdr:to>
    <xdr:sp macro="" textlink="">
      <xdr:nvSpPr>
        <xdr:cNvPr id="3" name="타원 2"/>
        <xdr:cNvSpPr/>
      </xdr:nvSpPr>
      <xdr:spPr>
        <a:xfrm>
          <a:off x="34270856" y="4863841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1557705</xdr:colOff>
      <xdr:row>25</xdr:row>
      <xdr:rowOff>56203</xdr:rowOff>
    </xdr:from>
    <xdr:to>
      <xdr:col>28</xdr:col>
      <xdr:colOff>1651260</xdr:colOff>
      <xdr:row>25</xdr:row>
      <xdr:rowOff>148340</xdr:rowOff>
    </xdr:to>
    <xdr:sp macro="" textlink="">
      <xdr:nvSpPr>
        <xdr:cNvPr id="4" name="타원 3"/>
        <xdr:cNvSpPr/>
      </xdr:nvSpPr>
      <xdr:spPr>
        <a:xfrm>
          <a:off x="34133205" y="5748343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1690298</xdr:colOff>
      <xdr:row>25</xdr:row>
      <xdr:rowOff>54429</xdr:rowOff>
    </xdr:from>
    <xdr:to>
      <xdr:col>28</xdr:col>
      <xdr:colOff>1779854</xdr:colOff>
      <xdr:row>25</xdr:row>
      <xdr:rowOff>140533</xdr:rowOff>
    </xdr:to>
    <xdr:sp macro="" textlink="">
      <xdr:nvSpPr>
        <xdr:cNvPr id="5" name="타원 4"/>
        <xdr:cNvSpPr/>
      </xdr:nvSpPr>
      <xdr:spPr>
        <a:xfrm>
          <a:off x="34265798" y="5746569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1819409</xdr:colOff>
      <xdr:row>25</xdr:row>
      <xdr:rowOff>53245</xdr:rowOff>
    </xdr:from>
    <xdr:to>
      <xdr:col>28</xdr:col>
      <xdr:colOff>1912964</xdr:colOff>
      <xdr:row>25</xdr:row>
      <xdr:rowOff>144592</xdr:rowOff>
    </xdr:to>
    <xdr:sp macro="" textlink="">
      <xdr:nvSpPr>
        <xdr:cNvPr id="6" name="타원 5"/>
        <xdr:cNvSpPr/>
      </xdr:nvSpPr>
      <xdr:spPr>
        <a:xfrm>
          <a:off x="34394909" y="5745385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1950107</xdr:colOff>
      <xdr:row>25</xdr:row>
      <xdr:rowOff>54428</xdr:rowOff>
    </xdr:from>
    <xdr:to>
      <xdr:col>28</xdr:col>
      <xdr:colOff>2047875</xdr:colOff>
      <xdr:row>25</xdr:row>
      <xdr:rowOff>146277</xdr:rowOff>
    </xdr:to>
    <xdr:sp macro="" textlink="">
      <xdr:nvSpPr>
        <xdr:cNvPr id="7" name="타원 6"/>
        <xdr:cNvSpPr/>
      </xdr:nvSpPr>
      <xdr:spPr>
        <a:xfrm>
          <a:off x="34525607" y="5746568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1553159</xdr:colOff>
      <xdr:row>29</xdr:row>
      <xdr:rowOff>23664</xdr:rowOff>
    </xdr:from>
    <xdr:to>
      <xdr:col>28</xdr:col>
      <xdr:colOff>1632857</xdr:colOff>
      <xdr:row>29</xdr:row>
      <xdr:rowOff>94657</xdr:rowOff>
    </xdr:to>
    <xdr:sp macro="" textlink="">
      <xdr:nvSpPr>
        <xdr:cNvPr id="8" name="타원 7"/>
        <xdr:cNvSpPr/>
      </xdr:nvSpPr>
      <xdr:spPr>
        <a:xfrm>
          <a:off x="34128659" y="6599724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1668030</xdr:colOff>
      <xdr:row>29</xdr:row>
      <xdr:rowOff>23230</xdr:rowOff>
    </xdr:from>
    <xdr:to>
      <xdr:col>28</xdr:col>
      <xdr:colOff>1738638</xdr:colOff>
      <xdr:row>29</xdr:row>
      <xdr:rowOff>91335</xdr:rowOff>
    </xdr:to>
    <xdr:sp macro="" textlink="">
      <xdr:nvSpPr>
        <xdr:cNvPr id="9" name="타원 8"/>
        <xdr:cNvSpPr/>
      </xdr:nvSpPr>
      <xdr:spPr>
        <a:xfrm>
          <a:off x="34243530" y="6599290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1664555</xdr:colOff>
      <xdr:row>29</xdr:row>
      <xdr:rowOff>120160</xdr:rowOff>
    </xdr:from>
    <xdr:to>
      <xdr:col>28</xdr:col>
      <xdr:colOff>1737784</xdr:colOff>
      <xdr:row>29</xdr:row>
      <xdr:rowOff>184948</xdr:rowOff>
    </xdr:to>
    <xdr:sp macro="" textlink="">
      <xdr:nvSpPr>
        <xdr:cNvPr id="10" name="타원 9"/>
        <xdr:cNvSpPr/>
      </xdr:nvSpPr>
      <xdr:spPr>
        <a:xfrm>
          <a:off x="34240055" y="6696220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1556525</xdr:colOff>
      <xdr:row>29</xdr:row>
      <xdr:rowOff>124239</xdr:rowOff>
    </xdr:from>
    <xdr:to>
      <xdr:col>28</xdr:col>
      <xdr:colOff>1627839</xdr:colOff>
      <xdr:row>29</xdr:row>
      <xdr:rowOff>185853</xdr:rowOff>
    </xdr:to>
    <xdr:sp macro="" textlink="">
      <xdr:nvSpPr>
        <xdr:cNvPr id="11" name="타원 10"/>
        <xdr:cNvSpPr/>
      </xdr:nvSpPr>
      <xdr:spPr>
        <a:xfrm>
          <a:off x="34132025" y="6700299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1557705</xdr:colOff>
      <xdr:row>21</xdr:row>
      <xdr:rowOff>58555</xdr:rowOff>
    </xdr:from>
    <xdr:to>
      <xdr:col>28</xdr:col>
      <xdr:colOff>1651260</xdr:colOff>
      <xdr:row>21</xdr:row>
      <xdr:rowOff>148340</xdr:rowOff>
    </xdr:to>
    <xdr:sp macro="" textlink="">
      <xdr:nvSpPr>
        <xdr:cNvPr id="2" name="타원 1"/>
        <xdr:cNvSpPr/>
      </xdr:nvSpPr>
      <xdr:spPr>
        <a:xfrm>
          <a:off x="50257125" y="4866775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1695356</xdr:colOff>
      <xdr:row>21</xdr:row>
      <xdr:rowOff>55621</xdr:rowOff>
    </xdr:from>
    <xdr:to>
      <xdr:col>28</xdr:col>
      <xdr:colOff>1786806</xdr:colOff>
      <xdr:row>21</xdr:row>
      <xdr:rowOff>147459</xdr:rowOff>
    </xdr:to>
    <xdr:sp macro="" textlink="">
      <xdr:nvSpPr>
        <xdr:cNvPr id="3" name="타원 2"/>
        <xdr:cNvSpPr/>
      </xdr:nvSpPr>
      <xdr:spPr>
        <a:xfrm>
          <a:off x="50394776" y="4863841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1557705</xdr:colOff>
      <xdr:row>25</xdr:row>
      <xdr:rowOff>56203</xdr:rowOff>
    </xdr:from>
    <xdr:to>
      <xdr:col>28</xdr:col>
      <xdr:colOff>1651260</xdr:colOff>
      <xdr:row>25</xdr:row>
      <xdr:rowOff>148340</xdr:rowOff>
    </xdr:to>
    <xdr:sp macro="" textlink="">
      <xdr:nvSpPr>
        <xdr:cNvPr id="4" name="타원 3"/>
        <xdr:cNvSpPr/>
      </xdr:nvSpPr>
      <xdr:spPr>
        <a:xfrm>
          <a:off x="50257125" y="5748343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1690298</xdr:colOff>
      <xdr:row>25</xdr:row>
      <xdr:rowOff>54429</xdr:rowOff>
    </xdr:from>
    <xdr:to>
      <xdr:col>28</xdr:col>
      <xdr:colOff>1779854</xdr:colOff>
      <xdr:row>25</xdr:row>
      <xdr:rowOff>140533</xdr:rowOff>
    </xdr:to>
    <xdr:sp macro="" textlink="">
      <xdr:nvSpPr>
        <xdr:cNvPr id="5" name="타원 4"/>
        <xdr:cNvSpPr/>
      </xdr:nvSpPr>
      <xdr:spPr>
        <a:xfrm>
          <a:off x="50389718" y="5746569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1819409</xdr:colOff>
      <xdr:row>25</xdr:row>
      <xdr:rowOff>53245</xdr:rowOff>
    </xdr:from>
    <xdr:to>
      <xdr:col>28</xdr:col>
      <xdr:colOff>1912964</xdr:colOff>
      <xdr:row>25</xdr:row>
      <xdr:rowOff>144592</xdr:rowOff>
    </xdr:to>
    <xdr:sp macro="" textlink="">
      <xdr:nvSpPr>
        <xdr:cNvPr id="6" name="타원 5"/>
        <xdr:cNvSpPr/>
      </xdr:nvSpPr>
      <xdr:spPr>
        <a:xfrm>
          <a:off x="50518829" y="5745385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1950107</xdr:colOff>
      <xdr:row>25</xdr:row>
      <xdr:rowOff>54428</xdr:rowOff>
    </xdr:from>
    <xdr:to>
      <xdr:col>28</xdr:col>
      <xdr:colOff>2047875</xdr:colOff>
      <xdr:row>25</xdr:row>
      <xdr:rowOff>146277</xdr:rowOff>
    </xdr:to>
    <xdr:sp macro="" textlink="">
      <xdr:nvSpPr>
        <xdr:cNvPr id="7" name="타원 6"/>
        <xdr:cNvSpPr/>
      </xdr:nvSpPr>
      <xdr:spPr>
        <a:xfrm>
          <a:off x="50649527" y="5746568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1553159</xdr:colOff>
      <xdr:row>29</xdr:row>
      <xdr:rowOff>23664</xdr:rowOff>
    </xdr:from>
    <xdr:to>
      <xdr:col>28</xdr:col>
      <xdr:colOff>1632857</xdr:colOff>
      <xdr:row>29</xdr:row>
      <xdr:rowOff>94657</xdr:rowOff>
    </xdr:to>
    <xdr:sp macro="" textlink="">
      <xdr:nvSpPr>
        <xdr:cNvPr id="8" name="타원 7"/>
        <xdr:cNvSpPr/>
      </xdr:nvSpPr>
      <xdr:spPr>
        <a:xfrm>
          <a:off x="50252579" y="6599724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1668030</xdr:colOff>
      <xdr:row>29</xdr:row>
      <xdr:rowOff>23230</xdr:rowOff>
    </xdr:from>
    <xdr:to>
      <xdr:col>28</xdr:col>
      <xdr:colOff>1738638</xdr:colOff>
      <xdr:row>29</xdr:row>
      <xdr:rowOff>91335</xdr:rowOff>
    </xdr:to>
    <xdr:sp macro="" textlink="">
      <xdr:nvSpPr>
        <xdr:cNvPr id="9" name="타원 8"/>
        <xdr:cNvSpPr/>
      </xdr:nvSpPr>
      <xdr:spPr>
        <a:xfrm>
          <a:off x="50367450" y="6599290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1664555</xdr:colOff>
      <xdr:row>29</xdr:row>
      <xdr:rowOff>120160</xdr:rowOff>
    </xdr:from>
    <xdr:to>
      <xdr:col>28</xdr:col>
      <xdr:colOff>1737784</xdr:colOff>
      <xdr:row>29</xdr:row>
      <xdr:rowOff>184948</xdr:rowOff>
    </xdr:to>
    <xdr:sp macro="" textlink="">
      <xdr:nvSpPr>
        <xdr:cNvPr id="10" name="타원 9"/>
        <xdr:cNvSpPr/>
      </xdr:nvSpPr>
      <xdr:spPr>
        <a:xfrm>
          <a:off x="50363975" y="6696220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1556525</xdr:colOff>
      <xdr:row>29</xdr:row>
      <xdr:rowOff>124239</xdr:rowOff>
    </xdr:from>
    <xdr:to>
      <xdr:col>28</xdr:col>
      <xdr:colOff>1627839</xdr:colOff>
      <xdr:row>29</xdr:row>
      <xdr:rowOff>185853</xdr:rowOff>
    </xdr:to>
    <xdr:sp macro="" textlink="">
      <xdr:nvSpPr>
        <xdr:cNvPr id="11" name="타원 10"/>
        <xdr:cNvSpPr/>
      </xdr:nvSpPr>
      <xdr:spPr>
        <a:xfrm>
          <a:off x="50255945" y="6700299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1557705</xdr:colOff>
      <xdr:row>21</xdr:row>
      <xdr:rowOff>58555</xdr:rowOff>
    </xdr:from>
    <xdr:to>
      <xdr:col>28</xdr:col>
      <xdr:colOff>1651260</xdr:colOff>
      <xdr:row>21</xdr:row>
      <xdr:rowOff>148340</xdr:rowOff>
    </xdr:to>
    <xdr:sp macro="" textlink="">
      <xdr:nvSpPr>
        <xdr:cNvPr id="2" name="타원 1"/>
        <xdr:cNvSpPr/>
      </xdr:nvSpPr>
      <xdr:spPr>
        <a:xfrm>
          <a:off x="50257125" y="4866775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1695356</xdr:colOff>
      <xdr:row>21</xdr:row>
      <xdr:rowOff>55621</xdr:rowOff>
    </xdr:from>
    <xdr:to>
      <xdr:col>28</xdr:col>
      <xdr:colOff>1786806</xdr:colOff>
      <xdr:row>21</xdr:row>
      <xdr:rowOff>147459</xdr:rowOff>
    </xdr:to>
    <xdr:sp macro="" textlink="">
      <xdr:nvSpPr>
        <xdr:cNvPr id="3" name="타원 2"/>
        <xdr:cNvSpPr/>
      </xdr:nvSpPr>
      <xdr:spPr>
        <a:xfrm>
          <a:off x="50394776" y="4863841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1557705</xdr:colOff>
      <xdr:row>25</xdr:row>
      <xdr:rowOff>56203</xdr:rowOff>
    </xdr:from>
    <xdr:to>
      <xdr:col>28</xdr:col>
      <xdr:colOff>1651260</xdr:colOff>
      <xdr:row>25</xdr:row>
      <xdr:rowOff>148340</xdr:rowOff>
    </xdr:to>
    <xdr:sp macro="" textlink="">
      <xdr:nvSpPr>
        <xdr:cNvPr id="4" name="타원 3"/>
        <xdr:cNvSpPr/>
      </xdr:nvSpPr>
      <xdr:spPr>
        <a:xfrm>
          <a:off x="50257125" y="5748343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1690298</xdr:colOff>
      <xdr:row>25</xdr:row>
      <xdr:rowOff>54429</xdr:rowOff>
    </xdr:from>
    <xdr:to>
      <xdr:col>28</xdr:col>
      <xdr:colOff>1779854</xdr:colOff>
      <xdr:row>25</xdr:row>
      <xdr:rowOff>140533</xdr:rowOff>
    </xdr:to>
    <xdr:sp macro="" textlink="">
      <xdr:nvSpPr>
        <xdr:cNvPr id="5" name="타원 4"/>
        <xdr:cNvSpPr/>
      </xdr:nvSpPr>
      <xdr:spPr>
        <a:xfrm>
          <a:off x="50389718" y="5746569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1819409</xdr:colOff>
      <xdr:row>25</xdr:row>
      <xdr:rowOff>53245</xdr:rowOff>
    </xdr:from>
    <xdr:to>
      <xdr:col>28</xdr:col>
      <xdr:colOff>1912964</xdr:colOff>
      <xdr:row>25</xdr:row>
      <xdr:rowOff>144592</xdr:rowOff>
    </xdr:to>
    <xdr:sp macro="" textlink="">
      <xdr:nvSpPr>
        <xdr:cNvPr id="6" name="타원 5"/>
        <xdr:cNvSpPr/>
      </xdr:nvSpPr>
      <xdr:spPr>
        <a:xfrm>
          <a:off x="50518829" y="5745385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1950107</xdr:colOff>
      <xdr:row>25</xdr:row>
      <xdr:rowOff>54428</xdr:rowOff>
    </xdr:from>
    <xdr:to>
      <xdr:col>28</xdr:col>
      <xdr:colOff>2047875</xdr:colOff>
      <xdr:row>25</xdr:row>
      <xdr:rowOff>146277</xdr:rowOff>
    </xdr:to>
    <xdr:sp macro="" textlink="">
      <xdr:nvSpPr>
        <xdr:cNvPr id="7" name="타원 6"/>
        <xdr:cNvSpPr/>
      </xdr:nvSpPr>
      <xdr:spPr>
        <a:xfrm>
          <a:off x="50649527" y="5746568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1553159</xdr:colOff>
      <xdr:row>29</xdr:row>
      <xdr:rowOff>23664</xdr:rowOff>
    </xdr:from>
    <xdr:to>
      <xdr:col>28</xdr:col>
      <xdr:colOff>1632857</xdr:colOff>
      <xdr:row>29</xdr:row>
      <xdr:rowOff>94657</xdr:rowOff>
    </xdr:to>
    <xdr:sp macro="" textlink="">
      <xdr:nvSpPr>
        <xdr:cNvPr id="8" name="타원 7"/>
        <xdr:cNvSpPr/>
      </xdr:nvSpPr>
      <xdr:spPr>
        <a:xfrm>
          <a:off x="50252579" y="6599724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1668030</xdr:colOff>
      <xdr:row>29</xdr:row>
      <xdr:rowOff>23230</xdr:rowOff>
    </xdr:from>
    <xdr:to>
      <xdr:col>28</xdr:col>
      <xdr:colOff>1738638</xdr:colOff>
      <xdr:row>29</xdr:row>
      <xdr:rowOff>91335</xdr:rowOff>
    </xdr:to>
    <xdr:sp macro="" textlink="">
      <xdr:nvSpPr>
        <xdr:cNvPr id="9" name="타원 8"/>
        <xdr:cNvSpPr/>
      </xdr:nvSpPr>
      <xdr:spPr>
        <a:xfrm>
          <a:off x="50367450" y="6599290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1664555</xdr:colOff>
      <xdr:row>29</xdr:row>
      <xdr:rowOff>120160</xdr:rowOff>
    </xdr:from>
    <xdr:to>
      <xdr:col>28</xdr:col>
      <xdr:colOff>1737784</xdr:colOff>
      <xdr:row>29</xdr:row>
      <xdr:rowOff>184948</xdr:rowOff>
    </xdr:to>
    <xdr:sp macro="" textlink="">
      <xdr:nvSpPr>
        <xdr:cNvPr id="10" name="타원 9"/>
        <xdr:cNvSpPr/>
      </xdr:nvSpPr>
      <xdr:spPr>
        <a:xfrm>
          <a:off x="50363975" y="6696220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1556525</xdr:colOff>
      <xdr:row>29</xdr:row>
      <xdr:rowOff>124239</xdr:rowOff>
    </xdr:from>
    <xdr:to>
      <xdr:col>28</xdr:col>
      <xdr:colOff>1627839</xdr:colOff>
      <xdr:row>29</xdr:row>
      <xdr:rowOff>185853</xdr:rowOff>
    </xdr:to>
    <xdr:sp macro="" textlink="">
      <xdr:nvSpPr>
        <xdr:cNvPr id="11" name="타원 10"/>
        <xdr:cNvSpPr/>
      </xdr:nvSpPr>
      <xdr:spPr>
        <a:xfrm>
          <a:off x="50255945" y="6700299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1557705</xdr:colOff>
      <xdr:row>21</xdr:row>
      <xdr:rowOff>58555</xdr:rowOff>
    </xdr:from>
    <xdr:to>
      <xdr:col>36</xdr:col>
      <xdr:colOff>1651260</xdr:colOff>
      <xdr:row>21</xdr:row>
      <xdr:rowOff>148340</xdr:rowOff>
    </xdr:to>
    <xdr:sp macro="" textlink="">
      <xdr:nvSpPr>
        <xdr:cNvPr id="2" name="타원 1"/>
        <xdr:cNvSpPr/>
      </xdr:nvSpPr>
      <xdr:spPr>
        <a:xfrm>
          <a:off x="3354265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36</xdr:col>
      <xdr:colOff>1695356</xdr:colOff>
      <xdr:row>21</xdr:row>
      <xdr:rowOff>55621</xdr:rowOff>
    </xdr:from>
    <xdr:to>
      <xdr:col>36</xdr:col>
      <xdr:colOff>1786806</xdr:colOff>
      <xdr:row>21</xdr:row>
      <xdr:rowOff>147459</xdr:rowOff>
    </xdr:to>
    <xdr:sp macro="" textlink="">
      <xdr:nvSpPr>
        <xdr:cNvPr id="3" name="타원 2"/>
        <xdr:cNvSpPr/>
      </xdr:nvSpPr>
      <xdr:spPr>
        <a:xfrm>
          <a:off x="33680306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36</xdr:col>
      <xdr:colOff>1557705</xdr:colOff>
      <xdr:row>25</xdr:row>
      <xdr:rowOff>56203</xdr:rowOff>
    </xdr:from>
    <xdr:to>
      <xdr:col>36</xdr:col>
      <xdr:colOff>1651260</xdr:colOff>
      <xdr:row>25</xdr:row>
      <xdr:rowOff>148340</xdr:rowOff>
    </xdr:to>
    <xdr:sp macro="" textlink="">
      <xdr:nvSpPr>
        <xdr:cNvPr id="4" name="타원 3"/>
        <xdr:cNvSpPr/>
      </xdr:nvSpPr>
      <xdr:spPr>
        <a:xfrm>
          <a:off x="33542655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36</xdr:col>
      <xdr:colOff>1690298</xdr:colOff>
      <xdr:row>25</xdr:row>
      <xdr:rowOff>54429</xdr:rowOff>
    </xdr:from>
    <xdr:to>
      <xdr:col>36</xdr:col>
      <xdr:colOff>1779854</xdr:colOff>
      <xdr:row>25</xdr:row>
      <xdr:rowOff>140533</xdr:rowOff>
    </xdr:to>
    <xdr:sp macro="" textlink="">
      <xdr:nvSpPr>
        <xdr:cNvPr id="5" name="타원 4"/>
        <xdr:cNvSpPr/>
      </xdr:nvSpPr>
      <xdr:spPr>
        <a:xfrm>
          <a:off x="33675248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36</xdr:col>
      <xdr:colOff>1819409</xdr:colOff>
      <xdr:row>25</xdr:row>
      <xdr:rowOff>53245</xdr:rowOff>
    </xdr:from>
    <xdr:to>
      <xdr:col>36</xdr:col>
      <xdr:colOff>1912964</xdr:colOff>
      <xdr:row>25</xdr:row>
      <xdr:rowOff>144592</xdr:rowOff>
    </xdr:to>
    <xdr:sp macro="" textlink="">
      <xdr:nvSpPr>
        <xdr:cNvPr id="6" name="타원 5"/>
        <xdr:cNvSpPr/>
      </xdr:nvSpPr>
      <xdr:spPr>
        <a:xfrm>
          <a:off x="33804359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36</xdr:col>
      <xdr:colOff>1950107</xdr:colOff>
      <xdr:row>25</xdr:row>
      <xdr:rowOff>54428</xdr:rowOff>
    </xdr:from>
    <xdr:to>
      <xdr:col>36</xdr:col>
      <xdr:colOff>2047875</xdr:colOff>
      <xdr:row>25</xdr:row>
      <xdr:rowOff>146277</xdr:rowOff>
    </xdr:to>
    <xdr:sp macro="" textlink="">
      <xdr:nvSpPr>
        <xdr:cNvPr id="7" name="타원 6"/>
        <xdr:cNvSpPr/>
      </xdr:nvSpPr>
      <xdr:spPr>
        <a:xfrm>
          <a:off x="33935057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36</xdr:col>
      <xdr:colOff>1553159</xdr:colOff>
      <xdr:row>29</xdr:row>
      <xdr:rowOff>23664</xdr:rowOff>
    </xdr:from>
    <xdr:to>
      <xdr:col>36</xdr:col>
      <xdr:colOff>1632857</xdr:colOff>
      <xdr:row>29</xdr:row>
      <xdr:rowOff>94657</xdr:rowOff>
    </xdr:to>
    <xdr:sp macro="" textlink="">
      <xdr:nvSpPr>
        <xdr:cNvPr id="8" name="타원 7"/>
        <xdr:cNvSpPr/>
      </xdr:nvSpPr>
      <xdr:spPr>
        <a:xfrm>
          <a:off x="33538109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36</xdr:col>
      <xdr:colOff>1668030</xdr:colOff>
      <xdr:row>29</xdr:row>
      <xdr:rowOff>23230</xdr:rowOff>
    </xdr:from>
    <xdr:to>
      <xdr:col>36</xdr:col>
      <xdr:colOff>1738638</xdr:colOff>
      <xdr:row>29</xdr:row>
      <xdr:rowOff>91335</xdr:rowOff>
    </xdr:to>
    <xdr:sp macro="" textlink="">
      <xdr:nvSpPr>
        <xdr:cNvPr id="9" name="타원 8"/>
        <xdr:cNvSpPr/>
      </xdr:nvSpPr>
      <xdr:spPr>
        <a:xfrm>
          <a:off x="33652980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36</xdr:col>
      <xdr:colOff>1664555</xdr:colOff>
      <xdr:row>29</xdr:row>
      <xdr:rowOff>120160</xdr:rowOff>
    </xdr:from>
    <xdr:to>
      <xdr:col>36</xdr:col>
      <xdr:colOff>1737784</xdr:colOff>
      <xdr:row>29</xdr:row>
      <xdr:rowOff>184948</xdr:rowOff>
    </xdr:to>
    <xdr:sp macro="" textlink="">
      <xdr:nvSpPr>
        <xdr:cNvPr id="10" name="타원 9"/>
        <xdr:cNvSpPr/>
      </xdr:nvSpPr>
      <xdr:spPr>
        <a:xfrm>
          <a:off x="33649505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36</xdr:col>
      <xdr:colOff>1556525</xdr:colOff>
      <xdr:row>29</xdr:row>
      <xdr:rowOff>124239</xdr:rowOff>
    </xdr:from>
    <xdr:to>
      <xdr:col>36</xdr:col>
      <xdr:colOff>1627839</xdr:colOff>
      <xdr:row>29</xdr:row>
      <xdr:rowOff>185853</xdr:rowOff>
    </xdr:to>
    <xdr:sp macro="" textlink="">
      <xdr:nvSpPr>
        <xdr:cNvPr id="11" name="타원 10"/>
        <xdr:cNvSpPr/>
      </xdr:nvSpPr>
      <xdr:spPr>
        <a:xfrm>
          <a:off x="33541475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31</xdr:row>
      <xdr:rowOff>0</xdr:rowOff>
    </xdr:from>
    <xdr:to>
      <xdr:col>15</xdr:col>
      <xdr:colOff>104775</xdr:colOff>
      <xdr:row>68</xdr:row>
      <xdr:rowOff>47625</xdr:rowOff>
    </xdr:to>
    <xdr:graphicFrame macro="">
      <xdr:nvGraphicFramePr>
        <xdr:cNvPr id="5978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190500</xdr:colOff>
      <xdr:row>30</xdr:row>
      <xdr:rowOff>161925</xdr:rowOff>
    </xdr:from>
    <xdr:to>
      <xdr:col>22</xdr:col>
      <xdr:colOff>133350</xdr:colOff>
      <xdr:row>57</xdr:row>
      <xdr:rowOff>123825</xdr:rowOff>
    </xdr:to>
    <xdr:pic>
      <xdr:nvPicPr>
        <xdr:cNvPr id="59784" name="그림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87425" y="7038975"/>
          <a:ext cx="5276850" cy="554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STEK/Design%20sheet/&#50976;&#46020;&#44032;&#50676;%20&#49444;&#44228;SHEET/&#51204;&#51109;&#54924;&#47196;&#49444;&#44228;/DOC/POSCO%20&#54252;&#54637;%20&#49884;&#54744;&#50672;&#51452;&#44592;/POSCO%20Bar%20&#44032;&#50676;&#47049;&#44228;&#49328;_PSTEK_201506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T SLAB 가열"/>
    </sheetNames>
    <sheetDataSet>
      <sheetData sheetId="0">
        <row r="65">
          <cell r="C65">
            <v>21.11111</v>
          </cell>
          <cell r="D65">
            <v>400</v>
          </cell>
        </row>
        <row r="66">
          <cell r="C66">
            <v>37.77778</v>
          </cell>
          <cell r="D66">
            <v>449</v>
          </cell>
        </row>
        <row r="67">
          <cell r="C67">
            <v>65.55556</v>
          </cell>
          <cell r="D67">
            <v>462</v>
          </cell>
        </row>
        <row r="68">
          <cell r="C68">
            <v>93.333330000000004</v>
          </cell>
          <cell r="D68">
            <v>476</v>
          </cell>
        </row>
        <row r="69">
          <cell r="C69">
            <v>121.11111</v>
          </cell>
          <cell r="D69">
            <v>487</v>
          </cell>
        </row>
        <row r="70">
          <cell r="C70">
            <v>148.88889</v>
          </cell>
          <cell r="D70">
            <v>500</v>
          </cell>
        </row>
        <row r="71">
          <cell r="C71">
            <v>176.66667000000001</v>
          </cell>
          <cell r="D71">
            <v>513</v>
          </cell>
        </row>
        <row r="72">
          <cell r="C72">
            <v>204.44443999999999</v>
          </cell>
          <cell r="D72">
            <v>523</v>
          </cell>
        </row>
        <row r="73">
          <cell r="C73">
            <v>232.22221999999999</v>
          </cell>
          <cell r="D73">
            <v>534</v>
          </cell>
        </row>
        <row r="74">
          <cell r="C74">
            <v>260</v>
          </cell>
          <cell r="D74">
            <v>546</v>
          </cell>
        </row>
        <row r="75">
          <cell r="C75">
            <v>287.77778000000001</v>
          </cell>
          <cell r="D75">
            <v>557</v>
          </cell>
        </row>
        <row r="76">
          <cell r="C76">
            <v>315.55556000000001</v>
          </cell>
          <cell r="D76">
            <v>566</v>
          </cell>
        </row>
        <row r="77">
          <cell r="C77">
            <v>343.33332999999999</v>
          </cell>
          <cell r="D77">
            <v>575</v>
          </cell>
        </row>
        <row r="78">
          <cell r="C78">
            <v>371.11111</v>
          </cell>
          <cell r="D78">
            <v>587</v>
          </cell>
        </row>
        <row r="79">
          <cell r="C79">
            <v>398.88889</v>
          </cell>
          <cell r="D79">
            <v>602</v>
          </cell>
        </row>
        <row r="80">
          <cell r="C80">
            <v>426.66667000000001</v>
          </cell>
          <cell r="D80">
            <v>616</v>
          </cell>
        </row>
        <row r="81">
          <cell r="C81">
            <v>454.44443999999999</v>
          </cell>
          <cell r="D81">
            <v>633</v>
          </cell>
        </row>
        <row r="82">
          <cell r="C82">
            <v>482.22221999999999</v>
          </cell>
          <cell r="D82">
            <v>646</v>
          </cell>
        </row>
        <row r="83">
          <cell r="C83">
            <v>510</v>
          </cell>
          <cell r="D83">
            <v>664</v>
          </cell>
        </row>
        <row r="84">
          <cell r="C84">
            <v>537.77778000000001</v>
          </cell>
          <cell r="D84">
            <v>683</v>
          </cell>
        </row>
        <row r="85">
          <cell r="C85">
            <v>565.55556000000001</v>
          </cell>
          <cell r="D85">
            <v>704</v>
          </cell>
        </row>
        <row r="86">
          <cell r="C86">
            <v>593.33333000000005</v>
          </cell>
          <cell r="D86">
            <v>727</v>
          </cell>
        </row>
        <row r="87">
          <cell r="C87">
            <v>621.11111000000005</v>
          </cell>
          <cell r="D87">
            <v>752</v>
          </cell>
        </row>
        <row r="88">
          <cell r="C88">
            <v>648.88888999999995</v>
          </cell>
          <cell r="D88">
            <v>779</v>
          </cell>
        </row>
        <row r="89">
          <cell r="C89">
            <v>676.66666999999995</v>
          </cell>
          <cell r="D89">
            <v>819</v>
          </cell>
        </row>
        <row r="90">
          <cell r="C90">
            <v>704.44443999999999</v>
          </cell>
          <cell r="D90">
            <v>867</v>
          </cell>
        </row>
        <row r="91">
          <cell r="C91">
            <v>732.22221999999999</v>
          </cell>
          <cell r="D91">
            <v>961</v>
          </cell>
        </row>
        <row r="92">
          <cell r="C92">
            <v>760</v>
          </cell>
          <cell r="D92">
            <v>1700</v>
          </cell>
        </row>
        <row r="93">
          <cell r="C93">
            <v>787.77778000000001</v>
          </cell>
          <cell r="D93">
            <v>1010</v>
          </cell>
        </row>
        <row r="94">
          <cell r="C94">
            <v>815.55556000000001</v>
          </cell>
          <cell r="D94">
            <v>647</v>
          </cell>
        </row>
        <row r="95">
          <cell r="C95">
            <v>830</v>
          </cell>
          <cell r="D95">
            <v>685</v>
          </cell>
        </row>
        <row r="96">
          <cell r="C96">
            <v>1461.09</v>
          </cell>
          <cell r="D96">
            <v>836</v>
          </cell>
        </row>
        <row r="97">
          <cell r="C97">
            <v>1501.04</v>
          </cell>
          <cell r="D97">
            <v>845</v>
          </cell>
        </row>
        <row r="98">
          <cell r="C98">
            <v>1900</v>
          </cell>
          <cell r="D98">
            <v>846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94"/>
  <sheetViews>
    <sheetView tabSelected="1" zoomScale="70" zoomScaleNormal="70" workbookViewId="0">
      <selection activeCell="L24" sqref="L24"/>
    </sheetView>
  </sheetViews>
  <sheetFormatPr defaultColWidth="8.8984375" defaultRowHeight="14.4" x14ac:dyDescent="0.25"/>
  <cols>
    <col min="1" max="1" width="8.8984375" style="322"/>
    <col min="2" max="2" width="40.796875" style="322" customWidth="1"/>
    <col min="3" max="11" width="14.19921875" style="322" customWidth="1"/>
    <col min="12" max="12" width="8.3984375" style="322" customWidth="1"/>
    <col min="13" max="13" width="6.296875" style="322" customWidth="1"/>
    <col min="14" max="14" width="8.19921875" style="322" bestFit="1" customWidth="1"/>
    <col min="15" max="15" width="67.296875" style="322" customWidth="1"/>
    <col min="16" max="16" width="4" style="322" customWidth="1"/>
    <col min="17" max="17" width="19.09765625" style="322" customWidth="1"/>
    <col min="18" max="19" width="12.796875" style="322" bestFit="1" customWidth="1"/>
    <col min="20" max="20" width="24.8984375" style="322" customWidth="1"/>
    <col min="21" max="21" width="20.8984375" style="322" bestFit="1" customWidth="1"/>
    <col min="22" max="22" width="10.09765625" style="322" bestFit="1" customWidth="1"/>
    <col min="23" max="23" width="8.8984375" style="322"/>
    <col min="24" max="24" width="4.3984375" style="322" customWidth="1"/>
    <col min="25" max="25" width="17.59765625" style="322" bestFit="1" customWidth="1"/>
    <col min="26" max="26" width="8.8984375" style="322"/>
    <col min="27" max="27" width="10.796875" style="322" bestFit="1" customWidth="1"/>
    <col min="28" max="28" width="4.59765625" style="322" customWidth="1"/>
    <col min="29" max="29" width="30.69921875" style="322" customWidth="1"/>
    <col min="30" max="30" width="13" style="322" bestFit="1" customWidth="1"/>
    <col min="31" max="31" width="7" style="322" customWidth="1"/>
    <col min="32" max="32" width="8.8984375" style="322"/>
    <col min="33" max="33" width="28" style="322" bestFit="1" customWidth="1"/>
    <col min="34" max="34" width="15" style="322" bestFit="1" customWidth="1"/>
    <col min="35" max="35" width="4.09765625" style="322" bestFit="1" customWidth="1"/>
    <col min="36" max="36" width="24.796875" style="322" bestFit="1" customWidth="1"/>
    <col min="37" max="16384" width="8.8984375" style="322"/>
  </cols>
  <sheetData>
    <row r="1" spans="2:36" ht="19.2" x14ac:dyDescent="0.25">
      <c r="B1" s="233" t="s">
        <v>365</v>
      </c>
      <c r="C1" s="3" t="s">
        <v>741</v>
      </c>
      <c r="E1" s="3" t="s">
        <v>742</v>
      </c>
    </row>
    <row r="2" spans="2:36" ht="29.4" thickBot="1" x14ac:dyDescent="0.3">
      <c r="B2" s="211" t="s">
        <v>242</v>
      </c>
      <c r="C2" s="347" t="s">
        <v>740</v>
      </c>
      <c r="D2" s="348"/>
      <c r="E2" s="348" t="s">
        <v>740</v>
      </c>
      <c r="F2" s="348"/>
      <c r="G2" s="383"/>
      <c r="H2" s="383"/>
      <c r="I2" s="383"/>
      <c r="J2" s="383"/>
      <c r="K2" s="348"/>
      <c r="L2" s="349"/>
      <c r="M2" s="212"/>
      <c r="N2" s="212" t="s">
        <v>348</v>
      </c>
      <c r="O2" s="212" t="s">
        <v>247</v>
      </c>
    </row>
    <row r="3" spans="2:36" ht="17.399999999999999" x14ac:dyDescent="0.25">
      <c r="B3" s="327" t="s">
        <v>18</v>
      </c>
      <c r="C3" s="328">
        <v>250</v>
      </c>
      <c r="D3" s="328"/>
      <c r="E3" s="328">
        <v>250</v>
      </c>
      <c r="F3" s="353"/>
      <c r="G3" s="384">
        <v>400</v>
      </c>
      <c r="H3" s="385">
        <v>400</v>
      </c>
      <c r="I3" s="385">
        <v>400</v>
      </c>
      <c r="J3" s="386">
        <v>400</v>
      </c>
      <c r="K3" s="368"/>
      <c r="L3" s="328"/>
      <c r="M3" s="327" t="s">
        <v>1</v>
      </c>
      <c r="N3" s="214">
        <v>1</v>
      </c>
      <c r="O3" s="345" t="s">
        <v>245</v>
      </c>
      <c r="Q3" s="430" t="s">
        <v>284</v>
      </c>
      <c r="R3" s="430"/>
      <c r="S3" s="430"/>
      <c r="T3" s="321"/>
      <c r="U3" s="431" t="s">
        <v>243</v>
      </c>
      <c r="V3" s="431"/>
      <c r="W3" s="431"/>
      <c r="X3" s="321" t="s">
        <v>767</v>
      </c>
      <c r="Y3" s="431" t="s">
        <v>646</v>
      </c>
      <c r="Z3" s="431"/>
      <c r="AA3" s="431"/>
      <c r="AB3" s="321"/>
      <c r="AC3" s="430" t="s">
        <v>264</v>
      </c>
      <c r="AD3" s="430"/>
      <c r="AE3" s="430"/>
      <c r="AF3" s="79"/>
      <c r="AG3" s="430" t="s">
        <v>739</v>
      </c>
      <c r="AH3" s="430"/>
      <c r="AI3" s="430"/>
    </row>
    <row r="4" spans="2:36" ht="17.399999999999999" x14ac:dyDescent="0.25">
      <c r="B4" s="327" t="s">
        <v>668</v>
      </c>
      <c r="C4" s="328">
        <v>380</v>
      </c>
      <c r="D4" s="328"/>
      <c r="E4" s="328">
        <v>380</v>
      </c>
      <c r="F4" s="353"/>
      <c r="G4" s="387">
        <v>380</v>
      </c>
      <c r="H4" s="328">
        <v>380</v>
      </c>
      <c r="I4" s="328">
        <v>380</v>
      </c>
      <c r="J4" s="388">
        <v>380</v>
      </c>
      <c r="K4" s="368"/>
      <c r="L4" s="328"/>
      <c r="M4" s="327" t="s">
        <v>0</v>
      </c>
      <c r="N4" s="214">
        <v>2</v>
      </c>
      <c r="O4" s="345" t="s">
        <v>246</v>
      </c>
      <c r="Q4" s="323" t="s">
        <v>10</v>
      </c>
      <c r="R4" s="324">
        <v>3</v>
      </c>
      <c r="S4" s="323" t="s">
        <v>11</v>
      </c>
      <c r="T4" s="321"/>
      <c r="U4" s="323" t="s">
        <v>20</v>
      </c>
      <c r="V4" s="324">
        <v>500</v>
      </c>
      <c r="W4" s="323" t="s">
        <v>0</v>
      </c>
      <c r="X4" s="321"/>
      <c r="Y4" s="323" t="s">
        <v>213</v>
      </c>
      <c r="Z4" s="68" t="s">
        <v>214</v>
      </c>
      <c r="AA4" s="68"/>
      <c r="AB4" s="321"/>
      <c r="AC4" s="71" t="s">
        <v>108</v>
      </c>
      <c r="AD4" s="324">
        <v>1</v>
      </c>
      <c r="AE4" s="71" t="s">
        <v>15</v>
      </c>
      <c r="AF4" s="79"/>
      <c r="AG4" s="351" t="s">
        <v>728</v>
      </c>
      <c r="AH4" s="352">
        <v>44</v>
      </c>
      <c r="AI4" s="71" t="s">
        <v>15</v>
      </c>
      <c r="AJ4" s="3" t="s">
        <v>736</v>
      </c>
    </row>
    <row r="5" spans="2:36" ht="17.399999999999999" x14ac:dyDescent="0.25">
      <c r="B5" s="327" t="s">
        <v>75</v>
      </c>
      <c r="C5" s="329">
        <v>0.9</v>
      </c>
      <c r="D5" s="329"/>
      <c r="E5" s="329">
        <v>0.9</v>
      </c>
      <c r="F5" s="354"/>
      <c r="G5" s="389">
        <v>0.9</v>
      </c>
      <c r="H5" s="329">
        <v>0.9</v>
      </c>
      <c r="I5" s="329">
        <v>0.9</v>
      </c>
      <c r="J5" s="390">
        <v>0.9</v>
      </c>
      <c r="K5" s="369"/>
      <c r="L5" s="329"/>
      <c r="M5" s="327"/>
      <c r="N5" s="214"/>
      <c r="O5" s="327" t="s">
        <v>636</v>
      </c>
      <c r="Q5" s="323" t="s">
        <v>12</v>
      </c>
      <c r="R5" s="324">
        <v>36</v>
      </c>
      <c r="S5" s="323" t="s">
        <v>13</v>
      </c>
      <c r="T5" s="321"/>
      <c r="U5" s="323" t="s">
        <v>624</v>
      </c>
      <c r="V5" s="324">
        <v>5.2400000000000002E-2</v>
      </c>
      <c r="W5" s="323" t="s">
        <v>19</v>
      </c>
      <c r="X5" s="321"/>
      <c r="Y5" s="325" t="s">
        <v>215</v>
      </c>
      <c r="Z5" s="80">
        <v>1.75</v>
      </c>
      <c r="AA5" s="325" t="s">
        <v>216</v>
      </c>
      <c r="AB5" s="321"/>
      <c r="AC5" s="71" t="s">
        <v>109</v>
      </c>
      <c r="AD5" s="324">
        <v>1800</v>
      </c>
      <c r="AE5" s="71" t="s">
        <v>2</v>
      </c>
      <c r="AF5" s="79"/>
      <c r="AG5" s="351" t="s">
        <v>729</v>
      </c>
      <c r="AH5" s="352">
        <v>750</v>
      </c>
      <c r="AI5" s="351" t="s">
        <v>2</v>
      </c>
    </row>
    <row r="6" spans="2:36" ht="17.399999999999999" x14ac:dyDescent="0.25">
      <c r="B6" s="327" t="s">
        <v>66</v>
      </c>
      <c r="C6" s="224">
        <f t="shared" ref="C6" si="0">ROUND(C3*1000/(C4*0.9)/1.732/C5,1)</f>
        <v>468.9</v>
      </c>
      <c r="D6" s="224"/>
      <c r="E6" s="224">
        <f t="shared" ref="E6" si="1">ROUND(E3*1000/(E4*0.9)/1.732/E5,1)</f>
        <v>468.9</v>
      </c>
      <c r="F6" s="355"/>
      <c r="G6" s="391">
        <f t="shared" ref="G6:J6" si="2">ROUND(G3*1000/(G4*0.9)/1.732/G5,1)</f>
        <v>750.3</v>
      </c>
      <c r="H6" s="224">
        <f t="shared" si="2"/>
        <v>750.3</v>
      </c>
      <c r="I6" s="224">
        <f t="shared" si="2"/>
        <v>750.3</v>
      </c>
      <c r="J6" s="392">
        <f t="shared" si="2"/>
        <v>750.3</v>
      </c>
      <c r="K6" s="370"/>
      <c r="L6" s="224"/>
      <c r="M6" s="327" t="s">
        <v>2</v>
      </c>
      <c r="N6" s="214"/>
      <c r="O6" s="327" t="s">
        <v>345</v>
      </c>
      <c r="Q6" s="323" t="s">
        <v>14</v>
      </c>
      <c r="R6" s="324">
        <v>30</v>
      </c>
      <c r="S6" s="323" t="s">
        <v>13</v>
      </c>
      <c r="T6" s="321"/>
      <c r="U6" s="323" t="s">
        <v>21</v>
      </c>
      <c r="V6" s="324">
        <v>48</v>
      </c>
      <c r="W6" s="323" t="s">
        <v>22</v>
      </c>
      <c r="X6" s="321"/>
      <c r="Y6" s="325" t="s">
        <v>217</v>
      </c>
      <c r="Z6" s="81">
        <v>3.8999999999999998E-3</v>
      </c>
      <c r="AA6" s="325" t="s">
        <v>218</v>
      </c>
      <c r="AB6" s="321"/>
      <c r="AC6" s="71" t="s">
        <v>110</v>
      </c>
      <c r="AD6" s="324">
        <v>1236</v>
      </c>
      <c r="AE6" s="71" t="s">
        <v>27</v>
      </c>
      <c r="AF6" s="79"/>
      <c r="AG6" s="71" t="s">
        <v>108</v>
      </c>
      <c r="AH6" s="324">
        <v>1</v>
      </c>
      <c r="AI6" s="71" t="s">
        <v>15</v>
      </c>
      <c r="AJ6" s="3" t="s">
        <v>738</v>
      </c>
    </row>
    <row r="7" spans="2:36" ht="17.399999999999999" x14ac:dyDescent="0.25">
      <c r="B7" s="327" t="s">
        <v>53</v>
      </c>
      <c r="C7" s="223">
        <v>2</v>
      </c>
      <c r="D7" s="223"/>
      <c r="E7" s="223">
        <v>2</v>
      </c>
      <c r="F7" s="356"/>
      <c r="G7" s="393">
        <v>2</v>
      </c>
      <c r="H7" s="223">
        <v>2</v>
      </c>
      <c r="I7" s="223">
        <v>2</v>
      </c>
      <c r="J7" s="394">
        <v>2</v>
      </c>
      <c r="K7" s="371"/>
      <c r="L7" s="223"/>
      <c r="M7" s="327" t="s">
        <v>76</v>
      </c>
      <c r="N7" s="214"/>
      <c r="O7" s="327"/>
      <c r="Q7" s="323" t="s">
        <v>99</v>
      </c>
      <c r="R7" s="73">
        <f>(R5*R4)*(R5*R4)/(101.6*(4.5*R5+10*R6))</f>
        <v>0.24849166581450047</v>
      </c>
      <c r="S7" s="323" t="s">
        <v>15</v>
      </c>
      <c r="T7" s="321"/>
      <c r="U7" s="323" t="s">
        <v>23</v>
      </c>
      <c r="V7" s="324">
        <v>200000</v>
      </c>
      <c r="W7" s="323" t="s">
        <v>24</v>
      </c>
      <c r="X7" s="321"/>
      <c r="Y7" s="325" t="s">
        <v>219</v>
      </c>
      <c r="Z7" s="82">
        <v>45</v>
      </c>
      <c r="AA7" s="325" t="s">
        <v>48</v>
      </c>
      <c r="AB7" s="321"/>
      <c r="AC7" s="71" t="s">
        <v>288</v>
      </c>
      <c r="AD7" s="324">
        <v>500</v>
      </c>
      <c r="AE7" s="71" t="s">
        <v>0</v>
      </c>
      <c r="AF7" s="79"/>
      <c r="AG7" s="71" t="s">
        <v>109</v>
      </c>
      <c r="AH7" s="324">
        <v>1800</v>
      </c>
      <c r="AI7" s="71" t="s">
        <v>2</v>
      </c>
    </row>
    <row r="8" spans="2:36" ht="17.399999999999999" x14ac:dyDescent="0.25">
      <c r="B8" s="327" t="s">
        <v>67</v>
      </c>
      <c r="C8" s="223">
        <f t="shared" ref="C8" si="3">ROUND(C6/C7,0)</f>
        <v>234</v>
      </c>
      <c r="D8" s="223"/>
      <c r="E8" s="223">
        <f t="shared" ref="E8" si="4">ROUND(E6/E7,0)</f>
        <v>234</v>
      </c>
      <c r="F8" s="356"/>
      <c r="G8" s="393">
        <f t="shared" ref="G8:J8" si="5">ROUND(G6/G7,0)</f>
        <v>375</v>
      </c>
      <c r="H8" s="223">
        <f t="shared" si="5"/>
        <v>375</v>
      </c>
      <c r="I8" s="223">
        <f t="shared" si="5"/>
        <v>375</v>
      </c>
      <c r="J8" s="394">
        <f t="shared" si="5"/>
        <v>375</v>
      </c>
      <c r="K8" s="371"/>
      <c r="L8" s="223"/>
      <c r="M8" s="327" t="s">
        <v>3</v>
      </c>
      <c r="N8" s="214"/>
      <c r="O8" s="327"/>
      <c r="Q8" s="323" t="s">
        <v>100</v>
      </c>
      <c r="R8" s="324">
        <v>60</v>
      </c>
      <c r="S8" s="323" t="s">
        <v>7</v>
      </c>
      <c r="T8" s="321"/>
      <c r="U8" s="323" t="s">
        <v>25</v>
      </c>
      <c r="V8" s="90">
        <f>(5000*V4)/(V5*V6*V7)</f>
        <v>4.9697837150127224</v>
      </c>
      <c r="W8" s="323" t="s">
        <v>244</v>
      </c>
      <c r="X8" s="321"/>
      <c r="Y8" s="325" t="s">
        <v>220</v>
      </c>
      <c r="Z8" s="81">
        <f>Z5*(1+Z6*(Z7-20))</f>
        <v>1.9206249999999998</v>
      </c>
      <c r="AA8" s="325" t="s">
        <v>216</v>
      </c>
      <c r="AB8" s="321"/>
      <c r="AC8" s="71" t="s">
        <v>287</v>
      </c>
      <c r="AD8" s="90">
        <f>SQRT(AD7^2+AD4*AD5^2/AD6)</f>
        <v>502.61452349022005</v>
      </c>
      <c r="AE8" s="71" t="s">
        <v>0</v>
      </c>
      <c r="AF8" s="79"/>
      <c r="AG8" s="71" t="s">
        <v>110</v>
      </c>
      <c r="AH8" s="324">
        <v>1236</v>
      </c>
      <c r="AI8" s="71" t="s">
        <v>27</v>
      </c>
      <c r="AJ8" s="3" t="s">
        <v>768</v>
      </c>
    </row>
    <row r="9" spans="2:36" ht="17.399999999999999" x14ac:dyDescent="0.25">
      <c r="B9" s="327"/>
      <c r="C9" s="327"/>
      <c r="D9" s="327"/>
      <c r="E9" s="327"/>
      <c r="F9" s="357"/>
      <c r="G9" s="395"/>
      <c r="H9" s="327"/>
      <c r="I9" s="327"/>
      <c r="J9" s="396"/>
      <c r="K9" s="372"/>
      <c r="L9" s="327"/>
      <c r="M9" s="327"/>
      <c r="N9" s="214"/>
      <c r="O9" s="327"/>
      <c r="Q9" s="323" t="s">
        <v>97</v>
      </c>
      <c r="R9" s="73">
        <f>R7*R8/100</f>
        <v>0.14909499948870028</v>
      </c>
      <c r="S9" s="323" t="s">
        <v>15</v>
      </c>
      <c r="T9" s="321"/>
      <c r="U9" s="321"/>
      <c r="V9" s="321"/>
      <c r="W9" s="321"/>
      <c r="X9" s="321"/>
      <c r="Y9" s="325" t="s">
        <v>221</v>
      </c>
      <c r="Z9" s="83">
        <f>1/(Z8/100000000)</f>
        <v>52066384.64041654</v>
      </c>
      <c r="AA9" s="325" t="s">
        <v>222</v>
      </c>
      <c r="AB9" s="321"/>
      <c r="AC9" s="321"/>
      <c r="AD9" s="321"/>
      <c r="AE9" s="321"/>
      <c r="AF9" s="79"/>
      <c r="AG9" s="71" t="s">
        <v>288</v>
      </c>
      <c r="AH9" s="324">
        <v>500</v>
      </c>
      <c r="AI9" s="71" t="s">
        <v>0</v>
      </c>
    </row>
    <row r="10" spans="2:36" ht="17.399999999999999" x14ac:dyDescent="0.25">
      <c r="B10" s="327" t="s">
        <v>16</v>
      </c>
      <c r="C10" s="224">
        <f t="shared" ref="C10" si="6">ROUND(C4*2^0.5*0.93,1)</f>
        <v>499.8</v>
      </c>
      <c r="D10" s="224"/>
      <c r="E10" s="224">
        <f t="shared" ref="E10" si="7">ROUND(E4*2^0.5*0.93,1)</f>
        <v>499.8</v>
      </c>
      <c r="F10" s="355"/>
      <c r="G10" s="391">
        <f t="shared" ref="G10:J10" si="8">ROUND(G4*2^0.5*0.93,1)</f>
        <v>499.8</v>
      </c>
      <c r="H10" s="224">
        <f t="shared" si="8"/>
        <v>499.8</v>
      </c>
      <c r="I10" s="224">
        <f t="shared" si="8"/>
        <v>499.8</v>
      </c>
      <c r="J10" s="392">
        <f t="shared" si="8"/>
        <v>499.8</v>
      </c>
      <c r="K10" s="370"/>
      <c r="L10" s="224"/>
      <c r="M10" s="327" t="s">
        <v>0</v>
      </c>
      <c r="N10" s="214"/>
      <c r="O10" s="327" t="s">
        <v>344</v>
      </c>
      <c r="Q10" s="71" t="s">
        <v>96</v>
      </c>
      <c r="R10" s="324">
        <v>0.5</v>
      </c>
      <c r="S10" s="323" t="s">
        <v>15</v>
      </c>
      <c r="T10" s="321" t="s">
        <v>705</v>
      </c>
      <c r="U10" s="431" t="s">
        <v>670</v>
      </c>
      <c r="V10" s="431"/>
      <c r="W10" s="431"/>
      <c r="X10" s="321"/>
      <c r="Y10" s="325" t="s">
        <v>223</v>
      </c>
      <c r="Z10" s="68">
        <v>1</v>
      </c>
      <c r="AA10" s="325" t="s">
        <v>224</v>
      </c>
      <c r="AB10" s="321"/>
      <c r="AC10" s="430" t="s">
        <v>275</v>
      </c>
      <c r="AD10" s="430"/>
      <c r="AE10" s="430"/>
      <c r="AF10" s="79"/>
      <c r="AG10" s="71" t="s">
        <v>287</v>
      </c>
      <c r="AH10" s="90">
        <f>SQRT(AH9^2+(AH4*AH5^2+AH6*AH7^2)/AH8)</f>
        <v>522.1547960786736</v>
      </c>
      <c r="AI10" s="71" t="s">
        <v>0</v>
      </c>
    </row>
    <row r="11" spans="2:36" ht="17.399999999999999" x14ac:dyDescent="0.25">
      <c r="B11" s="327" t="s">
        <v>17</v>
      </c>
      <c r="C11" s="224">
        <f t="shared" ref="C11" si="9">ROUND(C3*1000/C10,1)</f>
        <v>500.2</v>
      </c>
      <c r="D11" s="224"/>
      <c r="E11" s="224">
        <f t="shared" ref="E11" si="10">ROUND(E3*1000/E10,1)</f>
        <v>500.2</v>
      </c>
      <c r="F11" s="355"/>
      <c r="G11" s="391">
        <f t="shared" ref="G11:J11" si="11">ROUND(G3*1000/G10,1)</f>
        <v>800.3</v>
      </c>
      <c r="H11" s="224">
        <f t="shared" si="11"/>
        <v>800.3</v>
      </c>
      <c r="I11" s="224">
        <f t="shared" si="11"/>
        <v>800.3</v>
      </c>
      <c r="J11" s="392">
        <f t="shared" si="11"/>
        <v>800.3</v>
      </c>
      <c r="K11" s="370"/>
      <c r="L11" s="224"/>
      <c r="M11" s="327" t="s">
        <v>2</v>
      </c>
      <c r="N11" s="214"/>
      <c r="O11" s="327" t="s">
        <v>346</v>
      </c>
      <c r="Q11" s="71" t="s">
        <v>285</v>
      </c>
      <c r="R11" s="324">
        <v>1</v>
      </c>
      <c r="S11" s="323" t="s">
        <v>42</v>
      </c>
      <c r="T11" s="321"/>
      <c r="U11" s="323" t="s">
        <v>26</v>
      </c>
      <c r="V11" s="324">
        <v>1.34</v>
      </c>
      <c r="W11" s="323" t="s">
        <v>27</v>
      </c>
      <c r="X11" s="321"/>
      <c r="Y11" s="325" t="s">
        <v>37</v>
      </c>
      <c r="Z11" s="84">
        <v>400000</v>
      </c>
      <c r="AA11" s="325" t="s">
        <v>225</v>
      </c>
      <c r="AB11" s="321"/>
      <c r="AC11" s="323" t="s">
        <v>110</v>
      </c>
      <c r="AD11" s="324">
        <v>1236</v>
      </c>
      <c r="AE11" s="323" t="s">
        <v>27</v>
      </c>
      <c r="AF11" s="79"/>
    </row>
    <row r="12" spans="2:36" ht="17.399999999999999" x14ac:dyDescent="0.25">
      <c r="B12" s="327"/>
      <c r="C12" s="327"/>
      <c r="D12" s="327"/>
      <c r="E12" s="327"/>
      <c r="F12" s="357"/>
      <c r="G12" s="395"/>
      <c r="H12" s="327"/>
      <c r="I12" s="327"/>
      <c r="J12" s="396"/>
      <c r="K12" s="372"/>
      <c r="L12" s="327"/>
      <c r="M12" s="327"/>
      <c r="N12" s="214"/>
      <c r="O12" s="327"/>
      <c r="Q12" s="71" t="s">
        <v>98</v>
      </c>
      <c r="R12" s="324">
        <v>1</v>
      </c>
      <c r="S12" s="323" t="s">
        <v>68</v>
      </c>
      <c r="T12" s="321"/>
      <c r="U12" s="323" t="s">
        <v>28</v>
      </c>
      <c r="V12" s="324">
        <v>3</v>
      </c>
      <c r="W12" s="323" t="s">
        <v>15</v>
      </c>
      <c r="X12" s="321"/>
      <c r="Y12" s="325" t="s">
        <v>256</v>
      </c>
      <c r="Z12" s="96">
        <f>503.3*SQRT((Z8/100000000)/(Z10*Z11))*1000</f>
        <v>0.1102854510017357</v>
      </c>
      <c r="AA12" s="325" t="s">
        <v>227</v>
      </c>
      <c r="AB12" s="321"/>
      <c r="AC12" s="323" t="s">
        <v>112</v>
      </c>
      <c r="AD12" s="324">
        <v>500</v>
      </c>
      <c r="AE12" s="323" t="s">
        <v>0</v>
      </c>
      <c r="AF12" s="79"/>
    </row>
    <row r="13" spans="2:36" ht="17.399999999999999" x14ac:dyDescent="0.25">
      <c r="B13" s="211" t="s">
        <v>241</v>
      </c>
      <c r="C13" s="327"/>
      <c r="D13" s="327"/>
      <c r="E13" s="327"/>
      <c r="F13" s="357"/>
      <c r="G13" s="395"/>
      <c r="H13" s="327"/>
      <c r="I13" s="327"/>
      <c r="J13" s="396"/>
      <c r="K13" s="372"/>
      <c r="L13" s="327"/>
      <c r="M13" s="327"/>
      <c r="N13" s="214"/>
      <c r="O13" s="327"/>
      <c r="Q13" s="71" t="s">
        <v>101</v>
      </c>
      <c r="R13" s="85">
        <v>1</v>
      </c>
      <c r="S13" s="323" t="s">
        <v>69</v>
      </c>
      <c r="T13" s="321"/>
      <c r="U13" s="323" t="s">
        <v>29</v>
      </c>
      <c r="V13" s="90">
        <f>1/(2*3.14*SQRT((V11/1000000)*(V12/1000000)))</f>
        <v>79419.533129588599</v>
      </c>
      <c r="W13" s="323" t="s">
        <v>30</v>
      </c>
      <c r="X13" s="321"/>
      <c r="Y13" s="325" t="s">
        <v>257</v>
      </c>
      <c r="Z13" s="326">
        <v>2000</v>
      </c>
      <c r="AA13" s="325" t="s">
        <v>227</v>
      </c>
      <c r="AB13" s="321"/>
      <c r="AC13" s="323" t="s">
        <v>109</v>
      </c>
      <c r="AD13" s="324">
        <v>1800</v>
      </c>
      <c r="AE13" s="323" t="s">
        <v>2</v>
      </c>
      <c r="AF13" s="79"/>
    </row>
    <row r="14" spans="2:36" ht="17.399999999999999" x14ac:dyDescent="0.25">
      <c r="B14" s="327" t="s">
        <v>77</v>
      </c>
      <c r="C14" s="328">
        <f>C15+C16</f>
        <v>0.56000000000000005</v>
      </c>
      <c r="D14" s="328"/>
      <c r="E14" s="328">
        <f t="shared" ref="E14" si="12">E15+E16</f>
        <v>1.06</v>
      </c>
      <c r="F14" s="353"/>
      <c r="G14" s="387">
        <f t="shared" ref="G14:J14" si="13">G15+G16</f>
        <v>1.06</v>
      </c>
      <c r="H14" s="328">
        <f t="shared" si="13"/>
        <v>1.06</v>
      </c>
      <c r="I14" s="328">
        <f t="shared" si="13"/>
        <v>1.06</v>
      </c>
      <c r="J14" s="388">
        <f t="shared" si="13"/>
        <v>1.06</v>
      </c>
      <c r="K14" s="368"/>
      <c r="L14" s="328"/>
      <c r="M14" s="327" t="s">
        <v>15</v>
      </c>
      <c r="N14" s="214">
        <v>3</v>
      </c>
      <c r="O14" s="345" t="s">
        <v>342</v>
      </c>
      <c r="Q14" s="71" t="s">
        <v>286</v>
      </c>
      <c r="R14" s="95">
        <f>R9/R12*R13*R11^2+R10</f>
        <v>0.64909499948870031</v>
      </c>
      <c r="S14" s="323" t="s">
        <v>15</v>
      </c>
      <c r="T14" s="321"/>
      <c r="U14" s="321"/>
      <c r="V14" s="321"/>
      <c r="W14" s="321"/>
      <c r="X14" s="321"/>
      <c r="Y14" s="325" t="s">
        <v>283</v>
      </c>
      <c r="Z14" s="326">
        <v>2</v>
      </c>
      <c r="AA14" s="325" t="s">
        <v>227</v>
      </c>
      <c r="AB14" s="321"/>
      <c r="AC14" s="323" t="s">
        <v>114</v>
      </c>
      <c r="AD14" s="324">
        <v>250000</v>
      </c>
      <c r="AE14" s="323" t="s">
        <v>24</v>
      </c>
      <c r="AF14" s="79"/>
    </row>
    <row r="15" spans="2:36" ht="17.399999999999999" x14ac:dyDescent="0.25">
      <c r="B15" s="327" t="s">
        <v>726</v>
      </c>
      <c r="C15" s="328">
        <v>0.56000000000000005</v>
      </c>
      <c r="D15" s="328"/>
      <c r="E15" s="328">
        <v>0.56000000000000005</v>
      </c>
      <c r="F15" s="353"/>
      <c r="G15" s="387">
        <v>0.56000000000000005</v>
      </c>
      <c r="H15" s="328">
        <v>0.56000000000000005</v>
      </c>
      <c r="I15" s="328">
        <v>0.56000000000000005</v>
      </c>
      <c r="J15" s="388">
        <v>0.56000000000000005</v>
      </c>
      <c r="K15" s="368"/>
      <c r="L15" s="328"/>
      <c r="M15" s="327"/>
      <c r="N15" s="214"/>
      <c r="O15" s="345"/>
      <c r="Q15" s="320"/>
      <c r="R15" s="319"/>
      <c r="S15" s="346"/>
      <c r="T15" s="321"/>
      <c r="U15" s="321"/>
      <c r="V15" s="321"/>
      <c r="W15" s="321"/>
      <c r="X15" s="321"/>
      <c r="Y15" s="325"/>
      <c r="Z15" s="326"/>
      <c r="AA15" s="325"/>
      <c r="AB15" s="321"/>
      <c r="AC15" s="323"/>
      <c r="AD15" s="324"/>
      <c r="AE15" s="323"/>
      <c r="AF15" s="79"/>
    </row>
    <row r="16" spans="2:36" ht="17.399999999999999" x14ac:dyDescent="0.25">
      <c r="B16" s="327" t="s">
        <v>727</v>
      </c>
      <c r="C16" s="328"/>
      <c r="D16" s="328"/>
      <c r="E16" s="328">
        <v>0.5</v>
      </c>
      <c r="F16" s="353"/>
      <c r="G16" s="387">
        <v>0.5</v>
      </c>
      <c r="H16" s="328">
        <v>0.5</v>
      </c>
      <c r="I16" s="328">
        <v>0.5</v>
      </c>
      <c r="J16" s="388">
        <v>0.5</v>
      </c>
      <c r="K16" s="368"/>
      <c r="L16" s="328"/>
      <c r="M16" s="327"/>
      <c r="N16" s="214"/>
      <c r="O16" s="345"/>
      <c r="Q16" s="320"/>
      <c r="R16" s="319"/>
      <c r="S16" s="346"/>
      <c r="T16" s="321"/>
      <c r="U16" s="321"/>
      <c r="V16" s="321"/>
      <c r="W16" s="321"/>
      <c r="X16" s="321"/>
      <c r="Y16" s="325"/>
      <c r="Z16" s="326"/>
      <c r="AA16" s="325"/>
      <c r="AB16" s="321"/>
      <c r="AC16" s="323"/>
      <c r="AD16" s="324"/>
      <c r="AE16" s="323"/>
      <c r="AF16" s="79"/>
    </row>
    <row r="17" spans="2:32" ht="17.399999999999999" x14ac:dyDescent="0.25">
      <c r="B17" s="327" t="s">
        <v>78</v>
      </c>
      <c r="C17" s="313">
        <v>0.65</v>
      </c>
      <c r="D17" s="313"/>
      <c r="E17" s="313">
        <v>0.33</v>
      </c>
      <c r="F17" s="358"/>
      <c r="G17" s="397">
        <v>0.33</v>
      </c>
      <c r="H17" s="313">
        <v>0.33</v>
      </c>
      <c r="I17" s="313">
        <v>0.33</v>
      </c>
      <c r="J17" s="398">
        <v>0.33</v>
      </c>
      <c r="K17" s="373"/>
      <c r="L17" s="313"/>
      <c r="M17" s="327" t="s">
        <v>27</v>
      </c>
      <c r="N17" s="214">
        <v>4</v>
      </c>
      <c r="O17" s="345" t="s">
        <v>347</v>
      </c>
      <c r="P17" s="3"/>
      <c r="Q17" s="321"/>
      <c r="R17" s="321"/>
      <c r="S17" s="321"/>
      <c r="T17" s="321"/>
      <c r="U17" s="431" t="s">
        <v>250</v>
      </c>
      <c r="V17" s="431"/>
      <c r="W17" s="431"/>
      <c r="X17" s="321"/>
      <c r="Y17" s="325" t="s">
        <v>281</v>
      </c>
      <c r="Z17" s="92">
        <f>MIN(Z12,Z14)</f>
        <v>0.1102854510017357</v>
      </c>
      <c r="AA17" s="325" t="s">
        <v>227</v>
      </c>
      <c r="AB17" s="321"/>
      <c r="AC17" s="323" t="s">
        <v>115</v>
      </c>
      <c r="AD17" s="73">
        <f>(1.414*AD13*0.421)/(2*3.14159*AD14*AD12*2*AD11*0.000001)*2*100</f>
        <v>0.11038143229495101</v>
      </c>
      <c r="AE17" s="323" t="s">
        <v>7</v>
      </c>
      <c r="AF17" s="79"/>
    </row>
    <row r="18" spans="2:32" ht="17.399999999999999" x14ac:dyDescent="0.25">
      <c r="B18" s="327" t="s">
        <v>79</v>
      </c>
      <c r="C18" s="225">
        <f>1000/(2*PI()*(C14*C17)^0.5)</f>
        <v>263.79674946647492</v>
      </c>
      <c r="D18" s="225"/>
      <c r="E18" s="225">
        <f>1000/(2*PI()*(E14*E17)^0.5)</f>
        <v>269.09785071731051</v>
      </c>
      <c r="F18" s="359"/>
      <c r="G18" s="399">
        <f>1000/(2*PI()*(G14*G17)^0.5)</f>
        <v>269.09785071731051</v>
      </c>
      <c r="H18" s="225">
        <f>1000/(2*PI()*(H14*H17)^0.5)</f>
        <v>269.09785071731051</v>
      </c>
      <c r="I18" s="225">
        <f>1000/(2*PI()*(I14*I17)^0.5)</f>
        <v>269.09785071731051</v>
      </c>
      <c r="J18" s="400">
        <f>1000/(2*PI()*(J14*J17)^0.5)</f>
        <v>269.09785071731051</v>
      </c>
      <c r="K18" s="374"/>
      <c r="L18" s="225"/>
      <c r="M18" s="327" t="s">
        <v>4</v>
      </c>
      <c r="N18" s="214"/>
      <c r="O18" s="327" t="s">
        <v>249</v>
      </c>
      <c r="Q18" s="430" t="s">
        <v>228</v>
      </c>
      <c r="R18" s="430"/>
      <c r="S18" s="430"/>
      <c r="T18" s="321" t="s">
        <v>767</v>
      </c>
      <c r="U18" s="323" t="s">
        <v>31</v>
      </c>
      <c r="V18" s="324">
        <v>1.34</v>
      </c>
      <c r="W18" s="323" t="s">
        <v>32</v>
      </c>
      <c r="X18" s="321"/>
      <c r="Y18" s="325" t="s">
        <v>279</v>
      </c>
      <c r="Z18" s="326">
        <v>200</v>
      </c>
      <c r="AA18" s="325" t="s">
        <v>227</v>
      </c>
      <c r="AB18" s="321"/>
      <c r="AC18" s="323" t="s">
        <v>111</v>
      </c>
      <c r="AD18" s="90">
        <f>AD12*AD17/100</f>
        <v>0.55190716147475505</v>
      </c>
      <c r="AE18" s="323" t="s">
        <v>0</v>
      </c>
      <c r="AF18" s="79"/>
    </row>
    <row r="19" spans="2:32" ht="17.399999999999999" x14ac:dyDescent="0.25">
      <c r="B19" s="327" t="s">
        <v>80</v>
      </c>
      <c r="C19" s="328">
        <v>30</v>
      </c>
      <c r="D19" s="328"/>
      <c r="E19" s="328">
        <v>30</v>
      </c>
      <c r="F19" s="353"/>
      <c r="G19" s="387">
        <v>30</v>
      </c>
      <c r="H19" s="328">
        <v>30</v>
      </c>
      <c r="I19" s="328">
        <v>30</v>
      </c>
      <c r="J19" s="388">
        <v>30</v>
      </c>
      <c r="K19" s="368"/>
      <c r="L19" s="328"/>
      <c r="M19" s="327" t="s">
        <v>81</v>
      </c>
      <c r="N19" s="214">
        <v>6</v>
      </c>
      <c r="O19" s="345" t="s">
        <v>276</v>
      </c>
      <c r="Q19" s="86" t="s">
        <v>233</v>
      </c>
      <c r="R19" s="87">
        <v>0.66</v>
      </c>
      <c r="S19" s="86" t="s">
        <v>27</v>
      </c>
      <c r="T19" s="321"/>
      <c r="U19" s="323" t="s">
        <v>33</v>
      </c>
      <c r="V19" s="324">
        <v>80</v>
      </c>
      <c r="W19" s="323" t="s">
        <v>4</v>
      </c>
      <c r="X19" s="321"/>
      <c r="Y19" s="325" t="s">
        <v>278</v>
      </c>
      <c r="Z19" s="92">
        <f>Z17*Z18</f>
        <v>22.05709020034714</v>
      </c>
      <c r="AA19" s="325" t="s">
        <v>253</v>
      </c>
      <c r="AB19" s="321"/>
      <c r="AC19" s="323" t="s">
        <v>113</v>
      </c>
      <c r="AD19" s="90">
        <f>2*3.14159*AD14*AD11*0.000001*AD18</f>
        <v>1071.5291999999999</v>
      </c>
      <c r="AE19" s="323" t="s">
        <v>2</v>
      </c>
      <c r="AF19" s="79"/>
    </row>
    <row r="20" spans="2:32" ht="17.399999999999999" x14ac:dyDescent="0.25">
      <c r="B20" s="327" t="s">
        <v>82</v>
      </c>
      <c r="C20" s="223">
        <f t="shared" ref="C20" si="14">ROUNDUP(TAN(PI()*C19/180),3)</f>
        <v>0.57799999999999996</v>
      </c>
      <c r="D20" s="223"/>
      <c r="E20" s="223">
        <f t="shared" ref="E20" si="15">ROUNDUP(TAN(PI()*E19/180),3)</f>
        <v>0.57799999999999996</v>
      </c>
      <c r="F20" s="356"/>
      <c r="G20" s="393">
        <f t="shared" ref="G20:J20" si="16">ROUNDUP(TAN(PI()*G19/180),3)</f>
        <v>0.57799999999999996</v>
      </c>
      <c r="H20" s="223">
        <f t="shared" si="16"/>
        <v>0.57799999999999996</v>
      </c>
      <c r="I20" s="223">
        <f t="shared" si="16"/>
        <v>0.57799999999999996</v>
      </c>
      <c r="J20" s="394">
        <f t="shared" si="16"/>
        <v>0.57799999999999996</v>
      </c>
      <c r="K20" s="371"/>
      <c r="L20" s="223"/>
      <c r="M20" s="327"/>
      <c r="N20" s="214"/>
      <c r="O20" s="327"/>
      <c r="Q20" s="86" t="s">
        <v>229</v>
      </c>
      <c r="R20" s="87">
        <v>1</v>
      </c>
      <c r="S20" s="86" t="s">
        <v>236</v>
      </c>
      <c r="T20" s="321"/>
      <c r="U20" s="323" t="s">
        <v>34</v>
      </c>
      <c r="V20" s="324">
        <v>650</v>
      </c>
      <c r="W20" s="323" t="s">
        <v>2</v>
      </c>
      <c r="X20" s="321"/>
      <c r="Y20" s="325" t="s">
        <v>258</v>
      </c>
      <c r="Z20" s="326">
        <v>850</v>
      </c>
      <c r="AA20" s="69" t="s">
        <v>254</v>
      </c>
      <c r="AB20" s="321"/>
      <c r="AC20" s="321"/>
      <c r="AD20" s="321"/>
      <c r="AE20" s="321"/>
      <c r="AF20" s="79"/>
    </row>
    <row r="21" spans="2:32" ht="17.399999999999999" x14ac:dyDescent="0.25">
      <c r="B21" s="327"/>
      <c r="C21" s="327"/>
      <c r="D21" s="327"/>
      <c r="E21" s="327"/>
      <c r="F21" s="357"/>
      <c r="G21" s="395"/>
      <c r="H21" s="327"/>
      <c r="I21" s="327"/>
      <c r="J21" s="396"/>
      <c r="K21" s="372"/>
      <c r="L21" s="327"/>
      <c r="M21" s="327"/>
      <c r="N21" s="214"/>
      <c r="O21" s="327"/>
      <c r="Q21" s="86" t="s">
        <v>231</v>
      </c>
      <c r="R21" s="87">
        <v>700</v>
      </c>
      <c r="S21" s="86" t="s">
        <v>0</v>
      </c>
      <c r="T21" s="321"/>
      <c r="U21" s="323" t="s">
        <v>35</v>
      </c>
      <c r="V21" s="90">
        <f>(V20)/(2*3.14*V19*1000*(V18/1000000))</f>
        <v>965.51478277402771</v>
      </c>
      <c r="W21" s="323" t="s">
        <v>0</v>
      </c>
      <c r="X21" s="321"/>
      <c r="Y21" s="325" t="s">
        <v>649</v>
      </c>
      <c r="Z21" s="93">
        <f>Z20/Z19</f>
        <v>38.536361427520596</v>
      </c>
      <c r="AA21" s="69" t="s">
        <v>254</v>
      </c>
      <c r="AB21" s="321"/>
      <c r="AC21" s="430" t="s">
        <v>644</v>
      </c>
      <c r="AD21" s="430"/>
      <c r="AE21" s="430"/>
      <c r="AF21" s="79"/>
    </row>
    <row r="22" spans="2:32" ht="17.399999999999999" x14ac:dyDescent="0.25">
      <c r="B22" s="327" t="s">
        <v>41</v>
      </c>
      <c r="C22" s="330">
        <v>6.2</v>
      </c>
      <c r="D22" s="330"/>
      <c r="E22" s="330">
        <f>SQRT(E18/C18)*C22*E14/E15</f>
        <v>11.853044704783956</v>
      </c>
      <c r="F22" s="360"/>
      <c r="G22" s="401">
        <v>9</v>
      </c>
      <c r="H22" s="330">
        <v>11</v>
      </c>
      <c r="I22" s="330">
        <v>13</v>
      </c>
      <c r="J22" s="402">
        <v>15</v>
      </c>
      <c r="K22" s="375"/>
      <c r="L22" s="330"/>
      <c r="M22" s="327"/>
      <c r="N22" s="214">
        <v>5</v>
      </c>
      <c r="O22" s="345" t="s">
        <v>343</v>
      </c>
      <c r="Q22" s="86" t="s">
        <v>232</v>
      </c>
      <c r="R22" s="87">
        <v>550</v>
      </c>
      <c r="S22" s="86" t="s">
        <v>2</v>
      </c>
      <c r="T22" s="321"/>
      <c r="U22" s="321"/>
      <c r="V22" s="321"/>
      <c r="W22" s="321"/>
      <c r="X22" s="321"/>
      <c r="Y22" s="325" t="s">
        <v>259</v>
      </c>
      <c r="Z22" s="314">
        <f>Z8/100000000/(Z19/1000000)*Z13/1000</f>
        <v>1.7415035098054523E-3</v>
      </c>
      <c r="AA22" s="69" t="s">
        <v>255</v>
      </c>
      <c r="AB22" s="321"/>
      <c r="AC22" s="278" t="s">
        <v>638</v>
      </c>
      <c r="AD22" s="327">
        <v>0.9133</v>
      </c>
      <c r="AE22" s="327" t="s">
        <v>637</v>
      </c>
      <c r="AF22" s="79"/>
    </row>
    <row r="23" spans="2:32" ht="17.399999999999999" x14ac:dyDescent="0.25">
      <c r="B23" s="327" t="s">
        <v>83</v>
      </c>
      <c r="C23" s="226">
        <f t="shared" ref="C23" si="17">C18*((C20/C22)+(((C20/C22)^2+4)^0.5))/2</f>
        <v>276.37951019486201</v>
      </c>
      <c r="D23" s="226"/>
      <c r="E23" s="226">
        <f t="shared" ref="E23" si="18">E18*((E20/E22)+(((E20/E22)^2+4)^0.5))/2</f>
        <v>275.73894776572098</v>
      </c>
      <c r="F23" s="361"/>
      <c r="G23" s="403">
        <f t="shared" ref="G23:J23" si="19">G18*((G20/G22)+(((G20/G22)^2+4)^0.5))/2</f>
        <v>277.87758250927646</v>
      </c>
      <c r="H23" s="226">
        <f t="shared" si="19"/>
        <v>276.26064236754144</v>
      </c>
      <c r="I23" s="226">
        <f t="shared" si="19"/>
        <v>275.14658975784221</v>
      </c>
      <c r="J23" s="404">
        <f t="shared" si="19"/>
        <v>274.33240983277955</v>
      </c>
      <c r="K23" s="376"/>
      <c r="L23" s="226"/>
      <c r="M23" s="327" t="s">
        <v>4</v>
      </c>
      <c r="N23" s="214"/>
      <c r="O23" s="216" t="s">
        <v>274</v>
      </c>
      <c r="Q23" s="86" t="s">
        <v>230</v>
      </c>
      <c r="R23" s="87">
        <v>1</v>
      </c>
      <c r="S23" s="86" t="s">
        <v>236</v>
      </c>
      <c r="T23" s="321"/>
      <c r="U23" s="431" t="s">
        <v>251</v>
      </c>
      <c r="V23" s="431"/>
      <c r="W23" s="431"/>
      <c r="X23" s="321"/>
      <c r="Y23" s="321"/>
      <c r="Z23" s="321"/>
      <c r="AA23" s="321"/>
      <c r="AB23" s="321"/>
      <c r="AC23" s="86" t="s">
        <v>639</v>
      </c>
      <c r="AD23" s="328">
        <v>3</v>
      </c>
      <c r="AE23" s="327" t="s">
        <v>380</v>
      </c>
      <c r="AF23" s="79"/>
    </row>
    <row r="24" spans="2:32" ht="17.399999999999999" x14ac:dyDescent="0.25">
      <c r="B24" s="327" t="s">
        <v>364</v>
      </c>
      <c r="C24" s="227">
        <f>2*PI()*C18*C14</f>
        <v>928.19096178451423</v>
      </c>
      <c r="D24" s="227"/>
      <c r="E24" s="227">
        <f>2*PI()*E18*E14</f>
        <v>1792.2391615298479</v>
      </c>
      <c r="F24" s="362"/>
      <c r="G24" s="405">
        <f>2*PI()*G18*G14</f>
        <v>1792.2391615298479</v>
      </c>
      <c r="H24" s="227">
        <f>2*PI()*H18*H14</f>
        <v>1792.2391615298479</v>
      </c>
      <c r="I24" s="227">
        <f>2*PI()*I18*I14</f>
        <v>1792.2391615298479</v>
      </c>
      <c r="J24" s="406">
        <f>2*PI()*J18*J14</f>
        <v>1792.2391615298479</v>
      </c>
      <c r="K24" s="377"/>
      <c r="L24" s="227"/>
      <c r="M24" s="327" t="s">
        <v>85</v>
      </c>
      <c r="N24" s="214"/>
      <c r="O24" s="327"/>
      <c r="Q24" s="86" t="s">
        <v>237</v>
      </c>
      <c r="R24" s="87">
        <v>8</v>
      </c>
      <c r="S24" s="86" t="s">
        <v>69</v>
      </c>
      <c r="T24" s="321"/>
      <c r="U24" s="71" t="s">
        <v>154</v>
      </c>
      <c r="V24" s="324">
        <v>500</v>
      </c>
      <c r="W24" s="323" t="s">
        <v>155</v>
      </c>
      <c r="X24" s="321"/>
      <c r="Y24" s="431" t="s">
        <v>647</v>
      </c>
      <c r="Z24" s="431"/>
      <c r="AA24" s="431"/>
      <c r="AB24" s="321"/>
      <c r="AC24" s="86" t="s">
        <v>640</v>
      </c>
      <c r="AD24" s="277">
        <f>AD22*AD23</f>
        <v>2.7399</v>
      </c>
      <c r="AE24" s="327" t="s">
        <v>637</v>
      </c>
      <c r="AF24" s="79"/>
    </row>
    <row r="25" spans="2:32" ht="17.399999999999999" x14ac:dyDescent="0.25">
      <c r="B25" s="327" t="s">
        <v>84</v>
      </c>
      <c r="C25" s="227">
        <f>2*PI()*C23*C14</f>
        <v>972.46445949063479</v>
      </c>
      <c r="D25" s="227"/>
      <c r="E25" s="227">
        <f>2*PI()*E23*E14</f>
        <v>1836.4700395318619</v>
      </c>
      <c r="F25" s="362"/>
      <c r="G25" s="405">
        <f>2*PI()*G23*G14</f>
        <v>1850.7137242338813</v>
      </c>
      <c r="H25" s="227">
        <f>2*PI()*H23*H14</f>
        <v>1839.9446176202746</v>
      </c>
      <c r="I25" s="227">
        <f>2*PI()*I23*I14</f>
        <v>1832.5248306922661</v>
      </c>
      <c r="J25" s="406">
        <f>2*PI()*J23*J14</f>
        <v>1827.1022487491587</v>
      </c>
      <c r="K25" s="377"/>
      <c r="L25" s="227"/>
      <c r="M25" s="327" t="s">
        <v>85</v>
      </c>
      <c r="N25" s="214"/>
      <c r="O25" s="327"/>
      <c r="Q25" s="86" t="s">
        <v>238</v>
      </c>
      <c r="R25" s="87">
        <v>4</v>
      </c>
      <c r="S25" s="86" t="s">
        <v>68</v>
      </c>
      <c r="T25" s="321"/>
      <c r="U25" s="71" t="s">
        <v>289</v>
      </c>
      <c r="V25" s="324">
        <v>2.2000000000000002</v>
      </c>
      <c r="W25" s="323" t="s">
        <v>156</v>
      </c>
      <c r="X25" s="321"/>
      <c r="Y25" s="323" t="s">
        <v>213</v>
      </c>
      <c r="Z25" s="68" t="s">
        <v>214</v>
      </c>
      <c r="AA25" s="68"/>
      <c r="AB25" s="321"/>
      <c r="AC25" s="86"/>
      <c r="AD25" s="327"/>
      <c r="AE25" s="327"/>
      <c r="AF25" s="79"/>
    </row>
    <row r="26" spans="2:32" ht="17.399999999999999" x14ac:dyDescent="0.25">
      <c r="B26" s="327" t="s">
        <v>86</v>
      </c>
      <c r="C26" s="227">
        <f t="shared" ref="C26" si="20">1000000/(2*PI()*C23*C17)</f>
        <v>885.9331085371748</v>
      </c>
      <c r="D26" s="227"/>
      <c r="E26" s="227">
        <f t="shared" ref="E26" si="21">1000000/(2*PI()*E23*E17)</f>
        <v>1749.0735721123008</v>
      </c>
      <c r="F26" s="362"/>
      <c r="G26" s="405">
        <f t="shared" ref="G26:J26" si="22">1000000/(2*PI()*G23*G17)</f>
        <v>1735.6121425267415</v>
      </c>
      <c r="H26" s="227">
        <f t="shared" si="22"/>
        <v>1745.770596223525</v>
      </c>
      <c r="I26" s="227">
        <f t="shared" si="22"/>
        <v>1752.8391202796313</v>
      </c>
      <c r="J26" s="406">
        <f t="shared" si="22"/>
        <v>1758.0412997248745</v>
      </c>
      <c r="K26" s="377"/>
      <c r="L26" s="227"/>
      <c r="M26" s="327" t="s">
        <v>85</v>
      </c>
      <c r="N26" s="214"/>
      <c r="O26" s="327"/>
      <c r="Q26" s="86" t="s">
        <v>265</v>
      </c>
      <c r="R26" s="94">
        <f>R19*(R23/R20)*R25/R24</f>
        <v>0.33</v>
      </c>
      <c r="S26" s="86" t="s">
        <v>27</v>
      </c>
      <c r="T26" s="321"/>
      <c r="U26" s="71" t="s">
        <v>159</v>
      </c>
      <c r="V26" s="324">
        <v>22</v>
      </c>
      <c r="W26" s="323" t="s">
        <v>160</v>
      </c>
      <c r="X26" s="321"/>
      <c r="Y26" s="325" t="s">
        <v>215</v>
      </c>
      <c r="Z26" s="80">
        <v>1.75</v>
      </c>
      <c r="AA26" s="325" t="s">
        <v>216</v>
      </c>
      <c r="AB26" s="321"/>
      <c r="AC26" s="278" t="s">
        <v>641</v>
      </c>
      <c r="AD26" s="327">
        <v>0.48</v>
      </c>
      <c r="AE26" s="327" t="s">
        <v>637</v>
      </c>
      <c r="AF26" s="79"/>
    </row>
    <row r="27" spans="2:32" ht="17.399999999999999" x14ac:dyDescent="0.25">
      <c r="B27" s="327" t="s">
        <v>70</v>
      </c>
      <c r="C27" s="228">
        <f t="shared" ref="C27" si="23">C24/C22</f>
        <v>149.70821964266358</v>
      </c>
      <c r="D27" s="228"/>
      <c r="E27" s="228">
        <f t="shared" ref="E27" si="24">E24/E22</f>
        <v>151.20496093349669</v>
      </c>
      <c r="F27" s="363"/>
      <c r="G27" s="407">
        <f t="shared" ref="G27:J27" si="25">G24/G22</f>
        <v>199.13768461442754</v>
      </c>
      <c r="H27" s="228">
        <f t="shared" si="25"/>
        <v>162.93083286634982</v>
      </c>
      <c r="I27" s="228">
        <f t="shared" si="25"/>
        <v>137.86455088691139</v>
      </c>
      <c r="J27" s="408">
        <f t="shared" si="25"/>
        <v>119.48261076865653</v>
      </c>
      <c r="K27" s="378"/>
      <c r="L27" s="228"/>
      <c r="M27" s="327" t="s">
        <v>85</v>
      </c>
      <c r="N27" s="214"/>
      <c r="O27" s="327"/>
      <c r="Q27" s="86" t="s">
        <v>234</v>
      </c>
      <c r="R27" s="88">
        <f>R21*R24</f>
        <v>5600</v>
      </c>
      <c r="S27" s="86" t="s">
        <v>0</v>
      </c>
      <c r="T27" s="321"/>
      <c r="U27" s="71" t="s">
        <v>163</v>
      </c>
      <c r="V27" s="324">
        <v>4</v>
      </c>
      <c r="W27" s="323"/>
      <c r="X27" s="321"/>
      <c r="Y27" s="325" t="s">
        <v>217</v>
      </c>
      <c r="Z27" s="81">
        <v>3.8999999999999998E-3</v>
      </c>
      <c r="AA27" s="325" t="s">
        <v>218</v>
      </c>
      <c r="AB27" s="321"/>
      <c r="AC27" s="86" t="s">
        <v>642</v>
      </c>
      <c r="AD27" s="328">
        <v>5</v>
      </c>
      <c r="AE27" s="327" t="s">
        <v>380</v>
      </c>
      <c r="AF27" s="79"/>
    </row>
    <row r="28" spans="2:32" ht="17.399999999999999" x14ac:dyDescent="0.25">
      <c r="B28" s="327" t="s">
        <v>87</v>
      </c>
      <c r="C28" s="227">
        <f t="shared" ref="C28" si="26">(C27^2+(C25-C26)^2)^0.5</f>
        <v>172.91681736143209</v>
      </c>
      <c r="D28" s="227"/>
      <c r="E28" s="227">
        <f t="shared" ref="E28" si="27">(E27^2+(E25-E26)^2)^0.5</f>
        <v>174.64559178037865</v>
      </c>
      <c r="F28" s="362"/>
      <c r="G28" s="405">
        <f t="shared" ref="G28:J28" si="28">(G27^2+(G25-G26)^2)^0.5</f>
        <v>230.00911187403116</v>
      </c>
      <c r="H28" s="227">
        <f t="shared" si="28"/>
        <v>188.1892733514795</v>
      </c>
      <c r="I28" s="227">
        <f t="shared" si="28"/>
        <v>159.23707745125213</v>
      </c>
      <c r="J28" s="406">
        <f t="shared" si="28"/>
        <v>138.00546712441883</v>
      </c>
      <c r="K28" s="377"/>
      <c r="L28" s="227"/>
      <c r="M28" s="327" t="s">
        <v>85</v>
      </c>
      <c r="N28" s="214"/>
      <c r="O28" s="327"/>
      <c r="Q28" s="86" t="s">
        <v>235</v>
      </c>
      <c r="R28" s="88">
        <f>R22*(R23/R20)*R25</f>
        <v>2200</v>
      </c>
      <c r="S28" s="86" t="s">
        <v>2</v>
      </c>
      <c r="T28" s="321"/>
      <c r="U28" s="71" t="s">
        <v>166</v>
      </c>
      <c r="V28" s="73">
        <f>V25*V26*V27*2</f>
        <v>387.20000000000005</v>
      </c>
      <c r="W28" s="323" t="s">
        <v>156</v>
      </c>
      <c r="X28" s="321"/>
      <c r="Y28" s="325" t="s">
        <v>219</v>
      </c>
      <c r="Z28" s="82">
        <v>45</v>
      </c>
      <c r="AA28" s="325" t="s">
        <v>48</v>
      </c>
      <c r="AB28" s="321"/>
      <c r="AC28" s="86" t="s">
        <v>643</v>
      </c>
      <c r="AD28" s="277">
        <f>AD26*AD27</f>
        <v>2.4</v>
      </c>
      <c r="AE28" s="327" t="s">
        <v>637</v>
      </c>
      <c r="AF28" s="79"/>
    </row>
    <row r="29" spans="2:32" ht="17.399999999999999" x14ac:dyDescent="0.25">
      <c r="B29" s="327"/>
      <c r="C29" s="229"/>
      <c r="D29" s="229"/>
      <c r="E29" s="229"/>
      <c r="F29" s="364"/>
      <c r="G29" s="409"/>
      <c r="H29" s="229"/>
      <c r="I29" s="229"/>
      <c r="J29" s="410"/>
      <c r="K29" s="379"/>
      <c r="L29" s="229"/>
      <c r="M29" s="327"/>
      <c r="N29" s="214"/>
      <c r="O29" s="327"/>
      <c r="Q29" s="86" t="s">
        <v>47</v>
      </c>
      <c r="R29" s="88">
        <f>R27*R28/1000</f>
        <v>12320</v>
      </c>
      <c r="S29" s="86" t="s">
        <v>47</v>
      </c>
      <c r="T29" s="321"/>
      <c r="U29" s="71" t="s">
        <v>169</v>
      </c>
      <c r="V29" s="324">
        <v>1.5</v>
      </c>
      <c r="W29" s="323" t="s">
        <v>170</v>
      </c>
      <c r="X29" s="321"/>
      <c r="Y29" s="325" t="s">
        <v>220</v>
      </c>
      <c r="Z29" s="81">
        <f>Z26*(1+Z27*(Z28-20))</f>
        <v>1.9206249999999998</v>
      </c>
      <c r="AA29" s="325" t="s">
        <v>216</v>
      </c>
      <c r="AB29" s="321"/>
      <c r="AC29" s="86"/>
      <c r="AD29" s="327"/>
      <c r="AE29" s="327"/>
      <c r="AF29" s="79"/>
    </row>
    <row r="30" spans="2:32" ht="17.399999999999999" x14ac:dyDescent="0.25">
      <c r="B30" s="327" t="s">
        <v>107</v>
      </c>
      <c r="C30" s="230">
        <f>(C3*1000000/C27)^0.5</f>
        <v>1292.2519062790973</v>
      </c>
      <c r="D30" s="230"/>
      <c r="E30" s="230">
        <f>(E3*1000000/E27)^0.5</f>
        <v>1285.8401553878857</v>
      </c>
      <c r="F30" s="365"/>
      <c r="G30" s="411">
        <f>(G3*1000000/G27)^0.5</f>
        <v>1417.2722018874449</v>
      </c>
      <c r="H30" s="230">
        <f>(H3*1000000/H27)^0.5</f>
        <v>1566.8533731538275</v>
      </c>
      <c r="I30" s="230">
        <f>(I3*1000000/I27)^0.5</f>
        <v>1703.349198398311</v>
      </c>
      <c r="J30" s="412">
        <f>(J3*1000000/J27)^0.5</f>
        <v>1829.6905449842632</v>
      </c>
      <c r="K30" s="380"/>
      <c r="L30" s="230"/>
      <c r="M30" s="327" t="s">
        <v>2</v>
      </c>
      <c r="N30" s="214"/>
      <c r="O30" s="216" t="s">
        <v>273</v>
      </c>
      <c r="Q30" s="321"/>
      <c r="R30" s="321"/>
      <c r="S30" s="321"/>
      <c r="T30" s="321"/>
      <c r="U30" s="71" t="s">
        <v>171</v>
      </c>
      <c r="V30" s="324">
        <v>250</v>
      </c>
      <c r="W30" s="323" t="s">
        <v>172</v>
      </c>
      <c r="X30" s="321"/>
      <c r="Y30" s="325" t="s">
        <v>221</v>
      </c>
      <c r="Z30" s="83">
        <f>1/(Z29/100000000)</f>
        <v>52066384.64041654</v>
      </c>
      <c r="AA30" s="325" t="s">
        <v>222</v>
      </c>
      <c r="AB30" s="321"/>
      <c r="AC30" s="278" t="s">
        <v>641</v>
      </c>
      <c r="AD30" s="327">
        <v>0.4133</v>
      </c>
      <c r="AE30" s="327" t="s">
        <v>637</v>
      </c>
      <c r="AF30" s="79"/>
    </row>
    <row r="31" spans="2:32" ht="17.399999999999999" x14ac:dyDescent="0.25">
      <c r="B31" s="327" t="s">
        <v>105</v>
      </c>
      <c r="C31" s="227">
        <f t="shared" ref="C31" si="29">C30*C27/1000</f>
        <v>193.46073221888182</v>
      </c>
      <c r="D31" s="227"/>
      <c r="E31" s="227">
        <f t="shared" ref="E31" si="30">E30*E27/1000</f>
        <v>194.42541046214657</v>
      </c>
      <c r="F31" s="362"/>
      <c r="G31" s="405">
        <f t="shared" ref="G31:J31" si="31">G30*G27/1000</f>
        <v>282.23230475225728</v>
      </c>
      <c r="H31" s="227">
        <f t="shared" si="31"/>
        <v>255.28872506740274</v>
      </c>
      <c r="I31" s="227">
        <f t="shared" si="31"/>
        <v>234.83147224076367</v>
      </c>
      <c r="J31" s="406">
        <f t="shared" si="31"/>
        <v>218.61620321344574</v>
      </c>
      <c r="K31" s="377"/>
      <c r="L31" s="227"/>
      <c r="M31" s="327" t="s">
        <v>0</v>
      </c>
      <c r="N31" s="214"/>
      <c r="O31" s="327"/>
      <c r="Q31" s="430" t="s">
        <v>239</v>
      </c>
      <c r="R31" s="430"/>
      <c r="S31" s="430"/>
      <c r="T31" s="321"/>
      <c r="U31" s="71" t="s">
        <v>173</v>
      </c>
      <c r="V31" s="324">
        <v>1</v>
      </c>
      <c r="W31" s="323" t="s">
        <v>174</v>
      </c>
      <c r="X31" s="321"/>
      <c r="Y31" s="325" t="s">
        <v>223</v>
      </c>
      <c r="Z31" s="68">
        <v>1</v>
      </c>
      <c r="AA31" s="325" t="s">
        <v>224</v>
      </c>
      <c r="AB31" s="321"/>
      <c r="AC31" s="86" t="s">
        <v>642</v>
      </c>
      <c r="AD31" s="328">
        <v>1.25</v>
      </c>
      <c r="AE31" s="327" t="s">
        <v>380</v>
      </c>
      <c r="AF31" s="79"/>
    </row>
    <row r="32" spans="2:32" ht="17.399999999999999" x14ac:dyDescent="0.25">
      <c r="B32" s="327" t="s">
        <v>360</v>
      </c>
      <c r="C32" s="230">
        <f t="shared" ref="C32" si="32">C30/(2*3.14159*C23*1000*C17/1000000)</f>
        <v>1144.8497153561161</v>
      </c>
      <c r="D32" s="230"/>
      <c r="E32" s="230">
        <f t="shared" ref="E32" si="33">E30/(2*3.14159*E23*1000*E17/1000000)</f>
        <v>2249.0309334248864</v>
      </c>
      <c r="F32" s="365"/>
      <c r="G32" s="411">
        <f t="shared" ref="G32:J32" si="34">G30/(2*3.14159*G23*1000*G17/1000000)</f>
        <v>2459.8369205968211</v>
      </c>
      <c r="H32" s="230">
        <f t="shared" si="34"/>
        <v>2735.3688579128307</v>
      </c>
      <c r="I32" s="230">
        <f t="shared" si="34"/>
        <v>2985.6996323621024</v>
      </c>
      <c r="J32" s="412">
        <f t="shared" si="34"/>
        <v>3216.6742608069621</v>
      </c>
      <c r="K32" s="380"/>
      <c r="L32" s="230"/>
      <c r="M32" s="327" t="s">
        <v>0</v>
      </c>
      <c r="N32" s="214"/>
      <c r="O32" s="216" t="s">
        <v>73</v>
      </c>
      <c r="Q32" s="71" t="s">
        <v>37</v>
      </c>
      <c r="R32" s="324">
        <v>19970</v>
      </c>
      <c r="S32" s="71" t="s">
        <v>24</v>
      </c>
      <c r="T32" s="321"/>
      <c r="U32" s="71" t="s">
        <v>175</v>
      </c>
      <c r="V32" s="73">
        <f>V30*V31</f>
        <v>250</v>
      </c>
      <c r="W32" s="323" t="s">
        <v>172</v>
      </c>
      <c r="X32" s="321"/>
      <c r="Y32" s="325" t="s">
        <v>37</v>
      </c>
      <c r="Z32" s="84">
        <v>3000</v>
      </c>
      <c r="AA32" s="325" t="s">
        <v>225</v>
      </c>
      <c r="AB32" s="321"/>
      <c r="AC32" s="86" t="s">
        <v>643</v>
      </c>
      <c r="AD32" s="277">
        <f>AD30*AD31</f>
        <v>0.516625</v>
      </c>
      <c r="AE32" s="327" t="s">
        <v>637</v>
      </c>
      <c r="AF32" s="79"/>
    </row>
    <row r="33" spans="2:32" ht="17.399999999999999" x14ac:dyDescent="0.25">
      <c r="B33" s="327" t="s">
        <v>106</v>
      </c>
      <c r="C33" s="227">
        <f t="shared" ref="C33" si="35">C30*C28/1000</f>
        <v>223.45208686302513</v>
      </c>
      <c r="D33" s="227"/>
      <c r="E33" s="227">
        <f t="shared" ref="E33" si="36">E30*E28/1000</f>
        <v>224.56631487269135</v>
      </c>
      <c r="F33" s="362"/>
      <c r="G33" s="405">
        <f t="shared" ref="G33:J33" si="37">G30*G28/1000</f>
        <v>325.98552043988383</v>
      </c>
      <c r="H33" s="227">
        <f t="shared" si="37"/>
        <v>294.86499774213331</v>
      </c>
      <c r="I33" s="227">
        <f t="shared" si="37"/>
        <v>271.23634823188013</v>
      </c>
      <c r="J33" s="406">
        <f t="shared" si="37"/>
        <v>252.50729835368571</v>
      </c>
      <c r="K33" s="377"/>
      <c r="L33" s="227"/>
      <c r="M33" s="327" t="s">
        <v>0</v>
      </c>
      <c r="N33" s="214"/>
      <c r="O33" s="327"/>
      <c r="Q33" s="71" t="s">
        <v>54</v>
      </c>
      <c r="R33" s="324">
        <v>50</v>
      </c>
      <c r="S33" s="71" t="s">
        <v>27</v>
      </c>
      <c r="T33" s="321"/>
      <c r="U33" s="323"/>
      <c r="V33" s="323"/>
      <c r="W33" s="323"/>
      <c r="X33" s="321"/>
      <c r="Y33" s="325" t="s">
        <v>256</v>
      </c>
      <c r="Z33" s="96">
        <f>503.3*SQRT((Z29/100000000)/(Z31*Z32))*1000</f>
        <v>1.2734666964710277</v>
      </c>
      <c r="AA33" s="325" t="s">
        <v>227</v>
      </c>
      <c r="AB33" s="321"/>
      <c r="AC33" s="321"/>
      <c r="AD33" s="321"/>
      <c r="AE33" s="321"/>
      <c r="AF33" s="79"/>
    </row>
    <row r="34" spans="2:32" ht="17.399999999999999" x14ac:dyDescent="0.25">
      <c r="B34" s="327" t="s">
        <v>104</v>
      </c>
      <c r="C34" s="231">
        <f t="shared" ref="C34" si="38">ROUNDUP(COS(PI()*C19/180),3)</f>
        <v>0.86699999999999999</v>
      </c>
      <c r="D34" s="231"/>
      <c r="E34" s="231">
        <f t="shared" ref="E34" si="39">ROUNDUP(COS(PI()*E19/180),3)</f>
        <v>0.86699999999999999</v>
      </c>
      <c r="F34" s="366"/>
      <c r="G34" s="413">
        <f t="shared" ref="G34:J34" si="40">ROUNDUP(COS(PI()*G19/180),3)</f>
        <v>0.86699999999999999</v>
      </c>
      <c r="H34" s="231">
        <f t="shared" si="40"/>
        <v>0.86699999999999999</v>
      </c>
      <c r="I34" s="231">
        <f t="shared" si="40"/>
        <v>0.86699999999999999</v>
      </c>
      <c r="J34" s="414">
        <f t="shared" si="40"/>
        <v>0.86699999999999999</v>
      </c>
      <c r="K34" s="381"/>
      <c r="L34" s="231"/>
      <c r="M34" s="327"/>
      <c r="N34" s="214"/>
      <c r="O34" s="327"/>
      <c r="Q34" s="71" t="s">
        <v>55</v>
      </c>
      <c r="R34" s="324">
        <v>1864</v>
      </c>
      <c r="S34" s="71" t="s">
        <v>2</v>
      </c>
      <c r="T34" s="321"/>
      <c r="U34" s="74" t="s">
        <v>176</v>
      </c>
      <c r="V34" s="432" t="s">
        <v>177</v>
      </c>
      <c r="W34" s="432"/>
      <c r="X34" s="321"/>
      <c r="Y34" s="325" t="s">
        <v>257</v>
      </c>
      <c r="Z34" s="326">
        <v>6126</v>
      </c>
      <c r="AA34" s="325" t="s">
        <v>227</v>
      </c>
      <c r="AB34" s="321"/>
      <c r="AC34" s="431" t="s">
        <v>662</v>
      </c>
      <c r="AD34" s="431"/>
      <c r="AE34" s="431"/>
      <c r="AF34" s="79"/>
    </row>
    <row r="35" spans="2:32" ht="17.399999999999999" x14ac:dyDescent="0.25">
      <c r="B35" s="327" t="s">
        <v>103</v>
      </c>
      <c r="C35" s="232">
        <f t="shared" ref="C35" si="41">C32/(C27*C30/1000)</f>
        <v>5.9177369082880915</v>
      </c>
      <c r="D35" s="232"/>
      <c r="E35" s="232">
        <f t="shared" ref="E35" si="42">E32/(E27*E30/1000)</f>
        <v>11.56757713962887</v>
      </c>
      <c r="F35" s="367"/>
      <c r="G35" s="415">
        <f t="shared" ref="G35:J35" si="43">G32/(G27*G30/1000)</f>
        <v>8.71564622184572</v>
      </c>
      <c r="H35" s="232">
        <f t="shared" si="43"/>
        <v>10.714804804601627</v>
      </c>
      <c r="I35" s="232">
        <f t="shared" si="43"/>
        <v>12.714222688605297</v>
      </c>
      <c r="J35" s="416">
        <f t="shared" si="43"/>
        <v>14.713796203231857</v>
      </c>
      <c r="K35" s="382"/>
      <c r="L35" s="232"/>
      <c r="M35" s="327"/>
      <c r="N35" s="214"/>
      <c r="O35" s="216" t="s">
        <v>270</v>
      </c>
      <c r="Q35" s="71" t="s">
        <v>56</v>
      </c>
      <c r="R35" s="324">
        <v>754</v>
      </c>
      <c r="S35" s="71" t="s">
        <v>1</v>
      </c>
      <c r="T35" s="321"/>
      <c r="U35" s="71" t="s">
        <v>178</v>
      </c>
      <c r="V35" s="324">
        <v>30</v>
      </c>
      <c r="W35" s="323" t="s">
        <v>179</v>
      </c>
      <c r="X35" s="321"/>
      <c r="Y35" s="325" t="s">
        <v>282</v>
      </c>
      <c r="Z35" s="326">
        <v>2</v>
      </c>
      <c r="AA35" s="325" t="s">
        <v>227</v>
      </c>
      <c r="AB35" s="321"/>
      <c r="AC35" s="323" t="s">
        <v>663</v>
      </c>
      <c r="AD35" s="324">
        <v>440</v>
      </c>
      <c r="AE35" s="323" t="s">
        <v>0</v>
      </c>
      <c r="AF35" s="79"/>
    </row>
    <row r="36" spans="2:32" ht="17.399999999999999" x14ac:dyDescent="0.25">
      <c r="B36" s="327" t="s">
        <v>361</v>
      </c>
      <c r="C36" s="230">
        <f t="shared" ref="C36" si="44">C32+C30*C20*C27/1000</f>
        <v>1256.6700185786299</v>
      </c>
      <c r="D36" s="230"/>
      <c r="E36" s="230">
        <f t="shared" ref="E36" si="45">E32+E30*E20*E27/1000</f>
        <v>2361.4088206720071</v>
      </c>
      <c r="F36" s="365"/>
      <c r="G36" s="411">
        <f t="shared" ref="G36:J36" si="46">G32+G30*G20*G27/1000</f>
        <v>2622.9671927436257</v>
      </c>
      <c r="H36" s="230">
        <f t="shared" si="46"/>
        <v>2882.9257410017894</v>
      </c>
      <c r="I36" s="230">
        <f t="shared" si="46"/>
        <v>3121.4322233172638</v>
      </c>
      <c r="J36" s="412">
        <f t="shared" si="46"/>
        <v>3343.0344262643339</v>
      </c>
      <c r="K36" s="380"/>
      <c r="L36" s="230"/>
      <c r="M36" s="327" t="s">
        <v>0</v>
      </c>
      <c r="N36" s="214"/>
      <c r="O36" s="216" t="s">
        <v>269</v>
      </c>
      <c r="Q36" s="71" t="s">
        <v>290</v>
      </c>
      <c r="R36" s="324">
        <v>5</v>
      </c>
      <c r="S36" s="71" t="s">
        <v>42</v>
      </c>
      <c r="T36" s="321"/>
      <c r="U36" s="71" t="s">
        <v>180</v>
      </c>
      <c r="V36" s="75">
        <f>V30*SQRT(2)*SIN(V35*PI()/180)</f>
        <v>176.77669529663686</v>
      </c>
      <c r="W36" s="323" t="s">
        <v>181</v>
      </c>
      <c r="X36" s="321"/>
      <c r="Y36" s="325" t="s">
        <v>281</v>
      </c>
      <c r="Z36" s="92">
        <f>MIN(Z33,Z35)</f>
        <v>1.2734666964710277</v>
      </c>
      <c r="AA36" s="325" t="s">
        <v>227</v>
      </c>
      <c r="AB36" s="321"/>
      <c r="AC36" s="323" t="s">
        <v>66</v>
      </c>
      <c r="AD36" s="324">
        <v>567</v>
      </c>
      <c r="AE36" s="323" t="s">
        <v>2</v>
      </c>
      <c r="AF36" s="79"/>
    </row>
    <row r="37" spans="2:32" ht="17.399999999999999" x14ac:dyDescent="0.25">
      <c r="B37" s="327"/>
      <c r="C37" s="327"/>
      <c r="D37" s="327"/>
      <c r="E37" s="327"/>
      <c r="F37" s="357"/>
      <c r="G37" s="395"/>
      <c r="H37" s="327"/>
      <c r="I37" s="327"/>
      <c r="J37" s="396"/>
      <c r="K37" s="372"/>
      <c r="L37" s="327"/>
      <c r="M37" s="327"/>
      <c r="N37" s="214"/>
      <c r="O37" s="327"/>
      <c r="Q37" s="71" t="s">
        <v>57</v>
      </c>
      <c r="R37" s="73">
        <f>(R34*R36)/(2*3.1415*R32*(R33/1000000))</f>
        <v>1485.5962122397345</v>
      </c>
      <c r="S37" s="71" t="s">
        <v>58</v>
      </c>
      <c r="T37" s="321"/>
      <c r="U37" s="71" t="s">
        <v>182</v>
      </c>
      <c r="V37" s="89">
        <f>V24*V28/V36</f>
        <v>1095.1669827017251</v>
      </c>
      <c r="W37" s="323" t="s">
        <v>183</v>
      </c>
      <c r="X37" s="321"/>
      <c r="Y37" s="325" t="s">
        <v>260</v>
      </c>
      <c r="Z37" s="326">
        <v>22</v>
      </c>
      <c r="AA37" s="325" t="s">
        <v>227</v>
      </c>
      <c r="AB37" s="321"/>
      <c r="AC37" s="323" t="s">
        <v>666</v>
      </c>
      <c r="AD37" s="90">
        <f>AD35</f>
        <v>440</v>
      </c>
      <c r="AE37" s="323" t="s">
        <v>664</v>
      </c>
      <c r="AF37" s="79"/>
    </row>
    <row r="38" spans="2:32" ht="17.399999999999999" x14ac:dyDescent="0.25">
      <c r="B38" s="327" t="s">
        <v>88</v>
      </c>
      <c r="C38" s="223">
        <v>1</v>
      </c>
      <c r="D38" s="223"/>
      <c r="E38" s="223">
        <v>1</v>
      </c>
      <c r="F38" s="356"/>
      <c r="G38" s="393">
        <v>1</v>
      </c>
      <c r="H38" s="223">
        <v>1</v>
      </c>
      <c r="I38" s="223">
        <v>1</v>
      </c>
      <c r="J38" s="394">
        <v>1</v>
      </c>
      <c r="K38" s="371"/>
      <c r="L38" s="223"/>
      <c r="M38" s="327"/>
      <c r="N38" s="214"/>
      <c r="O38" s="327" t="s">
        <v>89</v>
      </c>
      <c r="Q38" s="71" t="s">
        <v>59</v>
      </c>
      <c r="R38" s="73">
        <f>R34*R36</f>
        <v>9320</v>
      </c>
      <c r="S38" s="71"/>
      <c r="T38" s="321"/>
      <c r="U38" s="323"/>
      <c r="V38" s="323"/>
      <c r="W38" s="323"/>
      <c r="X38" s="321"/>
      <c r="Y38" s="325" t="s">
        <v>280</v>
      </c>
      <c r="Z38" s="92">
        <f>(PI()*(Z37/2)^2)-(PI()*(Z37/2-Z36)^2)</f>
        <v>82.920924046014932</v>
      </c>
      <c r="AA38" s="325" t="s">
        <v>253</v>
      </c>
      <c r="AB38" s="321"/>
      <c r="AC38" s="323" t="s">
        <v>667</v>
      </c>
      <c r="AD38" s="90">
        <f>AD36*1.25</f>
        <v>708.75</v>
      </c>
      <c r="AE38" s="323" t="s">
        <v>665</v>
      </c>
      <c r="AF38" s="79"/>
    </row>
    <row r="39" spans="2:32" ht="17.399999999999999" x14ac:dyDescent="0.25">
      <c r="B39" s="327" t="s">
        <v>362</v>
      </c>
      <c r="C39" s="227">
        <f>C10/C38*4/PI()/2^0.5</f>
        <v>449.97809481532158</v>
      </c>
      <c r="D39" s="227"/>
      <c r="E39" s="227">
        <f>E10/E38*4/PI()/2^0.5</f>
        <v>449.97809481532158</v>
      </c>
      <c r="F39" s="362"/>
      <c r="G39" s="405">
        <f>G10/G38*4/PI()/2^0.5</f>
        <v>449.97809481532158</v>
      </c>
      <c r="H39" s="227">
        <f>H10/H38*4/PI()/2^0.5</f>
        <v>449.97809481532158</v>
      </c>
      <c r="I39" s="227">
        <f>I10/I38*4/PI()/2^0.5</f>
        <v>449.97809481532158</v>
      </c>
      <c r="J39" s="406">
        <f>J10/J38*4/PI()/2^0.5</f>
        <v>449.97809481532158</v>
      </c>
      <c r="K39" s="377"/>
      <c r="L39" s="227"/>
      <c r="M39" s="327" t="s">
        <v>0</v>
      </c>
      <c r="N39" s="214"/>
      <c r="O39" s="327" t="s">
        <v>248</v>
      </c>
      <c r="Q39" s="71" t="s">
        <v>47</v>
      </c>
      <c r="R39" s="73">
        <f>R37*R38/1000</f>
        <v>13845.756698074327</v>
      </c>
      <c r="S39" s="71" t="s">
        <v>47</v>
      </c>
      <c r="T39" s="321"/>
      <c r="U39" s="74" t="s">
        <v>184</v>
      </c>
      <c r="V39" s="71"/>
      <c r="W39" s="71"/>
      <c r="X39" s="321"/>
      <c r="Y39" s="325" t="s">
        <v>258</v>
      </c>
      <c r="Z39" s="326">
        <v>2200</v>
      </c>
      <c r="AA39" s="69" t="s">
        <v>254</v>
      </c>
      <c r="AB39" s="321"/>
      <c r="AC39" s="321"/>
      <c r="AD39" s="321"/>
      <c r="AE39" s="321"/>
      <c r="AF39" s="79"/>
    </row>
    <row r="40" spans="2:32" ht="17.399999999999999" x14ac:dyDescent="0.25">
      <c r="B40" s="327" t="s">
        <v>90</v>
      </c>
      <c r="C40" s="328">
        <v>1.5</v>
      </c>
      <c r="D40" s="328"/>
      <c r="E40" s="328">
        <v>1.5</v>
      </c>
      <c r="F40" s="353"/>
      <c r="G40" s="387">
        <v>1.5</v>
      </c>
      <c r="H40" s="328">
        <v>1.5</v>
      </c>
      <c r="I40" s="328">
        <v>1.5</v>
      </c>
      <c r="J40" s="388">
        <v>1.5</v>
      </c>
      <c r="K40" s="368"/>
      <c r="L40" s="328"/>
      <c r="M40" s="327" t="s">
        <v>42</v>
      </c>
      <c r="N40" s="214"/>
      <c r="O40" s="327" t="s">
        <v>271</v>
      </c>
      <c r="Q40" s="71" t="s">
        <v>41</v>
      </c>
      <c r="R40" s="90">
        <f>R39/R35</f>
        <v>18.363072543865155</v>
      </c>
      <c r="S40" s="71"/>
      <c r="T40" s="321"/>
      <c r="U40" s="71" t="s">
        <v>185</v>
      </c>
      <c r="V40" s="75">
        <f>V24*V28/V29/1000</f>
        <v>129.06666666666669</v>
      </c>
      <c r="W40" s="323" t="s">
        <v>181</v>
      </c>
      <c r="X40" s="321"/>
      <c r="Y40" s="325" t="s">
        <v>649</v>
      </c>
      <c r="Z40" s="93">
        <f>Z39/Z38</f>
        <v>26.531301059539135</v>
      </c>
      <c r="AA40" s="69" t="s">
        <v>254</v>
      </c>
      <c r="AB40" s="321"/>
      <c r="AC40" s="431" t="s">
        <v>669</v>
      </c>
      <c r="AD40" s="431"/>
      <c r="AE40" s="431"/>
      <c r="AF40" s="79"/>
    </row>
    <row r="41" spans="2:32" ht="17.399999999999999" x14ac:dyDescent="0.25">
      <c r="B41" s="327" t="s">
        <v>91</v>
      </c>
      <c r="C41" s="223">
        <f t="shared" ref="C41" si="47">ROUND(C39/C40,1)</f>
        <v>300</v>
      </c>
      <c r="D41" s="223"/>
      <c r="E41" s="223">
        <f t="shared" ref="E41" si="48">ROUND(E39/E40,1)</f>
        <v>300</v>
      </c>
      <c r="F41" s="356"/>
      <c r="G41" s="393">
        <f t="shared" ref="G41:J41" si="49">ROUND(G39/G40,1)</f>
        <v>300</v>
      </c>
      <c r="H41" s="223">
        <f t="shared" si="49"/>
        <v>300</v>
      </c>
      <c r="I41" s="223">
        <f t="shared" si="49"/>
        <v>300</v>
      </c>
      <c r="J41" s="394">
        <f t="shared" si="49"/>
        <v>300</v>
      </c>
      <c r="K41" s="371"/>
      <c r="L41" s="223"/>
      <c r="M41" s="327" t="s">
        <v>0</v>
      </c>
      <c r="N41" s="214"/>
      <c r="O41" s="327" t="s">
        <v>363</v>
      </c>
      <c r="Q41" s="321"/>
      <c r="R41" s="321"/>
      <c r="S41" s="321"/>
      <c r="T41" s="321"/>
      <c r="U41" s="71" t="s">
        <v>186</v>
      </c>
      <c r="V41" s="75">
        <f>V40/SIN(V35*PI()/180)/SQRT(2)</f>
        <v>182.52783045028752</v>
      </c>
      <c r="W41" s="323" t="s">
        <v>172</v>
      </c>
      <c r="X41" s="321"/>
      <c r="Y41" s="325" t="s">
        <v>259</v>
      </c>
      <c r="Z41" s="93">
        <f>Z29/100000000*(Z39^2)/(Z38/1000000)*Z34/1000</f>
        <v>6867.5336900972161</v>
      </c>
      <c r="AA41" s="69" t="s">
        <v>255</v>
      </c>
      <c r="AB41" s="321"/>
      <c r="AC41" s="323" t="s">
        <v>26</v>
      </c>
      <c r="AD41" s="324">
        <v>3400</v>
      </c>
      <c r="AE41" s="323" t="s">
        <v>27</v>
      </c>
      <c r="AF41" s="79"/>
    </row>
    <row r="42" spans="2:32" ht="17.399999999999999" x14ac:dyDescent="0.25">
      <c r="B42" s="327"/>
      <c r="C42" s="327"/>
      <c r="D42" s="327"/>
      <c r="E42" s="327"/>
      <c r="F42" s="357"/>
      <c r="G42" s="395"/>
      <c r="H42" s="327"/>
      <c r="I42" s="327"/>
      <c r="J42" s="396"/>
      <c r="K42" s="372"/>
      <c r="L42" s="327"/>
      <c r="M42" s="327"/>
      <c r="N42" s="214"/>
      <c r="O42" s="327"/>
      <c r="Q42" s="430" t="s">
        <v>240</v>
      </c>
      <c r="R42" s="430"/>
      <c r="S42" s="430"/>
      <c r="T42" s="321"/>
      <c r="U42" s="71" t="s">
        <v>175</v>
      </c>
      <c r="V42" s="89">
        <f>V41*V31</f>
        <v>182.52783045028752</v>
      </c>
      <c r="W42" s="323" t="s">
        <v>172</v>
      </c>
      <c r="X42" s="321"/>
      <c r="Y42" s="321"/>
      <c r="Z42" s="321"/>
      <c r="AA42" s="321"/>
      <c r="AB42" s="321"/>
      <c r="AC42" s="323" t="s">
        <v>28</v>
      </c>
      <c r="AD42" s="324">
        <v>3800</v>
      </c>
      <c r="AE42" s="323" t="s">
        <v>15</v>
      </c>
      <c r="AF42" s="79"/>
    </row>
    <row r="43" spans="2:32" ht="17.399999999999999" x14ac:dyDescent="0.25">
      <c r="B43" s="327" t="s">
        <v>74</v>
      </c>
      <c r="C43" s="232">
        <f t="shared" ref="C43" si="50">C33/C41*100</f>
        <v>74.48402895434171</v>
      </c>
      <c r="D43" s="232"/>
      <c r="E43" s="232">
        <f t="shared" ref="E43" si="51">E33/E41*100</f>
        <v>74.855438290897112</v>
      </c>
      <c r="F43" s="367"/>
      <c r="G43" s="415">
        <f t="shared" ref="G43:J43" si="52">G33/G41*100</f>
        <v>108.66184014662794</v>
      </c>
      <c r="H43" s="232">
        <f t="shared" si="52"/>
        <v>98.288332580711099</v>
      </c>
      <c r="I43" s="232">
        <f t="shared" si="52"/>
        <v>90.412116077293376</v>
      </c>
      <c r="J43" s="416">
        <f t="shared" si="52"/>
        <v>84.169099451228561</v>
      </c>
      <c r="K43" s="382"/>
      <c r="L43" s="232"/>
      <c r="M43" s="327" t="s">
        <v>7</v>
      </c>
      <c r="N43" s="214"/>
      <c r="O43" s="217" t="s">
        <v>277</v>
      </c>
      <c r="Q43" s="86" t="s">
        <v>18</v>
      </c>
      <c r="R43" s="87">
        <v>40</v>
      </c>
      <c r="S43" s="86" t="s">
        <v>266</v>
      </c>
      <c r="T43" s="321"/>
      <c r="U43" s="71" t="s">
        <v>187</v>
      </c>
      <c r="V43" s="75">
        <f>V42/V32*100</f>
        <v>73.011132180115013</v>
      </c>
      <c r="W43" s="76" t="s">
        <v>188</v>
      </c>
      <c r="X43" s="321"/>
      <c r="Y43" s="431" t="s">
        <v>648</v>
      </c>
      <c r="Z43" s="431"/>
      <c r="AA43" s="431"/>
      <c r="AB43" s="321"/>
      <c r="AC43" s="323" t="s">
        <v>29</v>
      </c>
      <c r="AD43" s="90">
        <f>1/(2*3.14*SQRT((AD41/1000000)*(AD42/1000000)))</f>
        <v>44.300548095116021</v>
      </c>
      <c r="AE43" s="323" t="s">
        <v>30</v>
      </c>
      <c r="AF43" s="79"/>
    </row>
    <row r="44" spans="2:32" ht="17.399999999999999" x14ac:dyDescent="0.25">
      <c r="B44" s="327"/>
      <c r="C44" s="327"/>
      <c r="D44" s="327"/>
      <c r="E44" s="327"/>
      <c r="F44" s="357"/>
      <c r="G44" s="395"/>
      <c r="H44" s="327"/>
      <c r="I44" s="327"/>
      <c r="J44" s="396"/>
      <c r="K44" s="372"/>
      <c r="L44" s="327"/>
      <c r="M44" s="327"/>
      <c r="N44" s="214"/>
      <c r="O44" s="327"/>
      <c r="Q44" s="86" t="s">
        <v>102</v>
      </c>
      <c r="R44" s="87">
        <v>127</v>
      </c>
      <c r="S44" s="86" t="s">
        <v>2</v>
      </c>
      <c r="T44" s="321"/>
      <c r="U44" s="71" t="s">
        <v>189</v>
      </c>
      <c r="V44" s="75">
        <f>V43*V43/100</f>
        <v>53.306254222222258</v>
      </c>
      <c r="W44" s="76" t="s">
        <v>188</v>
      </c>
      <c r="X44" s="321"/>
      <c r="Y44" s="323" t="s">
        <v>213</v>
      </c>
      <c r="Z44" s="68" t="s">
        <v>214</v>
      </c>
      <c r="AA44" s="68"/>
      <c r="AB44" s="321"/>
      <c r="AC44" s="321"/>
      <c r="AD44" s="321"/>
      <c r="AE44" s="321"/>
      <c r="AF44" s="79"/>
    </row>
    <row r="45" spans="2:32" ht="17.399999999999999" x14ac:dyDescent="0.25">
      <c r="B45" s="327" t="s">
        <v>92</v>
      </c>
      <c r="C45" s="230">
        <f t="shared" ref="C45" si="53">C30/C40</f>
        <v>861.50127085273152</v>
      </c>
      <c r="D45" s="230"/>
      <c r="E45" s="230">
        <f t="shared" ref="E45" si="54">E30/E40</f>
        <v>857.22677025859048</v>
      </c>
      <c r="F45" s="365"/>
      <c r="G45" s="411">
        <f t="shared" ref="G45:J45" si="55">G30/G40</f>
        <v>944.8481345916299</v>
      </c>
      <c r="H45" s="230">
        <f t="shared" si="55"/>
        <v>1044.5689154358849</v>
      </c>
      <c r="I45" s="230">
        <f t="shared" si="55"/>
        <v>1135.5661322655408</v>
      </c>
      <c r="J45" s="412">
        <f t="shared" si="55"/>
        <v>1219.7936966561754</v>
      </c>
      <c r="K45" s="380"/>
      <c r="L45" s="230"/>
      <c r="M45" s="327" t="s">
        <v>2</v>
      </c>
      <c r="N45" s="214"/>
      <c r="O45" s="216" t="s">
        <v>272</v>
      </c>
      <c r="Q45" s="86" t="s">
        <v>44</v>
      </c>
      <c r="R45" s="87">
        <v>401</v>
      </c>
      <c r="S45" s="86" t="s">
        <v>0</v>
      </c>
      <c r="T45" s="321"/>
      <c r="U45" s="321"/>
      <c r="V45" s="321"/>
      <c r="W45" s="321"/>
      <c r="X45" s="321"/>
      <c r="Y45" s="325" t="s">
        <v>215</v>
      </c>
      <c r="Z45" s="80">
        <v>1.75</v>
      </c>
      <c r="AA45" s="325" t="s">
        <v>216</v>
      </c>
      <c r="AB45" s="321"/>
      <c r="AC45" s="431" t="s">
        <v>700</v>
      </c>
      <c r="AD45" s="431"/>
      <c r="AE45" s="431"/>
      <c r="AF45" s="79"/>
    </row>
    <row r="46" spans="2:32" ht="17.399999999999999" x14ac:dyDescent="0.25">
      <c r="B46" s="327" t="s">
        <v>93</v>
      </c>
      <c r="C46" s="227">
        <f t="shared" ref="C46" si="56">ROUND(C45*2^0.5*2/PI(),0)</f>
        <v>776</v>
      </c>
      <c r="D46" s="227"/>
      <c r="E46" s="227">
        <f t="shared" ref="E46" si="57">ROUND(E45*2^0.5*2/PI(),0)</f>
        <v>772</v>
      </c>
      <c r="F46" s="362"/>
      <c r="G46" s="405">
        <f t="shared" ref="G46:J46" si="58">ROUND(G45*2^0.5*2/PI(),0)</f>
        <v>851</v>
      </c>
      <c r="H46" s="227">
        <f t="shared" si="58"/>
        <v>940</v>
      </c>
      <c r="I46" s="227">
        <f t="shared" si="58"/>
        <v>1022</v>
      </c>
      <c r="J46" s="406">
        <f t="shared" si="58"/>
        <v>1098</v>
      </c>
      <c r="K46" s="377"/>
      <c r="L46" s="227"/>
      <c r="M46" s="327" t="s">
        <v>2</v>
      </c>
      <c r="N46" s="214"/>
      <c r="O46" s="327"/>
      <c r="Q46" s="86" t="s">
        <v>625</v>
      </c>
      <c r="R46" s="87">
        <v>1</v>
      </c>
      <c r="S46" s="86"/>
      <c r="T46" s="321"/>
      <c r="U46" s="431" t="s">
        <v>252</v>
      </c>
      <c r="V46" s="431"/>
      <c r="W46" s="431"/>
      <c r="X46" s="321"/>
      <c r="Y46" s="325" t="s">
        <v>217</v>
      </c>
      <c r="Z46" s="81">
        <v>3.8999999999999998E-3</v>
      </c>
      <c r="AA46" s="325" t="s">
        <v>218</v>
      </c>
      <c r="AB46" s="321"/>
      <c r="AC46" s="323" t="s">
        <v>702</v>
      </c>
      <c r="AD46" s="324">
        <v>852</v>
      </c>
      <c r="AE46" s="323" t="s">
        <v>0</v>
      </c>
      <c r="AF46" s="79"/>
    </row>
    <row r="47" spans="2:32" ht="17.399999999999999" x14ac:dyDescent="0.25">
      <c r="B47" s="327" t="s">
        <v>94</v>
      </c>
      <c r="C47" s="227">
        <f t="shared" ref="C47" si="59">C46/C38</f>
        <v>776</v>
      </c>
      <c r="D47" s="227"/>
      <c r="E47" s="227">
        <f t="shared" ref="E47" si="60">E46/E38</f>
        <v>772</v>
      </c>
      <c r="F47" s="362"/>
      <c r="G47" s="405">
        <f t="shared" ref="G47:J47" si="61">G46/G38</f>
        <v>851</v>
      </c>
      <c r="H47" s="227">
        <f t="shared" si="61"/>
        <v>940</v>
      </c>
      <c r="I47" s="227">
        <f t="shared" si="61"/>
        <v>1022</v>
      </c>
      <c r="J47" s="406">
        <f t="shared" si="61"/>
        <v>1098</v>
      </c>
      <c r="K47" s="377"/>
      <c r="L47" s="227"/>
      <c r="M47" s="327" t="s">
        <v>2</v>
      </c>
      <c r="N47" s="214"/>
      <c r="O47" s="327"/>
      <c r="Q47" s="86" t="s">
        <v>58</v>
      </c>
      <c r="R47" s="88">
        <f>R45*0.9/R46</f>
        <v>360.90000000000003</v>
      </c>
      <c r="S47" s="86" t="s">
        <v>0</v>
      </c>
      <c r="T47" s="321"/>
      <c r="U47" s="71" t="s">
        <v>157</v>
      </c>
      <c r="V47" s="324">
        <v>3.2</v>
      </c>
      <c r="W47" s="71" t="s">
        <v>158</v>
      </c>
      <c r="X47" s="321"/>
      <c r="Y47" s="325" t="s">
        <v>219</v>
      </c>
      <c r="Z47" s="82">
        <v>45</v>
      </c>
      <c r="AA47" s="325" t="s">
        <v>48</v>
      </c>
      <c r="AB47" s="321"/>
      <c r="AC47" s="323" t="s">
        <v>37</v>
      </c>
      <c r="AD47" s="324">
        <v>28.43</v>
      </c>
      <c r="AE47" s="323" t="s">
        <v>4</v>
      </c>
      <c r="AF47" s="79"/>
    </row>
    <row r="48" spans="2:32" ht="18" thickBot="1" x14ac:dyDescent="0.3">
      <c r="B48" s="327" t="s">
        <v>95</v>
      </c>
      <c r="C48" s="228">
        <f>ROUND(C47/C11,3)</f>
        <v>1.5509999999999999</v>
      </c>
      <c r="D48" s="228"/>
      <c r="E48" s="228">
        <f>ROUND(E47/E11,3)</f>
        <v>1.5429999999999999</v>
      </c>
      <c r="F48" s="363"/>
      <c r="G48" s="417">
        <f>ROUND(G47/G11,3)</f>
        <v>1.0629999999999999</v>
      </c>
      <c r="H48" s="418">
        <f>ROUND(H47/H11,3)</f>
        <v>1.175</v>
      </c>
      <c r="I48" s="418">
        <f>ROUND(I47/I11,3)</f>
        <v>1.2769999999999999</v>
      </c>
      <c r="J48" s="419">
        <f>ROUND(J47/J11,3)</f>
        <v>1.3720000000000001</v>
      </c>
      <c r="K48" s="378"/>
      <c r="L48" s="228"/>
      <c r="M48" s="327"/>
      <c r="N48" s="214"/>
      <c r="O48" s="327"/>
      <c r="Q48" s="86" t="s">
        <v>267</v>
      </c>
      <c r="R48" s="88">
        <f>(R43*1000)/(R44*R45*0.9/R46)</f>
        <v>0.87270886650390644</v>
      </c>
      <c r="S48" s="86"/>
      <c r="T48" s="321"/>
      <c r="U48" s="71" t="s">
        <v>161</v>
      </c>
      <c r="V48" s="324">
        <v>100</v>
      </c>
      <c r="W48" s="71" t="s">
        <v>162</v>
      </c>
      <c r="X48" s="321"/>
      <c r="Y48" s="325" t="s">
        <v>220</v>
      </c>
      <c r="Z48" s="81">
        <f>Z45*(1+Z46*(Z47-20))</f>
        <v>1.9206249999999998</v>
      </c>
      <c r="AA48" s="325" t="s">
        <v>216</v>
      </c>
      <c r="AB48" s="321"/>
      <c r="AC48" s="323" t="s">
        <v>703</v>
      </c>
      <c r="AD48" s="324">
        <v>5511</v>
      </c>
      <c r="AE48" s="323" t="s">
        <v>2</v>
      </c>
      <c r="AF48" s="79"/>
    </row>
    <row r="49" spans="2:32" ht="17.399999999999999" x14ac:dyDescent="0.25"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Q49" s="86" t="s">
        <v>268</v>
      </c>
      <c r="R49" s="237">
        <f>DEGREES(ACOS(R48))</f>
        <v>29.225030363895115</v>
      </c>
      <c r="S49" s="86"/>
      <c r="T49" s="321"/>
      <c r="U49" s="71" t="s">
        <v>164</v>
      </c>
      <c r="V49" s="324">
        <v>100</v>
      </c>
      <c r="W49" s="71" t="s">
        <v>165</v>
      </c>
      <c r="X49" s="321"/>
      <c r="Y49" s="325" t="s">
        <v>221</v>
      </c>
      <c r="Z49" s="83">
        <f>1/(Z48/100000000)</f>
        <v>52066384.64041654</v>
      </c>
      <c r="AA49" s="325" t="s">
        <v>222</v>
      </c>
      <c r="AB49" s="321"/>
      <c r="AC49" s="323" t="s">
        <v>701</v>
      </c>
      <c r="AD49" s="90">
        <f>(AD46)/(2*3.14*AD47*1000*AD48)*1000000</f>
        <v>0.8659098508059645</v>
      </c>
      <c r="AE49" s="323" t="s">
        <v>704</v>
      </c>
      <c r="AF49" s="79"/>
    </row>
    <row r="50" spans="2:32" ht="17.399999999999999" x14ac:dyDescent="0.25">
      <c r="B50" s="211" t="s">
        <v>366</v>
      </c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Q50" s="321"/>
      <c r="R50" s="321"/>
      <c r="S50" s="321"/>
      <c r="T50" s="321"/>
      <c r="U50" s="71" t="s">
        <v>167</v>
      </c>
      <c r="V50" s="90">
        <f>V47*V48/V49</f>
        <v>3.2</v>
      </c>
      <c r="W50" s="71" t="s">
        <v>168</v>
      </c>
      <c r="X50" s="321"/>
      <c r="Y50" s="325" t="s">
        <v>223</v>
      </c>
      <c r="Z50" s="68">
        <v>1</v>
      </c>
      <c r="AA50" s="325" t="s">
        <v>224</v>
      </c>
      <c r="AB50" s="321"/>
      <c r="AC50" s="321"/>
      <c r="AD50" s="321"/>
      <c r="AE50" s="321"/>
      <c r="AF50" s="79"/>
    </row>
    <row r="51" spans="2:32" ht="17.399999999999999" x14ac:dyDescent="0.4">
      <c r="B51" s="97" t="s">
        <v>350</v>
      </c>
      <c r="C51" s="331">
        <v>1</v>
      </c>
      <c r="D51" s="331"/>
      <c r="E51" s="331">
        <v>1</v>
      </c>
      <c r="F51" s="331"/>
      <c r="G51" s="331">
        <v>1</v>
      </c>
      <c r="H51" s="331">
        <v>1</v>
      </c>
      <c r="I51" s="331">
        <v>1</v>
      </c>
      <c r="J51" s="331">
        <v>1</v>
      </c>
      <c r="K51" s="331"/>
      <c r="L51" s="331"/>
      <c r="M51" s="97" t="s">
        <v>51</v>
      </c>
      <c r="N51" s="214">
        <v>6</v>
      </c>
      <c r="O51" s="100" t="s">
        <v>354</v>
      </c>
      <c r="Q51" s="430" t="s">
        <v>292</v>
      </c>
      <c r="R51" s="430"/>
      <c r="S51" s="430"/>
      <c r="T51" s="321"/>
      <c r="U51" s="321"/>
      <c r="V51" s="321"/>
      <c r="W51" s="321"/>
      <c r="X51" s="321"/>
      <c r="Y51" s="325" t="s">
        <v>37</v>
      </c>
      <c r="Z51" s="84">
        <v>200</v>
      </c>
      <c r="AA51" s="325" t="s">
        <v>225</v>
      </c>
      <c r="AB51" s="321"/>
      <c r="AC51" s="321"/>
      <c r="AD51" s="321"/>
      <c r="AE51" s="321" t="s">
        <v>261</v>
      </c>
      <c r="AF51" s="79"/>
    </row>
    <row r="52" spans="2:32" ht="17.399999999999999" x14ac:dyDescent="0.4">
      <c r="B52" s="97" t="s">
        <v>116</v>
      </c>
      <c r="C52" s="332">
        <f t="shared" ref="C52" si="62">C45/C51</f>
        <v>861.50127085273152</v>
      </c>
      <c r="D52" s="332"/>
      <c r="E52" s="332">
        <f t="shared" ref="E52" si="63">E45/E51</f>
        <v>857.22677025859048</v>
      </c>
      <c r="F52" s="332"/>
      <c r="G52" s="332">
        <f t="shared" ref="G52:J52" si="64">G45/G51</f>
        <v>944.8481345916299</v>
      </c>
      <c r="H52" s="332">
        <f t="shared" si="64"/>
        <v>1044.5689154358849</v>
      </c>
      <c r="I52" s="332">
        <f t="shared" si="64"/>
        <v>1135.5661322655408</v>
      </c>
      <c r="J52" s="332">
        <f t="shared" si="64"/>
        <v>1219.7936966561754</v>
      </c>
      <c r="K52" s="332"/>
      <c r="L52" s="332"/>
      <c r="M52" s="97" t="s">
        <v>2</v>
      </c>
      <c r="N52" s="214"/>
      <c r="O52" s="97" t="s">
        <v>353</v>
      </c>
      <c r="Q52" s="97" t="s">
        <v>36</v>
      </c>
      <c r="R52" s="98">
        <v>200</v>
      </c>
      <c r="S52" s="97" t="s">
        <v>13</v>
      </c>
      <c r="T52" s="321"/>
      <c r="U52" s="431" t="s">
        <v>381</v>
      </c>
      <c r="V52" s="431"/>
      <c r="W52" s="431"/>
      <c r="X52" s="321"/>
      <c r="Y52" s="325" t="s">
        <v>256</v>
      </c>
      <c r="Z52" s="96">
        <f>503.3*SQRT((Z48/100000000)/(Z50*Z51))*1000</f>
        <v>4.9321153073820669</v>
      </c>
      <c r="AA52" s="325" t="s">
        <v>227</v>
      </c>
      <c r="AB52" s="321"/>
      <c r="AC52" s="321"/>
      <c r="AD52" s="321"/>
      <c r="AE52" s="321"/>
      <c r="AF52" s="79"/>
    </row>
    <row r="53" spans="2:32" ht="17.399999999999999" x14ac:dyDescent="0.4">
      <c r="B53" s="97" t="s">
        <v>8</v>
      </c>
      <c r="C53" s="333">
        <v>3.2</v>
      </c>
      <c r="D53" s="333"/>
      <c r="E53" s="333">
        <v>3.2</v>
      </c>
      <c r="F53" s="333"/>
      <c r="G53" s="333">
        <v>3.2</v>
      </c>
      <c r="H53" s="333">
        <v>3.2</v>
      </c>
      <c r="I53" s="333">
        <v>3.2</v>
      </c>
      <c r="J53" s="333">
        <v>3.2</v>
      </c>
      <c r="K53" s="333"/>
      <c r="L53" s="333"/>
      <c r="M53" s="97" t="s">
        <v>45</v>
      </c>
      <c r="N53" s="214">
        <v>7</v>
      </c>
      <c r="O53" s="100" t="s">
        <v>119</v>
      </c>
      <c r="Q53" s="97" t="s">
        <v>38</v>
      </c>
      <c r="R53" s="98">
        <v>3</v>
      </c>
      <c r="S53" s="97" t="s">
        <v>13</v>
      </c>
      <c r="T53" s="321"/>
      <c r="U53" s="86" t="s">
        <v>371</v>
      </c>
      <c r="V53" s="87">
        <v>15.4</v>
      </c>
      <c r="W53" s="86" t="s">
        <v>13</v>
      </c>
      <c r="X53" s="321"/>
      <c r="Y53" s="325" t="s">
        <v>257</v>
      </c>
      <c r="Z53" s="326">
        <v>16000</v>
      </c>
      <c r="AA53" s="325" t="s">
        <v>227</v>
      </c>
      <c r="AB53" s="321"/>
      <c r="AC53" s="321"/>
      <c r="AD53" s="321"/>
      <c r="AE53" s="321"/>
      <c r="AF53" s="79"/>
    </row>
    <row r="54" spans="2:32" ht="17.399999999999999" x14ac:dyDescent="0.4">
      <c r="B54" s="97" t="s">
        <v>120</v>
      </c>
      <c r="C54" s="333">
        <v>25</v>
      </c>
      <c r="D54" s="333"/>
      <c r="E54" s="333">
        <v>25</v>
      </c>
      <c r="F54" s="333"/>
      <c r="G54" s="333">
        <v>25</v>
      </c>
      <c r="H54" s="333">
        <v>25</v>
      </c>
      <c r="I54" s="333">
        <v>25</v>
      </c>
      <c r="J54" s="333">
        <v>25</v>
      </c>
      <c r="K54" s="333"/>
      <c r="L54" s="333"/>
      <c r="M54" s="97" t="s">
        <v>0</v>
      </c>
      <c r="N54" s="214">
        <v>8</v>
      </c>
      <c r="O54" s="100" t="s">
        <v>121</v>
      </c>
      <c r="Q54" s="97" t="s">
        <v>39</v>
      </c>
      <c r="R54" s="98">
        <v>2000</v>
      </c>
      <c r="S54" s="97" t="s">
        <v>13</v>
      </c>
      <c r="T54" s="321"/>
      <c r="U54" s="86" t="s">
        <v>372</v>
      </c>
      <c r="V54" s="87">
        <v>2</v>
      </c>
      <c r="W54" s="86" t="s">
        <v>13</v>
      </c>
      <c r="X54" s="321"/>
      <c r="Y54" s="325" t="s">
        <v>282</v>
      </c>
      <c r="Z54" s="326">
        <v>6</v>
      </c>
      <c r="AA54" s="325" t="s">
        <v>227</v>
      </c>
      <c r="AB54" s="321"/>
      <c r="AC54" s="321"/>
      <c r="AD54" s="321"/>
      <c r="AE54" s="321"/>
      <c r="AF54" s="79"/>
    </row>
    <row r="55" spans="2:32" ht="17.399999999999999" x14ac:dyDescent="0.4">
      <c r="B55" s="97" t="s">
        <v>9</v>
      </c>
      <c r="C55" s="334">
        <f t="shared" ref="C55" si="65">C54*C53/1000000*C56*1000</f>
        <v>22.110360815588962</v>
      </c>
      <c r="D55" s="334"/>
      <c r="E55" s="334">
        <f t="shared" ref="E55" si="66">E54*E53/1000000*E56*1000</f>
        <v>22.059115821257681</v>
      </c>
      <c r="F55" s="334"/>
      <c r="G55" s="334">
        <f t="shared" ref="G55:J55" si="67">G54*G53/1000000*G56*1000</f>
        <v>22.230206600742118</v>
      </c>
      <c r="H55" s="334">
        <f t="shared" si="67"/>
        <v>22.100851389403317</v>
      </c>
      <c r="I55" s="334">
        <f t="shared" si="67"/>
        <v>22.011727180627378</v>
      </c>
      <c r="J55" s="334">
        <f t="shared" si="67"/>
        <v>21.946592786622364</v>
      </c>
      <c r="K55" s="334"/>
      <c r="L55" s="334"/>
      <c r="M55" s="97" t="s">
        <v>6</v>
      </c>
      <c r="N55" s="214"/>
      <c r="O55" s="97"/>
      <c r="Q55" s="97" t="s">
        <v>77</v>
      </c>
      <c r="R55" s="238">
        <f>12.5*(R53/10)*(R54/10)/(R52/10)</f>
        <v>37.5</v>
      </c>
      <c r="S55" s="97" t="s">
        <v>40</v>
      </c>
      <c r="T55" s="321"/>
      <c r="U55" s="86" t="s">
        <v>374</v>
      </c>
      <c r="V55" s="88">
        <f>V53+V54*2</f>
        <v>19.399999999999999</v>
      </c>
      <c r="W55" s="86" t="s">
        <v>13</v>
      </c>
      <c r="X55" s="321"/>
      <c r="Y55" s="325" t="s">
        <v>281</v>
      </c>
      <c r="Z55" s="92">
        <f>MIN(Z52,Z54)</f>
        <v>4.9321153073820669</v>
      </c>
      <c r="AA55" s="325" t="s">
        <v>227</v>
      </c>
      <c r="AB55" s="321"/>
      <c r="AC55" s="321"/>
      <c r="AD55" s="321"/>
      <c r="AE55" s="321"/>
      <c r="AF55" s="79"/>
    </row>
    <row r="56" spans="2:32" ht="18" customHeight="1" x14ac:dyDescent="0.4">
      <c r="B56" s="97" t="s">
        <v>118</v>
      </c>
      <c r="C56" s="332">
        <f t="shared" ref="C56" si="68">C23</f>
        <v>276.37951019486201</v>
      </c>
      <c r="D56" s="332"/>
      <c r="E56" s="332">
        <f t="shared" ref="E56" si="69">E23</f>
        <v>275.73894776572098</v>
      </c>
      <c r="F56" s="332"/>
      <c r="G56" s="332">
        <f t="shared" ref="G56:J56" si="70">G23</f>
        <v>277.87758250927646</v>
      </c>
      <c r="H56" s="332">
        <f t="shared" si="70"/>
        <v>276.26064236754144</v>
      </c>
      <c r="I56" s="332">
        <f t="shared" si="70"/>
        <v>275.14658975784221</v>
      </c>
      <c r="J56" s="332">
        <f t="shared" si="70"/>
        <v>274.33240983277955</v>
      </c>
      <c r="K56" s="332"/>
      <c r="L56" s="332"/>
      <c r="M56" s="97" t="s">
        <v>4</v>
      </c>
      <c r="N56" s="214"/>
      <c r="O56" s="97" t="s">
        <v>117</v>
      </c>
      <c r="U56" s="234" t="s">
        <v>375</v>
      </c>
      <c r="V56" s="235">
        <v>8.8539999999999992E-12</v>
      </c>
      <c r="W56" s="327"/>
      <c r="Y56" s="325" t="s">
        <v>262</v>
      </c>
      <c r="Z56" s="326">
        <v>38</v>
      </c>
      <c r="AA56" s="325" t="s">
        <v>227</v>
      </c>
    </row>
    <row r="57" spans="2:32" ht="17.399999999999999" x14ac:dyDescent="0.4">
      <c r="B57" s="97" t="s">
        <v>349</v>
      </c>
      <c r="C57" s="335">
        <f t="shared" ref="C57" si="71">C52*1.414</f>
        <v>1218.1627969857623</v>
      </c>
      <c r="D57" s="335"/>
      <c r="E57" s="335">
        <f t="shared" ref="E57" si="72">E52*1.414</f>
        <v>1212.1186531456469</v>
      </c>
      <c r="F57" s="335"/>
      <c r="G57" s="335">
        <f t="shared" ref="G57:J57" si="73">G52*1.414</f>
        <v>1336.0152623125646</v>
      </c>
      <c r="H57" s="335">
        <f t="shared" si="73"/>
        <v>1477.0204464263413</v>
      </c>
      <c r="I57" s="335">
        <f t="shared" si="73"/>
        <v>1605.6905110234745</v>
      </c>
      <c r="J57" s="335">
        <f t="shared" si="73"/>
        <v>1724.788287071832</v>
      </c>
      <c r="K57" s="335"/>
      <c r="L57" s="335"/>
      <c r="M57" s="97" t="s">
        <v>2</v>
      </c>
      <c r="N57" s="214"/>
      <c r="O57" s="97" t="s">
        <v>355</v>
      </c>
      <c r="Q57" s="430" t="s">
        <v>367</v>
      </c>
      <c r="R57" s="430"/>
      <c r="S57" s="430"/>
      <c r="U57" s="234" t="s">
        <v>376</v>
      </c>
      <c r="V57" s="328">
        <v>2.1</v>
      </c>
      <c r="W57" s="327" t="s">
        <v>370</v>
      </c>
      <c r="Y57" s="325" t="s">
        <v>263</v>
      </c>
      <c r="Z57" s="326">
        <v>30</v>
      </c>
      <c r="AA57" s="325" t="s">
        <v>227</v>
      </c>
    </row>
    <row r="58" spans="2:32" ht="17.399999999999999" x14ac:dyDescent="0.4">
      <c r="B58" s="97" t="s">
        <v>122</v>
      </c>
      <c r="C58" s="333">
        <v>5</v>
      </c>
      <c r="D58" s="333"/>
      <c r="E58" s="333">
        <v>5</v>
      </c>
      <c r="F58" s="333"/>
      <c r="G58" s="333">
        <v>5</v>
      </c>
      <c r="H58" s="333">
        <v>5</v>
      </c>
      <c r="I58" s="333">
        <v>5</v>
      </c>
      <c r="J58" s="333">
        <v>5</v>
      </c>
      <c r="K58" s="333"/>
      <c r="L58" s="333"/>
      <c r="M58" s="97" t="s">
        <v>5</v>
      </c>
      <c r="N58" s="214">
        <v>9</v>
      </c>
      <c r="O58" s="100" t="s">
        <v>123</v>
      </c>
      <c r="Q58" s="97" t="s">
        <v>368</v>
      </c>
      <c r="R58" s="98">
        <v>3000</v>
      </c>
      <c r="S58" s="97" t="s">
        <v>52</v>
      </c>
      <c r="U58" s="327" t="s">
        <v>377</v>
      </c>
      <c r="V58" s="235">
        <f>2*PI()*V56*V57/(LN(V55/V53))*1000000000</f>
        <v>0.50594615125588516</v>
      </c>
      <c r="W58" s="327" t="s">
        <v>369</v>
      </c>
      <c r="Y58" s="325" t="s">
        <v>278</v>
      </c>
      <c r="Z58" s="92">
        <f>(Z56*Z57)-((Z56-2*Z55)*(Z57-2*Z55))</f>
        <v>573.46463618271105</v>
      </c>
      <c r="AA58" s="325" t="s">
        <v>253</v>
      </c>
    </row>
    <row r="59" spans="2:32" ht="17.399999999999999" x14ac:dyDescent="0.4">
      <c r="B59" s="97" t="s">
        <v>124</v>
      </c>
      <c r="C59" s="334">
        <v>0</v>
      </c>
      <c r="D59" s="334"/>
      <c r="E59" s="334">
        <v>0</v>
      </c>
      <c r="F59" s="334"/>
      <c r="G59" s="334">
        <v>0</v>
      </c>
      <c r="H59" s="334">
        <v>0</v>
      </c>
      <c r="I59" s="334">
        <v>0</v>
      </c>
      <c r="J59" s="334">
        <v>0</v>
      </c>
      <c r="K59" s="334"/>
      <c r="L59" s="334"/>
      <c r="M59" s="97" t="s">
        <v>5</v>
      </c>
      <c r="N59" s="214"/>
      <c r="O59" s="97"/>
      <c r="Q59" s="97" t="s">
        <v>373</v>
      </c>
      <c r="R59" s="98">
        <v>1</v>
      </c>
      <c r="S59" s="97" t="s">
        <v>13</v>
      </c>
      <c r="U59" s="327" t="s">
        <v>378</v>
      </c>
      <c r="V59" s="328">
        <v>10</v>
      </c>
      <c r="W59" s="327" t="s">
        <v>380</v>
      </c>
      <c r="Y59" s="325" t="s">
        <v>258</v>
      </c>
      <c r="Z59" s="326">
        <v>7200</v>
      </c>
      <c r="AA59" s="69" t="s">
        <v>254</v>
      </c>
    </row>
    <row r="60" spans="2:32" ht="17.399999999999999" x14ac:dyDescent="0.4">
      <c r="B60" s="97" t="s">
        <v>125</v>
      </c>
      <c r="C60" s="334">
        <v>0</v>
      </c>
      <c r="D60" s="334"/>
      <c r="E60" s="334">
        <v>0</v>
      </c>
      <c r="F60" s="334"/>
      <c r="G60" s="334">
        <v>0</v>
      </c>
      <c r="H60" s="334">
        <v>0</v>
      </c>
      <c r="I60" s="334">
        <v>0</v>
      </c>
      <c r="J60" s="334">
        <v>0</v>
      </c>
      <c r="K60" s="334"/>
      <c r="L60" s="334"/>
      <c r="M60" s="97" t="s">
        <v>5</v>
      </c>
      <c r="N60" s="214"/>
      <c r="O60" s="97"/>
      <c r="Q60" s="97" t="s">
        <v>376</v>
      </c>
      <c r="R60" s="98">
        <v>2.1</v>
      </c>
      <c r="S60" s="97" t="s">
        <v>370</v>
      </c>
      <c r="T60" s="3"/>
      <c r="U60" s="327" t="s">
        <v>379</v>
      </c>
      <c r="V60" s="236">
        <f>V58*V59</f>
        <v>5.0594615125588511</v>
      </c>
      <c r="W60" s="327" t="s">
        <v>369</v>
      </c>
      <c r="Y60" s="325" t="s">
        <v>649</v>
      </c>
      <c r="Z60" s="93">
        <f>Z59/Z58</f>
        <v>12.555264170999402</v>
      </c>
      <c r="AA60" s="69" t="s">
        <v>254</v>
      </c>
    </row>
    <row r="61" spans="2:32" ht="17.399999999999999" x14ac:dyDescent="0.4">
      <c r="B61" s="97" t="s">
        <v>126</v>
      </c>
      <c r="C61" s="336">
        <f t="shared" ref="C61" si="74">C58*C56+C59*C56</f>
        <v>1381.89755097431</v>
      </c>
      <c r="D61" s="336"/>
      <c r="E61" s="336">
        <f t="shared" ref="E61" si="75">E58*E56+E59*E56</f>
        <v>1378.6947388286048</v>
      </c>
      <c r="F61" s="336"/>
      <c r="G61" s="336">
        <f t="shared" ref="G61:J61" si="76">G58*G56+G59*G56</f>
        <v>1389.3879125463823</v>
      </c>
      <c r="H61" s="336">
        <f t="shared" si="76"/>
        <v>1381.3032118377073</v>
      </c>
      <c r="I61" s="336">
        <f t="shared" si="76"/>
        <v>1375.7329487892112</v>
      </c>
      <c r="J61" s="336">
        <f t="shared" si="76"/>
        <v>1371.6620491638978</v>
      </c>
      <c r="K61" s="336"/>
      <c r="L61" s="336"/>
      <c r="M61" s="97" t="s">
        <v>6</v>
      </c>
      <c r="N61" s="214"/>
      <c r="O61" s="97"/>
      <c r="Q61" s="97" t="s">
        <v>78</v>
      </c>
      <c r="R61" s="238">
        <f>8.854/1000000000000*R60*(R58/1000000)/(R59/1000)*1000000000</f>
        <v>5.5780200000000002E-2</v>
      </c>
      <c r="S61" s="97" t="s">
        <v>369</v>
      </c>
      <c r="Y61" s="325" t="s">
        <v>259</v>
      </c>
      <c r="Z61" s="93">
        <f>Z48/100000000*(Z59^2)/(Z58/1000000)*Z53/1000</f>
        <v>27779.275294186435</v>
      </c>
      <c r="AA61" s="69" t="s">
        <v>255</v>
      </c>
    </row>
    <row r="62" spans="2:32" ht="17.399999999999999" x14ac:dyDescent="0.4">
      <c r="B62" s="97" t="s">
        <v>127</v>
      </c>
      <c r="C62" s="334">
        <f t="shared" ref="C62" si="77">C56*C60</f>
        <v>0</v>
      </c>
      <c r="D62" s="334"/>
      <c r="E62" s="334">
        <f t="shared" ref="E62" si="78">E56*E60</f>
        <v>0</v>
      </c>
      <c r="F62" s="334"/>
      <c r="G62" s="334">
        <f t="shared" ref="G62:J62" si="79">G56*G60</f>
        <v>0</v>
      </c>
      <c r="H62" s="334">
        <f t="shared" si="79"/>
        <v>0</v>
      </c>
      <c r="I62" s="334">
        <f t="shared" si="79"/>
        <v>0</v>
      </c>
      <c r="J62" s="334">
        <f t="shared" si="79"/>
        <v>0</v>
      </c>
      <c r="K62" s="334"/>
      <c r="L62" s="334"/>
      <c r="M62" s="97" t="s">
        <v>6</v>
      </c>
      <c r="N62" s="214"/>
      <c r="O62" s="97"/>
    </row>
    <row r="63" spans="2:32" ht="17.399999999999999" x14ac:dyDescent="0.4">
      <c r="B63" s="97" t="s">
        <v>128</v>
      </c>
      <c r="C63" s="333">
        <v>100</v>
      </c>
      <c r="D63" s="333"/>
      <c r="E63" s="333">
        <v>100</v>
      </c>
      <c r="F63" s="333"/>
      <c r="G63" s="333">
        <v>100</v>
      </c>
      <c r="H63" s="333">
        <v>100</v>
      </c>
      <c r="I63" s="333">
        <v>100</v>
      </c>
      <c r="J63" s="333">
        <v>100</v>
      </c>
      <c r="K63" s="333"/>
      <c r="L63" s="333"/>
      <c r="M63" s="97" t="s">
        <v>7</v>
      </c>
      <c r="N63" s="214">
        <v>10</v>
      </c>
      <c r="O63" s="100" t="s">
        <v>129</v>
      </c>
      <c r="Q63" s="433" t="s">
        <v>626</v>
      </c>
      <c r="R63" s="433"/>
      <c r="S63" s="433"/>
      <c r="T63"/>
      <c r="Y63" s="431" t="s">
        <v>645</v>
      </c>
      <c r="Z63" s="431"/>
      <c r="AA63" s="431"/>
    </row>
    <row r="64" spans="2:32" ht="17.399999999999999" x14ac:dyDescent="0.4">
      <c r="B64" s="97" t="s">
        <v>130</v>
      </c>
      <c r="C64" s="337">
        <f t="shared" ref="C64" si="80">C61*C63/100</f>
        <v>1381.8975509743098</v>
      </c>
      <c r="D64" s="337"/>
      <c r="E64" s="337">
        <f t="shared" ref="E64" si="81">E61*E63/100</f>
        <v>1378.6947388286048</v>
      </c>
      <c r="F64" s="337"/>
      <c r="G64" s="337">
        <f t="shared" ref="G64:J64" si="82">G61*G63/100</f>
        <v>1389.3879125463823</v>
      </c>
      <c r="H64" s="337">
        <f t="shared" si="82"/>
        <v>1381.3032118377073</v>
      </c>
      <c r="I64" s="337">
        <f t="shared" si="82"/>
        <v>1375.7329487892112</v>
      </c>
      <c r="J64" s="337">
        <f t="shared" si="82"/>
        <v>1371.6620491638978</v>
      </c>
      <c r="K64" s="337"/>
      <c r="L64" s="337"/>
      <c r="M64" s="97" t="s">
        <v>6</v>
      </c>
      <c r="N64" s="214"/>
      <c r="O64" s="97"/>
      <c r="Q64" s="273"/>
      <c r="R64" s="274" t="s">
        <v>618</v>
      </c>
      <c r="S64" s="274" t="s">
        <v>619</v>
      </c>
      <c r="T64" s="274" t="s">
        <v>620</v>
      </c>
      <c r="Y64" s="323" t="s">
        <v>213</v>
      </c>
      <c r="Z64" s="68" t="s">
        <v>214</v>
      </c>
      <c r="AA64" s="68"/>
    </row>
    <row r="65" spans="2:27" ht="17.399999999999999" x14ac:dyDescent="0.4">
      <c r="B65" s="97" t="s">
        <v>131</v>
      </c>
      <c r="C65" s="335">
        <f t="shared" ref="C65" si="83">C52*0.9</f>
        <v>775.35114376745844</v>
      </c>
      <c r="D65" s="335"/>
      <c r="E65" s="335">
        <f t="shared" ref="E65" si="84">E52*0.9</f>
        <v>771.50409323273141</v>
      </c>
      <c r="F65" s="335"/>
      <c r="G65" s="335">
        <f t="shared" ref="G65:J65" si="85">G52*0.9</f>
        <v>850.36332113246692</v>
      </c>
      <c r="H65" s="335">
        <f t="shared" si="85"/>
        <v>940.11202389229652</v>
      </c>
      <c r="I65" s="335">
        <f t="shared" si="85"/>
        <v>1022.0095190389867</v>
      </c>
      <c r="J65" s="335">
        <f t="shared" si="85"/>
        <v>1097.8143269905579</v>
      </c>
      <c r="K65" s="335"/>
      <c r="L65" s="335"/>
      <c r="M65" s="97" t="s">
        <v>2</v>
      </c>
      <c r="N65" s="214"/>
      <c r="O65" s="97"/>
      <c r="Q65" s="274" t="s">
        <v>617</v>
      </c>
      <c r="R65" s="274" t="s">
        <v>623</v>
      </c>
      <c r="S65" s="274" t="s">
        <v>621</v>
      </c>
      <c r="T65" s="274" t="s">
        <v>622</v>
      </c>
      <c r="Y65" s="325" t="s">
        <v>215</v>
      </c>
      <c r="Z65" s="80">
        <v>1.75</v>
      </c>
      <c r="AA65" s="325" t="s">
        <v>216</v>
      </c>
    </row>
    <row r="66" spans="2:27" ht="17.399999999999999" x14ac:dyDescent="0.4">
      <c r="B66" s="97" t="s">
        <v>132</v>
      </c>
      <c r="C66" s="333">
        <v>2</v>
      </c>
      <c r="D66" s="333"/>
      <c r="E66" s="333">
        <v>2</v>
      </c>
      <c r="F66" s="333"/>
      <c r="G66" s="333">
        <v>2</v>
      </c>
      <c r="H66" s="333">
        <v>2</v>
      </c>
      <c r="I66" s="333">
        <v>2</v>
      </c>
      <c r="J66" s="333">
        <v>2</v>
      </c>
      <c r="K66" s="333"/>
      <c r="L66" s="333"/>
      <c r="M66" s="97" t="s">
        <v>44</v>
      </c>
      <c r="N66" s="214">
        <v>11</v>
      </c>
      <c r="O66" s="100" t="s">
        <v>133</v>
      </c>
      <c r="Q66" s="272">
        <v>0.5</v>
      </c>
      <c r="R66" s="272"/>
      <c r="S66" s="272">
        <v>2.5</v>
      </c>
      <c r="T66" s="272"/>
      <c r="Y66" s="325" t="s">
        <v>217</v>
      </c>
      <c r="Z66" s="81">
        <v>3.8999999999999998E-3</v>
      </c>
      <c r="AA66" s="325" t="s">
        <v>218</v>
      </c>
    </row>
    <row r="67" spans="2:27" ht="17.399999999999999" x14ac:dyDescent="0.4">
      <c r="B67" s="97" t="s">
        <v>134</v>
      </c>
      <c r="C67" s="333">
        <v>1</v>
      </c>
      <c r="D67" s="333"/>
      <c r="E67" s="333">
        <v>1</v>
      </c>
      <c r="F67" s="333"/>
      <c r="G67" s="333">
        <v>1</v>
      </c>
      <c r="H67" s="333">
        <v>1</v>
      </c>
      <c r="I67" s="333">
        <v>1</v>
      </c>
      <c r="J67" s="333">
        <v>1</v>
      </c>
      <c r="K67" s="333"/>
      <c r="L67" s="333"/>
      <c r="M67" s="97" t="s">
        <v>44</v>
      </c>
      <c r="N67" s="214">
        <v>12</v>
      </c>
      <c r="O67" s="100" t="s">
        <v>135</v>
      </c>
      <c r="Q67" s="272">
        <v>0.8</v>
      </c>
      <c r="R67" s="272"/>
      <c r="S67" s="272">
        <v>1.42</v>
      </c>
      <c r="T67" s="272"/>
      <c r="Y67" s="325" t="s">
        <v>219</v>
      </c>
      <c r="Z67" s="82">
        <v>45</v>
      </c>
      <c r="AA67" s="325" t="s">
        <v>48</v>
      </c>
    </row>
    <row r="68" spans="2:27" ht="17.399999999999999" x14ac:dyDescent="0.4">
      <c r="B68" s="97" t="s">
        <v>74</v>
      </c>
      <c r="C68" s="334">
        <v>100</v>
      </c>
      <c r="D68" s="334"/>
      <c r="E68" s="334">
        <v>100</v>
      </c>
      <c r="F68" s="334"/>
      <c r="G68" s="334">
        <v>100</v>
      </c>
      <c r="H68" s="334">
        <v>100</v>
      </c>
      <c r="I68" s="334">
        <v>100</v>
      </c>
      <c r="J68" s="334">
        <v>100</v>
      </c>
      <c r="K68" s="334"/>
      <c r="L68" s="334"/>
      <c r="M68" s="97" t="s">
        <v>7</v>
      </c>
      <c r="N68" s="214"/>
      <c r="O68" s="100"/>
      <c r="Q68" s="272">
        <v>1</v>
      </c>
      <c r="R68" s="272">
        <v>2</v>
      </c>
      <c r="S68" s="311">
        <v>1.1000000000000001</v>
      </c>
      <c r="T68" s="272"/>
      <c r="Y68" s="325" t="s">
        <v>220</v>
      </c>
      <c r="Z68" s="81">
        <f>Z65*(1+Z66*(Z67-20))</f>
        <v>1.9206249999999998</v>
      </c>
      <c r="AA68" s="325" t="s">
        <v>216</v>
      </c>
    </row>
    <row r="69" spans="2:27" ht="17.399999999999999" x14ac:dyDescent="0.4">
      <c r="B69" s="97" t="s">
        <v>136</v>
      </c>
      <c r="C69" s="334">
        <f t="shared" ref="C69" si="86">C19</f>
        <v>30</v>
      </c>
      <c r="D69" s="334"/>
      <c r="E69" s="334">
        <f t="shared" ref="E69" si="87">E19</f>
        <v>30</v>
      </c>
      <c r="F69" s="334"/>
      <c r="G69" s="334">
        <f t="shared" ref="G69:J69" si="88">G19</f>
        <v>30</v>
      </c>
      <c r="H69" s="334">
        <f t="shared" si="88"/>
        <v>30</v>
      </c>
      <c r="I69" s="334">
        <f t="shared" si="88"/>
        <v>30</v>
      </c>
      <c r="J69" s="334">
        <f t="shared" si="88"/>
        <v>30</v>
      </c>
      <c r="K69" s="334"/>
      <c r="L69" s="334"/>
      <c r="M69" s="97" t="s">
        <v>81</v>
      </c>
      <c r="N69" s="214"/>
      <c r="O69" s="97"/>
      <c r="Q69" s="272">
        <v>1.2</v>
      </c>
      <c r="R69" s="272"/>
      <c r="S69" s="272">
        <v>1.04</v>
      </c>
      <c r="T69" s="272"/>
      <c r="Y69" s="325" t="s">
        <v>221</v>
      </c>
      <c r="Z69" s="83">
        <f>1/(Z68/100000000)</f>
        <v>52066384.64041654</v>
      </c>
      <c r="AA69" s="325" t="s">
        <v>222</v>
      </c>
    </row>
    <row r="70" spans="2:27" ht="17.399999999999999" x14ac:dyDescent="0.4">
      <c r="B70" s="97" t="s">
        <v>137</v>
      </c>
      <c r="C70" s="334">
        <f t="shared" ref="C70" si="89">ROUNDUP((C65*C66*((C68*180/100-C69)/180))/2,0)</f>
        <v>647</v>
      </c>
      <c r="D70" s="334"/>
      <c r="E70" s="334">
        <f t="shared" ref="E70" si="90">ROUNDUP((E65*E66*((E68*180/100-E69)/180))/2,0)</f>
        <v>643</v>
      </c>
      <c r="F70" s="334"/>
      <c r="G70" s="334">
        <f t="shared" ref="G70:J70" si="91">ROUNDUP((G65*G66*((G68*180/100-G69)/180))/2,0)</f>
        <v>709</v>
      </c>
      <c r="H70" s="334">
        <f t="shared" si="91"/>
        <v>784</v>
      </c>
      <c r="I70" s="334">
        <f t="shared" si="91"/>
        <v>852</v>
      </c>
      <c r="J70" s="334">
        <f t="shared" si="91"/>
        <v>915</v>
      </c>
      <c r="K70" s="334"/>
      <c r="L70" s="334"/>
      <c r="M70" s="97" t="s">
        <v>6</v>
      </c>
      <c r="N70" s="214"/>
      <c r="O70" s="97"/>
      <c r="Q70" s="272">
        <v>2</v>
      </c>
      <c r="R70" s="272">
        <v>1.1200000000000001</v>
      </c>
      <c r="S70" s="272">
        <v>0.75</v>
      </c>
      <c r="T70" s="272"/>
      <c r="Y70" s="325" t="s">
        <v>223</v>
      </c>
      <c r="Z70" s="68">
        <v>1</v>
      </c>
      <c r="AA70" s="325" t="s">
        <v>224</v>
      </c>
    </row>
    <row r="71" spans="2:27" ht="17.399999999999999" x14ac:dyDescent="0.4">
      <c r="B71" s="97" t="s">
        <v>138</v>
      </c>
      <c r="C71" s="334">
        <f t="shared" ref="C71" si="92">ROUNDUP((C65*C67*(1-(C68*180/100-C69)/180))/2,0)</f>
        <v>65</v>
      </c>
      <c r="D71" s="334"/>
      <c r="E71" s="334">
        <f t="shared" ref="E71" si="93">ROUNDUP((E65*E67*(1-(E68*180/100-E69)/180))/2,0)</f>
        <v>65</v>
      </c>
      <c r="F71" s="334"/>
      <c r="G71" s="334">
        <f t="shared" ref="G71:J71" si="94">ROUNDUP((G65*G67*(1-(G68*180/100-G69)/180))/2,0)</f>
        <v>71</v>
      </c>
      <c r="H71" s="334">
        <f t="shared" si="94"/>
        <v>79</v>
      </c>
      <c r="I71" s="334">
        <f t="shared" si="94"/>
        <v>86</v>
      </c>
      <c r="J71" s="334">
        <f t="shared" si="94"/>
        <v>92</v>
      </c>
      <c r="K71" s="334"/>
      <c r="L71" s="334"/>
      <c r="M71" s="97" t="s">
        <v>6</v>
      </c>
      <c r="N71" s="214"/>
      <c r="O71" s="97"/>
      <c r="Q71" s="272">
        <v>3</v>
      </c>
      <c r="R71" s="272">
        <v>0.71</v>
      </c>
      <c r="S71" s="272">
        <v>0.57999999999999996</v>
      </c>
      <c r="T71" s="272"/>
      <c r="Y71" s="325" t="s">
        <v>257</v>
      </c>
      <c r="Z71" s="326">
        <v>6126</v>
      </c>
      <c r="AA71" s="325" t="s">
        <v>227</v>
      </c>
    </row>
    <row r="72" spans="2:27" ht="17.399999999999999" x14ac:dyDescent="0.4">
      <c r="B72" s="97" t="s">
        <v>71</v>
      </c>
      <c r="C72" s="337">
        <f t="shared" ref="C72" si="95">ROUNDUP(((C65*C66*(((C68*180/100-C69)/180))+(C65*C67*(1-(C68*180/100-C69)/180))))/2,0)</f>
        <v>711</v>
      </c>
      <c r="D72" s="337"/>
      <c r="E72" s="337">
        <f t="shared" ref="E72" si="96">ROUNDUP(((E65*E66*(((E68*180/100-E69)/180))+(E65*E67*(1-(E68*180/100-E69)/180))))/2,0)</f>
        <v>708</v>
      </c>
      <c r="F72" s="337"/>
      <c r="G72" s="337">
        <f t="shared" ref="G72:J72" si="97">ROUNDUP(((G65*G66*(((G68*180/100-G69)/180))+(G65*G67*(1-(G68*180/100-G69)/180))))/2,0)</f>
        <v>780</v>
      </c>
      <c r="H72" s="337">
        <f t="shared" si="97"/>
        <v>862</v>
      </c>
      <c r="I72" s="337">
        <f t="shared" si="97"/>
        <v>937</v>
      </c>
      <c r="J72" s="337">
        <f t="shared" si="97"/>
        <v>1007</v>
      </c>
      <c r="K72" s="337"/>
      <c r="L72" s="337"/>
      <c r="M72" s="97" t="s">
        <v>6</v>
      </c>
      <c r="N72" s="214"/>
      <c r="O72" s="97"/>
      <c r="Q72" s="272">
        <v>5</v>
      </c>
      <c r="R72" s="272">
        <v>0.43</v>
      </c>
      <c r="S72" s="272">
        <v>0.36</v>
      </c>
      <c r="T72" s="272"/>
      <c r="Y72" s="325" t="s">
        <v>283</v>
      </c>
      <c r="Z72" s="326">
        <v>2</v>
      </c>
      <c r="AA72" s="325" t="s">
        <v>227</v>
      </c>
    </row>
    <row r="73" spans="2:27" ht="17.399999999999999" x14ac:dyDescent="0.4">
      <c r="B73" s="97" t="s">
        <v>351</v>
      </c>
      <c r="C73" s="334">
        <f t="shared" ref="C73" si="98">C64+C70</f>
        <v>2028.8975509743098</v>
      </c>
      <c r="D73" s="334"/>
      <c r="E73" s="334">
        <f t="shared" ref="E73" si="99">E64+E70</f>
        <v>2021.6947388286048</v>
      </c>
      <c r="F73" s="334"/>
      <c r="G73" s="334">
        <f t="shared" ref="G73:J73" si="100">G64+G70</f>
        <v>2098.3879125463823</v>
      </c>
      <c r="H73" s="334">
        <f t="shared" si="100"/>
        <v>2165.3032118377073</v>
      </c>
      <c r="I73" s="334">
        <f t="shared" si="100"/>
        <v>2227.7329487892112</v>
      </c>
      <c r="J73" s="334">
        <f t="shared" si="100"/>
        <v>2286.6620491638978</v>
      </c>
      <c r="K73" s="334"/>
      <c r="L73" s="334"/>
      <c r="M73" s="97" t="s">
        <v>6</v>
      </c>
      <c r="N73" s="214"/>
      <c r="O73" s="97"/>
      <c r="Q73" s="272">
        <v>6</v>
      </c>
      <c r="R73" s="272"/>
      <c r="S73" s="272">
        <v>0.34</v>
      </c>
      <c r="T73" s="272">
        <v>0.62</v>
      </c>
      <c r="Y73" s="325" t="s">
        <v>279</v>
      </c>
      <c r="Z73" s="326">
        <v>60</v>
      </c>
      <c r="AA73" s="325" t="s">
        <v>227</v>
      </c>
    </row>
    <row r="74" spans="2:27" ht="17.399999999999999" x14ac:dyDescent="0.4">
      <c r="B74" s="97" t="s">
        <v>352</v>
      </c>
      <c r="C74" s="334">
        <f t="shared" ref="C74" si="101">C71+C62</f>
        <v>65</v>
      </c>
      <c r="D74" s="334"/>
      <c r="E74" s="334">
        <f t="shared" ref="E74" si="102">E71+E62</f>
        <v>65</v>
      </c>
      <c r="F74" s="334"/>
      <c r="G74" s="334">
        <f t="shared" ref="G74:J74" si="103">G71+G62</f>
        <v>71</v>
      </c>
      <c r="H74" s="334">
        <f t="shared" si="103"/>
        <v>79</v>
      </c>
      <c r="I74" s="334">
        <f t="shared" si="103"/>
        <v>86</v>
      </c>
      <c r="J74" s="334">
        <f t="shared" si="103"/>
        <v>92</v>
      </c>
      <c r="K74" s="334"/>
      <c r="L74" s="334"/>
      <c r="M74" s="97" t="s">
        <v>6</v>
      </c>
      <c r="N74" s="214"/>
      <c r="O74" s="97"/>
      <c r="Q74" s="272">
        <v>8</v>
      </c>
      <c r="R74" s="272">
        <v>0.3</v>
      </c>
      <c r="S74" s="272">
        <v>0.25</v>
      </c>
      <c r="T74" s="272"/>
      <c r="Y74" s="325" t="s">
        <v>278</v>
      </c>
      <c r="Z74" s="92">
        <f>Z72*Z73</f>
        <v>120</v>
      </c>
      <c r="AA74" s="325" t="s">
        <v>253</v>
      </c>
    </row>
    <row r="75" spans="2:27" ht="17.399999999999999" x14ac:dyDescent="0.4">
      <c r="B75" s="97" t="s">
        <v>359</v>
      </c>
      <c r="C75" s="337">
        <f t="shared" ref="C75" si="104">ROUNDUP((C55+C64+C72),0)</f>
        <v>2116</v>
      </c>
      <c r="D75" s="337"/>
      <c r="E75" s="337">
        <f t="shared" ref="E75" si="105">ROUNDUP((E55+E64+E72),0)</f>
        <v>2109</v>
      </c>
      <c r="F75" s="337"/>
      <c r="G75" s="337">
        <f t="shared" ref="G75:J75" si="106">ROUNDUP((G55+G64+G72),0)</f>
        <v>2192</v>
      </c>
      <c r="H75" s="337">
        <f t="shared" si="106"/>
        <v>2266</v>
      </c>
      <c r="I75" s="337">
        <f t="shared" si="106"/>
        <v>2335</v>
      </c>
      <c r="J75" s="337">
        <f t="shared" si="106"/>
        <v>2401</v>
      </c>
      <c r="K75" s="337"/>
      <c r="L75" s="337"/>
      <c r="M75" s="97" t="s">
        <v>6</v>
      </c>
      <c r="N75" s="214"/>
      <c r="O75" s="97"/>
      <c r="Q75" s="272">
        <v>10</v>
      </c>
      <c r="R75" s="272"/>
      <c r="S75" s="272"/>
      <c r="T75" s="272">
        <v>0.45</v>
      </c>
      <c r="Y75" s="325" t="s">
        <v>258</v>
      </c>
      <c r="Z75" s="326">
        <v>850</v>
      </c>
      <c r="AA75" s="69" t="s">
        <v>254</v>
      </c>
    </row>
    <row r="76" spans="2:27" ht="17.399999999999999" x14ac:dyDescent="0.4">
      <c r="B76" s="97" t="s">
        <v>139</v>
      </c>
      <c r="C76" s="333">
        <v>2</v>
      </c>
      <c r="D76" s="333"/>
      <c r="E76" s="333">
        <v>2</v>
      </c>
      <c r="F76" s="333"/>
      <c r="G76" s="333">
        <v>2</v>
      </c>
      <c r="H76" s="333">
        <v>2</v>
      </c>
      <c r="I76" s="333">
        <v>2</v>
      </c>
      <c r="J76" s="333">
        <v>2</v>
      </c>
      <c r="K76" s="333"/>
      <c r="L76" s="333"/>
      <c r="M76" s="97"/>
      <c r="N76" s="214">
        <v>13</v>
      </c>
      <c r="O76" s="100" t="s">
        <v>358</v>
      </c>
      <c r="Q76" s="272">
        <v>15</v>
      </c>
      <c r="R76" s="272"/>
      <c r="S76" s="272"/>
      <c r="T76" s="272">
        <v>0.4</v>
      </c>
      <c r="Y76" s="325" t="s">
        <v>649</v>
      </c>
      <c r="Z76" s="93">
        <f>Z75/Z74</f>
        <v>7.083333333333333</v>
      </c>
      <c r="AA76" s="69" t="s">
        <v>254</v>
      </c>
    </row>
    <row r="77" spans="2:27" ht="17.399999999999999" x14ac:dyDescent="0.4">
      <c r="B77" s="97" t="s">
        <v>72</v>
      </c>
      <c r="C77" s="338">
        <f t="shared" ref="C77" si="107">C75*C76</f>
        <v>4232</v>
      </c>
      <c r="D77" s="338"/>
      <c r="E77" s="338">
        <f t="shared" ref="E77" si="108">E75*E76</f>
        <v>4218</v>
      </c>
      <c r="F77" s="338"/>
      <c r="G77" s="338">
        <f t="shared" ref="G77:J77" si="109">G75*G76</f>
        <v>4384</v>
      </c>
      <c r="H77" s="338">
        <f t="shared" si="109"/>
        <v>4532</v>
      </c>
      <c r="I77" s="338">
        <f t="shared" si="109"/>
        <v>4670</v>
      </c>
      <c r="J77" s="338">
        <f t="shared" si="109"/>
        <v>4802</v>
      </c>
      <c r="K77" s="338"/>
      <c r="L77" s="338"/>
      <c r="M77" s="97" t="s">
        <v>46</v>
      </c>
      <c r="N77" s="214"/>
      <c r="O77" s="97"/>
      <c r="Q77" s="272">
        <v>20</v>
      </c>
      <c r="R77" s="272"/>
      <c r="S77" s="272"/>
      <c r="T77" s="272">
        <v>0.35</v>
      </c>
      <c r="Y77" s="325" t="s">
        <v>259</v>
      </c>
      <c r="Z77" s="93">
        <f>Z68/100000000*(Z75^2)/(Z74/1000000)*Z71/1000</f>
        <v>708.39612265624987</v>
      </c>
      <c r="AA77" s="69" t="s">
        <v>255</v>
      </c>
    </row>
    <row r="78" spans="2:27" ht="17.399999999999999" x14ac:dyDescent="0.4">
      <c r="B78" s="97" t="s">
        <v>43</v>
      </c>
      <c r="C78" s="339">
        <v>1950</v>
      </c>
      <c r="D78" s="339"/>
      <c r="E78" s="339">
        <v>1950</v>
      </c>
      <c r="F78" s="339"/>
      <c r="G78" s="339">
        <v>1950</v>
      </c>
      <c r="H78" s="339">
        <v>1950</v>
      </c>
      <c r="I78" s="339">
        <v>1950</v>
      </c>
      <c r="J78" s="339">
        <v>1950</v>
      </c>
      <c r="K78" s="339"/>
      <c r="L78" s="339"/>
      <c r="M78" s="97" t="s">
        <v>6</v>
      </c>
      <c r="N78" s="214">
        <v>14</v>
      </c>
      <c r="O78" s="100" t="s">
        <v>119</v>
      </c>
      <c r="Q78" s="272">
        <v>30</v>
      </c>
      <c r="R78" s="272"/>
      <c r="S78" s="272"/>
      <c r="T78" s="272">
        <v>0.28939999999999999</v>
      </c>
    </row>
    <row r="79" spans="2:27" ht="17.399999999999999" x14ac:dyDescent="0.4">
      <c r="B79" s="97" t="s">
        <v>356</v>
      </c>
      <c r="C79" s="338">
        <f t="shared" ref="C79" si="110">ROUNDUP(C77/C78*100,0)</f>
        <v>218</v>
      </c>
      <c r="D79" s="338"/>
      <c r="E79" s="338">
        <f t="shared" ref="E79" si="111">ROUNDUP(E77/E78*100,0)</f>
        <v>217</v>
      </c>
      <c r="F79" s="338"/>
      <c r="G79" s="338">
        <f t="shared" ref="G79:J79" si="112">ROUNDUP(G77/G78*100,0)</f>
        <v>225</v>
      </c>
      <c r="H79" s="338">
        <f t="shared" si="112"/>
        <v>233</v>
      </c>
      <c r="I79" s="338">
        <f t="shared" si="112"/>
        <v>240</v>
      </c>
      <c r="J79" s="338">
        <f t="shared" si="112"/>
        <v>247</v>
      </c>
      <c r="K79" s="338"/>
      <c r="L79" s="338"/>
      <c r="M79" s="97" t="s">
        <v>7</v>
      </c>
      <c r="N79" s="214"/>
      <c r="O79" s="100" t="s">
        <v>357</v>
      </c>
      <c r="Q79" s="272">
        <v>50</v>
      </c>
      <c r="R79" s="272"/>
      <c r="S79" s="272"/>
      <c r="T79" s="272">
        <v>0.224</v>
      </c>
    </row>
    <row r="80" spans="2:27" ht="17.399999999999999" x14ac:dyDescent="0.4">
      <c r="B80" s="97" t="s">
        <v>140</v>
      </c>
      <c r="C80" s="340">
        <v>6.4000000000000001E-2</v>
      </c>
      <c r="D80" s="340"/>
      <c r="E80" s="340">
        <v>6.4000000000000001E-2</v>
      </c>
      <c r="F80" s="340"/>
      <c r="G80" s="340">
        <v>6.4000000000000001E-2</v>
      </c>
      <c r="H80" s="340">
        <v>6.4000000000000001E-2</v>
      </c>
      <c r="I80" s="340">
        <v>6.4000000000000001E-2</v>
      </c>
      <c r="J80" s="340">
        <v>6.4000000000000001E-2</v>
      </c>
      <c r="K80" s="340"/>
      <c r="L80" s="340"/>
      <c r="M80" s="97" t="s">
        <v>60</v>
      </c>
      <c r="N80" s="214">
        <v>15</v>
      </c>
      <c r="O80" s="218" t="s">
        <v>119</v>
      </c>
      <c r="Q80" s="272">
        <v>100</v>
      </c>
      <c r="R80" s="272"/>
      <c r="S80" s="272"/>
      <c r="T80" s="272">
        <v>0.161</v>
      </c>
    </row>
    <row r="81" spans="2:23" ht="17.399999999999999" x14ac:dyDescent="0.4">
      <c r="B81" s="97" t="s">
        <v>291</v>
      </c>
      <c r="C81" s="340">
        <v>0.1</v>
      </c>
      <c r="D81" s="340"/>
      <c r="E81" s="340">
        <v>0.1</v>
      </c>
      <c r="F81" s="340"/>
      <c r="G81" s="340">
        <v>0.1</v>
      </c>
      <c r="H81" s="340">
        <v>0.1</v>
      </c>
      <c r="I81" s="340">
        <v>0.1</v>
      </c>
      <c r="J81" s="340">
        <v>0.1</v>
      </c>
      <c r="K81" s="340"/>
      <c r="L81" s="340"/>
      <c r="M81" s="97" t="s">
        <v>60</v>
      </c>
      <c r="N81" s="214">
        <v>16</v>
      </c>
      <c r="O81" s="218" t="s">
        <v>119</v>
      </c>
      <c r="Q81" s="272">
        <v>200</v>
      </c>
      <c r="R81" s="272"/>
      <c r="S81" s="272"/>
      <c r="T81" s="272">
        <v>7.7600000000000002E-2</v>
      </c>
    </row>
    <row r="82" spans="2:23" ht="17.399999999999999" x14ac:dyDescent="0.4">
      <c r="B82" s="97" t="s">
        <v>141</v>
      </c>
      <c r="C82" s="341">
        <f t="shared" ref="C82:C83" si="113">125-C80*C73</f>
        <v>-4.8494432623558339</v>
      </c>
      <c r="D82" s="341"/>
      <c r="E82" s="341">
        <f t="shared" ref="E82:E83" si="114">125-E80*E73</f>
        <v>-4.3884632850307241</v>
      </c>
      <c r="F82" s="341"/>
      <c r="G82" s="341">
        <f t="shared" ref="G82:J83" si="115">125-G80*G73</f>
        <v>-9.2968264029684633</v>
      </c>
      <c r="H82" s="341">
        <f t="shared" si="115"/>
        <v>-13.579405557613256</v>
      </c>
      <c r="I82" s="341">
        <f t="shared" si="115"/>
        <v>-17.57490872250952</v>
      </c>
      <c r="J82" s="341">
        <f t="shared" si="115"/>
        <v>-21.346371146489474</v>
      </c>
      <c r="K82" s="341"/>
      <c r="L82" s="341"/>
      <c r="M82" s="102" t="s">
        <v>61</v>
      </c>
      <c r="N82" s="214"/>
      <c r="O82" s="100" t="s">
        <v>142</v>
      </c>
      <c r="Q82" s="272">
        <v>300</v>
      </c>
      <c r="R82" s="272"/>
      <c r="S82" s="272"/>
      <c r="T82" s="272">
        <v>5.2400000000000002E-2</v>
      </c>
    </row>
    <row r="83" spans="2:23" ht="17.399999999999999" x14ac:dyDescent="0.4">
      <c r="B83" s="97" t="s">
        <v>143</v>
      </c>
      <c r="C83" s="332">
        <f t="shared" si="113"/>
        <v>118.5</v>
      </c>
      <c r="D83" s="332"/>
      <c r="E83" s="332">
        <f t="shared" si="114"/>
        <v>118.5</v>
      </c>
      <c r="F83" s="332"/>
      <c r="G83" s="332">
        <f t="shared" si="115"/>
        <v>117.9</v>
      </c>
      <c r="H83" s="332">
        <f t="shared" si="115"/>
        <v>117.1</v>
      </c>
      <c r="I83" s="332">
        <f t="shared" si="115"/>
        <v>116.4</v>
      </c>
      <c r="J83" s="332">
        <f t="shared" si="115"/>
        <v>115.8</v>
      </c>
      <c r="K83" s="332"/>
      <c r="L83" s="332"/>
      <c r="M83" s="102" t="s">
        <v>61</v>
      </c>
      <c r="N83" s="214"/>
      <c r="O83" s="97"/>
    </row>
    <row r="84" spans="2:23" ht="17.399999999999999" x14ac:dyDescent="0.4">
      <c r="B84" s="97" t="s">
        <v>144</v>
      </c>
      <c r="C84" s="332">
        <f t="shared" ref="C84:C85" si="116">C80*C73</f>
        <v>129.84944326235583</v>
      </c>
      <c r="D84" s="332"/>
      <c r="E84" s="332">
        <f t="shared" ref="E84:E85" si="117">E80*E73</f>
        <v>129.38846328503072</v>
      </c>
      <c r="F84" s="332"/>
      <c r="G84" s="332">
        <f t="shared" ref="G84:J85" si="118">G80*G73</f>
        <v>134.29682640296846</v>
      </c>
      <c r="H84" s="332">
        <f t="shared" si="118"/>
        <v>138.57940555761326</v>
      </c>
      <c r="I84" s="332">
        <f t="shared" si="118"/>
        <v>142.57490872250952</v>
      </c>
      <c r="J84" s="332">
        <f t="shared" si="118"/>
        <v>146.34637114648947</v>
      </c>
      <c r="K84" s="332"/>
      <c r="L84" s="332"/>
      <c r="M84" s="102" t="s">
        <v>61</v>
      </c>
      <c r="N84" s="214"/>
      <c r="O84" s="97"/>
      <c r="Q84" s="433" t="s">
        <v>630</v>
      </c>
      <c r="R84" s="433"/>
      <c r="S84" s="433"/>
      <c r="U84" s="433" t="s">
        <v>678</v>
      </c>
      <c r="V84" s="433"/>
      <c r="W84" s="433"/>
    </row>
    <row r="85" spans="2:23" ht="17.399999999999999" x14ac:dyDescent="0.4">
      <c r="B85" s="97" t="s">
        <v>145</v>
      </c>
      <c r="C85" s="332">
        <f t="shared" si="116"/>
        <v>6.5</v>
      </c>
      <c r="D85" s="332"/>
      <c r="E85" s="332">
        <f t="shared" si="117"/>
        <v>6.5</v>
      </c>
      <c r="F85" s="332"/>
      <c r="G85" s="332">
        <f t="shared" si="118"/>
        <v>7.1000000000000005</v>
      </c>
      <c r="H85" s="332">
        <f t="shared" si="118"/>
        <v>7.9</v>
      </c>
      <c r="I85" s="332">
        <f t="shared" si="118"/>
        <v>8.6</v>
      </c>
      <c r="J85" s="332">
        <f t="shared" si="118"/>
        <v>9.2000000000000011</v>
      </c>
      <c r="K85" s="332"/>
      <c r="L85" s="332"/>
      <c r="M85" s="102" t="s">
        <v>61</v>
      </c>
      <c r="N85" s="214"/>
      <c r="O85" s="97"/>
      <c r="Q85" s="275" t="s">
        <v>629</v>
      </c>
      <c r="R85" s="275" t="s">
        <v>635</v>
      </c>
      <c r="S85" s="275"/>
      <c r="U85" s="275" t="s">
        <v>679</v>
      </c>
      <c r="V85" s="275" t="s">
        <v>680</v>
      </c>
      <c r="W85" s="275" t="s">
        <v>681</v>
      </c>
    </row>
    <row r="86" spans="2:23" ht="17.399999999999999" x14ac:dyDescent="0.4">
      <c r="B86" s="97" t="s">
        <v>146</v>
      </c>
      <c r="C86" s="340">
        <v>0.03</v>
      </c>
      <c r="D86" s="340"/>
      <c r="E86" s="340">
        <v>0.03</v>
      </c>
      <c r="F86" s="340"/>
      <c r="G86" s="340">
        <v>0.03</v>
      </c>
      <c r="H86" s="340">
        <v>0.03</v>
      </c>
      <c r="I86" s="340">
        <v>0.03</v>
      </c>
      <c r="J86" s="340">
        <v>0.03</v>
      </c>
      <c r="K86" s="340"/>
      <c r="L86" s="340"/>
      <c r="M86" s="97" t="s">
        <v>60</v>
      </c>
      <c r="N86" s="214">
        <v>17</v>
      </c>
      <c r="O86" s="97" t="s">
        <v>119</v>
      </c>
      <c r="Q86" s="327" t="s">
        <v>627</v>
      </c>
      <c r="R86" s="327">
        <v>183</v>
      </c>
      <c r="S86" s="327" t="s">
        <v>50</v>
      </c>
      <c r="U86" s="260" t="s">
        <v>682</v>
      </c>
      <c r="V86" s="260" t="s">
        <v>683</v>
      </c>
      <c r="W86" s="312" t="s">
        <v>684</v>
      </c>
    </row>
    <row r="87" spans="2:23" ht="17.399999999999999" x14ac:dyDescent="0.4">
      <c r="B87" s="97" t="s">
        <v>147</v>
      </c>
      <c r="C87" s="340">
        <v>0.06</v>
      </c>
      <c r="D87" s="340"/>
      <c r="E87" s="340">
        <v>0.06</v>
      </c>
      <c r="F87" s="340"/>
      <c r="G87" s="340">
        <v>0.06</v>
      </c>
      <c r="H87" s="340">
        <v>0.06</v>
      </c>
      <c r="I87" s="340">
        <v>0.06</v>
      </c>
      <c r="J87" s="340">
        <v>0.06</v>
      </c>
      <c r="K87" s="340"/>
      <c r="L87" s="340"/>
      <c r="M87" s="97" t="s">
        <v>60</v>
      </c>
      <c r="N87" s="214">
        <v>18</v>
      </c>
      <c r="O87" s="97" t="s">
        <v>119</v>
      </c>
      <c r="Q87" s="327" t="s">
        <v>628</v>
      </c>
      <c r="R87" s="327">
        <v>75</v>
      </c>
      <c r="S87" s="327" t="s">
        <v>50</v>
      </c>
      <c r="U87" s="260" t="s">
        <v>685</v>
      </c>
      <c r="V87" s="260" t="s">
        <v>686</v>
      </c>
      <c r="W87" s="312" t="s">
        <v>687</v>
      </c>
    </row>
    <row r="88" spans="2:23" ht="17.399999999999999" x14ac:dyDescent="0.4">
      <c r="B88" s="97" t="s">
        <v>148</v>
      </c>
      <c r="C88" s="342">
        <f t="shared" ref="C88:C89" si="119">C82-C86*C73</f>
        <v>-65.716369791585123</v>
      </c>
      <c r="D88" s="342"/>
      <c r="E88" s="342">
        <f t="shared" ref="E88:E89" si="120">E82-E86*E73</f>
        <v>-65.039305449888872</v>
      </c>
      <c r="F88" s="342"/>
      <c r="G88" s="342">
        <f t="shared" ref="G88:J89" si="121">G82-G86*G73</f>
        <v>-72.248463779359923</v>
      </c>
      <c r="H88" s="342">
        <f t="shared" si="121"/>
        <v>-78.538501912744479</v>
      </c>
      <c r="I88" s="342">
        <f t="shared" si="121"/>
        <v>-84.406897186185859</v>
      </c>
      <c r="J88" s="342">
        <f t="shared" si="121"/>
        <v>-89.946232621406409</v>
      </c>
      <c r="K88" s="342"/>
      <c r="L88" s="342"/>
      <c r="M88" s="102" t="s">
        <v>61</v>
      </c>
      <c r="N88" s="214"/>
      <c r="O88" s="97" t="s">
        <v>142</v>
      </c>
      <c r="Q88" s="327" t="s">
        <v>631</v>
      </c>
      <c r="R88" s="327">
        <v>9</v>
      </c>
      <c r="S88" s="327" t="s">
        <v>50</v>
      </c>
      <c r="U88" s="260" t="s">
        <v>688</v>
      </c>
      <c r="V88" s="260" t="s">
        <v>689</v>
      </c>
      <c r="W88" s="312" t="s">
        <v>690</v>
      </c>
    </row>
    <row r="89" spans="2:23" ht="17.399999999999999" x14ac:dyDescent="0.4">
      <c r="B89" s="97" t="s">
        <v>149</v>
      </c>
      <c r="C89" s="332">
        <f t="shared" si="119"/>
        <v>114.6</v>
      </c>
      <c r="D89" s="332"/>
      <c r="E89" s="332">
        <f t="shared" si="120"/>
        <v>114.6</v>
      </c>
      <c r="F89" s="332"/>
      <c r="G89" s="332">
        <f t="shared" si="121"/>
        <v>113.64</v>
      </c>
      <c r="H89" s="332">
        <f t="shared" si="121"/>
        <v>112.36</v>
      </c>
      <c r="I89" s="332">
        <f t="shared" si="121"/>
        <v>111.24000000000001</v>
      </c>
      <c r="J89" s="332">
        <f t="shared" si="121"/>
        <v>110.28</v>
      </c>
      <c r="K89" s="332"/>
      <c r="L89" s="332"/>
      <c r="M89" s="102" t="s">
        <v>61</v>
      </c>
      <c r="N89" s="214"/>
      <c r="O89" s="97"/>
      <c r="Q89" s="327" t="s">
        <v>632</v>
      </c>
      <c r="R89" s="327">
        <v>6</v>
      </c>
      <c r="S89" s="327" t="s">
        <v>50</v>
      </c>
      <c r="U89" s="260" t="s">
        <v>691</v>
      </c>
      <c r="V89" s="260" t="s">
        <v>692</v>
      </c>
      <c r="W89" s="312" t="s">
        <v>693</v>
      </c>
    </row>
    <row r="90" spans="2:23" ht="17.399999999999999" x14ac:dyDescent="0.4">
      <c r="B90" s="97" t="s">
        <v>150</v>
      </c>
      <c r="C90" s="332">
        <f t="shared" ref="C90:C91" si="122">C86*C73</f>
        <v>60.866926529229289</v>
      </c>
      <c r="D90" s="332"/>
      <c r="E90" s="332">
        <f t="shared" ref="E90:E91" si="123">E86*E73</f>
        <v>60.65084216485814</v>
      </c>
      <c r="F90" s="332"/>
      <c r="G90" s="332">
        <f t="shared" ref="G90:J91" si="124">G86*G73</f>
        <v>62.951637376391467</v>
      </c>
      <c r="H90" s="332">
        <f t="shared" si="124"/>
        <v>64.959096355131223</v>
      </c>
      <c r="I90" s="332">
        <f t="shared" si="124"/>
        <v>66.831988463676339</v>
      </c>
      <c r="J90" s="332">
        <f t="shared" si="124"/>
        <v>68.599861474916935</v>
      </c>
      <c r="K90" s="332"/>
      <c r="L90" s="332"/>
      <c r="M90" s="102" t="s">
        <v>61</v>
      </c>
      <c r="N90" s="214"/>
      <c r="O90" s="97"/>
      <c r="Q90" s="327" t="s">
        <v>633</v>
      </c>
      <c r="R90" s="327">
        <v>12</v>
      </c>
      <c r="S90" s="327" t="s">
        <v>50</v>
      </c>
      <c r="U90" s="260" t="s">
        <v>694</v>
      </c>
      <c r="V90" s="260" t="s">
        <v>695</v>
      </c>
      <c r="W90" s="312" t="s">
        <v>696</v>
      </c>
    </row>
    <row r="91" spans="2:23" ht="17.399999999999999" x14ac:dyDescent="0.4">
      <c r="B91" s="97" t="s">
        <v>151</v>
      </c>
      <c r="C91" s="332">
        <f t="shared" si="122"/>
        <v>3.9</v>
      </c>
      <c r="D91" s="332"/>
      <c r="E91" s="332">
        <f t="shared" si="123"/>
        <v>3.9</v>
      </c>
      <c r="F91" s="332"/>
      <c r="G91" s="332">
        <f t="shared" si="124"/>
        <v>4.26</v>
      </c>
      <c r="H91" s="332">
        <f t="shared" si="124"/>
        <v>4.74</v>
      </c>
      <c r="I91" s="332">
        <f t="shared" si="124"/>
        <v>5.16</v>
      </c>
      <c r="J91" s="332">
        <f t="shared" si="124"/>
        <v>5.52</v>
      </c>
      <c r="K91" s="332"/>
      <c r="L91" s="332"/>
      <c r="M91" s="102" t="s">
        <v>61</v>
      </c>
      <c r="N91" s="214"/>
      <c r="O91" s="97"/>
      <c r="Q91" s="327" t="s">
        <v>634</v>
      </c>
      <c r="R91" s="327">
        <v>78.540000000000006</v>
      </c>
      <c r="S91" s="327" t="s">
        <v>50</v>
      </c>
      <c r="U91" s="260" t="s">
        <v>697</v>
      </c>
      <c r="V91" s="260" t="s">
        <v>698</v>
      </c>
      <c r="W91" s="312" t="s">
        <v>699</v>
      </c>
    </row>
    <row r="92" spans="2:23" ht="17.399999999999999" x14ac:dyDescent="0.4">
      <c r="B92" s="97" t="s">
        <v>62</v>
      </c>
      <c r="C92" s="332">
        <v>60</v>
      </c>
      <c r="D92" s="332"/>
      <c r="E92" s="332">
        <v>60</v>
      </c>
      <c r="F92" s="332"/>
      <c r="G92" s="332">
        <v>60</v>
      </c>
      <c r="H92" s="332">
        <v>60</v>
      </c>
      <c r="I92" s="332">
        <v>60</v>
      </c>
      <c r="J92" s="332">
        <v>60</v>
      </c>
      <c r="K92" s="332"/>
      <c r="L92" s="332"/>
      <c r="M92" s="102" t="s">
        <v>61</v>
      </c>
      <c r="N92" s="214"/>
      <c r="O92" s="97" t="s">
        <v>152</v>
      </c>
    </row>
    <row r="93" spans="2:23" ht="17.399999999999999" x14ac:dyDescent="0.4">
      <c r="B93" s="97" t="s">
        <v>63</v>
      </c>
      <c r="C93" s="343">
        <v>8</v>
      </c>
      <c r="D93" s="343"/>
      <c r="E93" s="343">
        <v>8</v>
      </c>
      <c r="F93" s="343"/>
      <c r="G93" s="343">
        <v>8</v>
      </c>
      <c r="H93" s="343">
        <v>8</v>
      </c>
      <c r="I93" s="343">
        <v>8</v>
      </c>
      <c r="J93" s="343">
        <v>8</v>
      </c>
      <c r="K93" s="343"/>
      <c r="L93" s="343"/>
      <c r="M93" s="102" t="s">
        <v>64</v>
      </c>
      <c r="N93" s="214"/>
      <c r="O93" s="97" t="s">
        <v>153</v>
      </c>
    </row>
    <row r="94" spans="2:23" ht="17.399999999999999" x14ac:dyDescent="0.4">
      <c r="B94" s="97" t="s">
        <v>65</v>
      </c>
      <c r="C94" s="344">
        <f t="shared" ref="C94" si="125">C92-(C77/1000*860/C93/60)</f>
        <v>52.417666666666669</v>
      </c>
      <c r="D94" s="344"/>
      <c r="E94" s="344">
        <f t="shared" ref="E94" si="126">E92-(E77/1000*860/E93/60)</f>
        <v>52.442750000000004</v>
      </c>
      <c r="F94" s="344"/>
      <c r="G94" s="344">
        <f t="shared" ref="G94:J94" si="127">G92-(G77/1000*860/G93/60)</f>
        <v>52.145333333333333</v>
      </c>
      <c r="H94" s="344">
        <f t="shared" si="127"/>
        <v>51.880166666666668</v>
      </c>
      <c r="I94" s="344">
        <f t="shared" si="127"/>
        <v>51.632916666666667</v>
      </c>
      <c r="J94" s="344">
        <f t="shared" si="127"/>
        <v>51.396416666666667</v>
      </c>
      <c r="K94" s="344"/>
      <c r="L94" s="344"/>
      <c r="M94" s="102" t="s">
        <v>61</v>
      </c>
      <c r="N94" s="214"/>
      <c r="O94" s="97"/>
    </row>
  </sheetData>
  <mergeCells count="27">
    <mergeCell ref="Q84:S84"/>
    <mergeCell ref="U84:W84"/>
    <mergeCell ref="U46:W46"/>
    <mergeCell ref="Q51:S51"/>
    <mergeCell ref="U52:W52"/>
    <mergeCell ref="Q57:S57"/>
    <mergeCell ref="Q63:S63"/>
    <mergeCell ref="Y63:AA63"/>
    <mergeCell ref="V34:W34"/>
    <mergeCell ref="AC34:AE34"/>
    <mergeCell ref="AC40:AE40"/>
    <mergeCell ref="Q42:S42"/>
    <mergeCell ref="Y43:AA43"/>
    <mergeCell ref="AC45:AE45"/>
    <mergeCell ref="AG3:AI3"/>
    <mergeCell ref="U10:W10"/>
    <mergeCell ref="AC10:AE10"/>
    <mergeCell ref="Q31:S31"/>
    <mergeCell ref="Q3:S3"/>
    <mergeCell ref="U3:W3"/>
    <mergeCell ref="Y3:AA3"/>
    <mergeCell ref="AC3:AE3"/>
    <mergeCell ref="U17:W17"/>
    <mergeCell ref="Q18:S18"/>
    <mergeCell ref="AC21:AE21"/>
    <mergeCell ref="U23:W23"/>
    <mergeCell ref="Y24:AA24"/>
  </mergeCells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94"/>
  <sheetViews>
    <sheetView topLeftCell="P1" zoomScale="70" zoomScaleNormal="70" workbookViewId="0">
      <selection activeCell="AH47" sqref="AH47"/>
    </sheetView>
  </sheetViews>
  <sheetFormatPr defaultColWidth="8.8984375" defaultRowHeight="14.4" x14ac:dyDescent="0.25"/>
  <cols>
    <col min="1" max="1" width="8.8984375" style="322"/>
    <col min="2" max="2" width="40.796875" style="322" customWidth="1"/>
    <col min="3" max="11" width="14.19921875" style="322" customWidth="1"/>
    <col min="12" max="12" width="8.3984375" style="322" customWidth="1"/>
    <col min="13" max="13" width="6.296875" style="322" customWidth="1"/>
    <col min="14" max="14" width="8.19921875" style="322" bestFit="1" customWidth="1"/>
    <col min="15" max="15" width="67.296875" style="322" customWidth="1"/>
    <col min="16" max="16" width="4" style="322" customWidth="1"/>
    <col min="17" max="17" width="19.09765625" style="322" customWidth="1"/>
    <col min="18" max="19" width="12.796875" style="322" bestFit="1" customWidth="1"/>
    <col min="20" max="20" width="24.8984375" style="322" customWidth="1"/>
    <col min="21" max="21" width="20.8984375" style="322" bestFit="1" customWidth="1"/>
    <col min="22" max="22" width="10.09765625" style="322" bestFit="1" customWidth="1"/>
    <col min="23" max="23" width="8.8984375" style="322"/>
    <col min="24" max="24" width="4.3984375" style="322" customWidth="1"/>
    <col min="25" max="25" width="17.59765625" style="322" bestFit="1" customWidth="1"/>
    <col min="26" max="26" width="8.8984375" style="322"/>
    <col min="27" max="27" width="10.796875" style="322" bestFit="1" customWidth="1"/>
    <col min="28" max="28" width="4.59765625" style="322" customWidth="1"/>
    <col min="29" max="29" width="30.69921875" style="322" customWidth="1"/>
    <col min="30" max="30" width="13" style="322" bestFit="1" customWidth="1"/>
    <col min="31" max="31" width="7" style="322" customWidth="1"/>
    <col min="32" max="32" width="8.8984375" style="322"/>
    <col min="33" max="33" width="28" style="322" bestFit="1" customWidth="1"/>
    <col min="34" max="34" width="15" style="322" bestFit="1" customWidth="1"/>
    <col min="35" max="35" width="4.09765625" style="322" bestFit="1" customWidth="1"/>
    <col min="36" max="16384" width="8.8984375" style="322"/>
  </cols>
  <sheetData>
    <row r="1" spans="2:35" ht="19.2" x14ac:dyDescent="0.25">
      <c r="B1" s="233" t="s">
        <v>365</v>
      </c>
      <c r="C1" s="3" t="s">
        <v>741</v>
      </c>
      <c r="E1" s="3" t="s">
        <v>742</v>
      </c>
    </row>
    <row r="2" spans="2:35" ht="29.4" thickBot="1" x14ac:dyDescent="0.3">
      <c r="B2" s="211" t="s">
        <v>242</v>
      </c>
      <c r="C2" s="347" t="s">
        <v>725</v>
      </c>
      <c r="D2" s="348"/>
      <c r="E2" s="348" t="s">
        <v>725</v>
      </c>
      <c r="F2" s="348"/>
      <c r="G2" s="383"/>
      <c r="H2" s="383"/>
      <c r="I2" s="383"/>
      <c r="J2" s="383"/>
      <c r="K2" s="348"/>
      <c r="L2" s="349"/>
      <c r="M2" s="212"/>
      <c r="N2" s="212" t="s">
        <v>348</v>
      </c>
      <c r="O2" s="212" t="s">
        <v>247</v>
      </c>
    </row>
    <row r="3" spans="2:35" ht="17.399999999999999" x14ac:dyDescent="0.25">
      <c r="B3" s="327" t="s">
        <v>18</v>
      </c>
      <c r="C3" s="328">
        <v>208</v>
      </c>
      <c r="D3" s="328"/>
      <c r="E3" s="328">
        <v>208</v>
      </c>
      <c r="F3" s="353"/>
      <c r="G3" s="384">
        <v>400</v>
      </c>
      <c r="H3" s="385">
        <v>400</v>
      </c>
      <c r="I3" s="385">
        <v>400</v>
      </c>
      <c r="J3" s="386">
        <v>400</v>
      </c>
      <c r="K3" s="368"/>
      <c r="L3" s="328"/>
      <c r="M3" s="327" t="s">
        <v>1</v>
      </c>
      <c r="N3" s="214">
        <v>1</v>
      </c>
      <c r="O3" s="345" t="s">
        <v>245</v>
      </c>
      <c r="Q3" s="430" t="s">
        <v>284</v>
      </c>
      <c r="R3" s="430"/>
      <c r="S3" s="430"/>
      <c r="T3" s="321"/>
      <c r="U3" s="431" t="s">
        <v>243</v>
      </c>
      <c r="V3" s="431"/>
      <c r="W3" s="431"/>
      <c r="X3" s="321"/>
      <c r="Y3" s="431" t="s">
        <v>646</v>
      </c>
      <c r="Z3" s="431"/>
      <c r="AA3" s="431"/>
      <c r="AB3" s="321"/>
      <c r="AC3" s="430" t="s">
        <v>264</v>
      </c>
      <c r="AD3" s="430"/>
      <c r="AE3" s="430"/>
      <c r="AF3" s="79"/>
      <c r="AG3" s="430" t="s">
        <v>264</v>
      </c>
      <c r="AH3" s="430"/>
      <c r="AI3" s="430"/>
    </row>
    <row r="4" spans="2:35" ht="17.399999999999999" x14ac:dyDescent="0.25">
      <c r="B4" s="327" t="s">
        <v>668</v>
      </c>
      <c r="C4" s="328">
        <v>380</v>
      </c>
      <c r="D4" s="328"/>
      <c r="E4" s="328">
        <v>380</v>
      </c>
      <c r="F4" s="353"/>
      <c r="G4" s="387">
        <v>380</v>
      </c>
      <c r="H4" s="328">
        <v>380</v>
      </c>
      <c r="I4" s="328">
        <v>380</v>
      </c>
      <c r="J4" s="388">
        <v>380</v>
      </c>
      <c r="K4" s="368"/>
      <c r="L4" s="328"/>
      <c r="M4" s="327" t="s">
        <v>0</v>
      </c>
      <c r="N4" s="214">
        <v>2</v>
      </c>
      <c r="O4" s="345" t="s">
        <v>246</v>
      </c>
      <c r="Q4" s="323" t="s">
        <v>10</v>
      </c>
      <c r="R4" s="324">
        <v>3</v>
      </c>
      <c r="S4" s="323" t="s">
        <v>11</v>
      </c>
      <c r="T4" s="321"/>
      <c r="U4" s="323" t="s">
        <v>20</v>
      </c>
      <c r="V4" s="324">
        <v>500</v>
      </c>
      <c r="W4" s="323" t="s">
        <v>0</v>
      </c>
      <c r="X4" s="321"/>
      <c r="Y4" s="323" t="s">
        <v>213</v>
      </c>
      <c r="Z4" s="68" t="s">
        <v>214</v>
      </c>
      <c r="AA4" s="68"/>
      <c r="AB4" s="321"/>
      <c r="AC4" s="71" t="s">
        <v>108</v>
      </c>
      <c r="AD4" s="324">
        <v>1</v>
      </c>
      <c r="AE4" s="71" t="s">
        <v>15</v>
      </c>
      <c r="AF4" s="79"/>
      <c r="AG4" s="3" t="s">
        <v>728</v>
      </c>
      <c r="AH4" s="322">
        <v>44</v>
      </c>
      <c r="AI4" s="71" t="s">
        <v>15</v>
      </c>
    </row>
    <row r="5" spans="2:35" ht="17.399999999999999" x14ac:dyDescent="0.25">
      <c r="B5" s="327" t="s">
        <v>75</v>
      </c>
      <c r="C5" s="329">
        <v>0.9</v>
      </c>
      <c r="D5" s="329"/>
      <c r="E5" s="329">
        <v>0.9</v>
      </c>
      <c r="F5" s="354"/>
      <c r="G5" s="389">
        <v>0.9</v>
      </c>
      <c r="H5" s="329">
        <v>0.9</v>
      </c>
      <c r="I5" s="329">
        <v>0.9</v>
      </c>
      <c r="J5" s="390">
        <v>0.9</v>
      </c>
      <c r="K5" s="369"/>
      <c r="L5" s="329"/>
      <c r="M5" s="327"/>
      <c r="N5" s="214"/>
      <c r="O5" s="327" t="s">
        <v>636</v>
      </c>
      <c r="Q5" s="323" t="s">
        <v>12</v>
      </c>
      <c r="R5" s="324">
        <v>36</v>
      </c>
      <c r="S5" s="323" t="s">
        <v>13</v>
      </c>
      <c r="T5" s="321"/>
      <c r="U5" s="323" t="s">
        <v>624</v>
      </c>
      <c r="V5" s="324">
        <v>5.2400000000000002E-2</v>
      </c>
      <c r="W5" s="323" t="s">
        <v>19</v>
      </c>
      <c r="X5" s="321"/>
      <c r="Y5" s="325" t="s">
        <v>215</v>
      </c>
      <c r="Z5" s="80">
        <v>1.75</v>
      </c>
      <c r="AA5" s="325" t="s">
        <v>216</v>
      </c>
      <c r="AB5" s="321"/>
      <c r="AC5" s="71" t="s">
        <v>109</v>
      </c>
      <c r="AD5" s="324">
        <v>1800</v>
      </c>
      <c r="AE5" s="71" t="s">
        <v>2</v>
      </c>
      <c r="AF5" s="79"/>
      <c r="AG5" s="3" t="s">
        <v>729</v>
      </c>
      <c r="AH5" s="322">
        <v>750</v>
      </c>
      <c r="AI5" s="3" t="s">
        <v>730</v>
      </c>
    </row>
    <row r="6" spans="2:35" ht="17.399999999999999" x14ac:dyDescent="0.25">
      <c r="B6" s="327" t="s">
        <v>66</v>
      </c>
      <c r="C6" s="224">
        <f t="shared" ref="C6" si="0">ROUND(C3*1000/(C4*0.9)/1.732/C5,1)</f>
        <v>390.2</v>
      </c>
      <c r="D6" s="224"/>
      <c r="E6" s="224">
        <f t="shared" ref="E6" si="1">ROUND(E3*1000/(E4*0.9)/1.732/E5,1)</f>
        <v>390.2</v>
      </c>
      <c r="F6" s="355"/>
      <c r="G6" s="391">
        <f t="shared" ref="G6:J6" si="2">ROUND(G3*1000/(G4*0.9)/1.732/G5,1)</f>
        <v>750.3</v>
      </c>
      <c r="H6" s="224">
        <f t="shared" si="2"/>
        <v>750.3</v>
      </c>
      <c r="I6" s="224">
        <f t="shared" si="2"/>
        <v>750.3</v>
      </c>
      <c r="J6" s="392">
        <f t="shared" si="2"/>
        <v>750.3</v>
      </c>
      <c r="K6" s="370"/>
      <c r="L6" s="224"/>
      <c r="M6" s="327" t="s">
        <v>2</v>
      </c>
      <c r="N6" s="214"/>
      <c r="O6" s="327" t="s">
        <v>345</v>
      </c>
      <c r="Q6" s="323" t="s">
        <v>14</v>
      </c>
      <c r="R6" s="324">
        <v>30</v>
      </c>
      <c r="S6" s="323" t="s">
        <v>13</v>
      </c>
      <c r="T6" s="321"/>
      <c r="U6" s="323" t="s">
        <v>21</v>
      </c>
      <c r="V6" s="324">
        <v>48</v>
      </c>
      <c r="W6" s="323" t="s">
        <v>22</v>
      </c>
      <c r="X6" s="321"/>
      <c r="Y6" s="325" t="s">
        <v>217</v>
      </c>
      <c r="Z6" s="81">
        <v>3.8999999999999998E-3</v>
      </c>
      <c r="AA6" s="325" t="s">
        <v>218</v>
      </c>
      <c r="AB6" s="321"/>
      <c r="AC6" s="71" t="s">
        <v>110</v>
      </c>
      <c r="AD6" s="324">
        <v>1236</v>
      </c>
      <c r="AE6" s="71" t="s">
        <v>27</v>
      </c>
      <c r="AF6" s="79"/>
      <c r="AG6" s="71" t="s">
        <v>108</v>
      </c>
      <c r="AH6" s="324">
        <v>1</v>
      </c>
      <c r="AI6" s="71" t="s">
        <v>15</v>
      </c>
    </row>
    <row r="7" spans="2:35" ht="17.399999999999999" x14ac:dyDescent="0.25">
      <c r="B7" s="327" t="s">
        <v>53</v>
      </c>
      <c r="C7" s="223">
        <v>2</v>
      </c>
      <c r="D7" s="223"/>
      <c r="E7" s="223">
        <v>2</v>
      </c>
      <c r="F7" s="356"/>
      <c r="G7" s="393">
        <v>2</v>
      </c>
      <c r="H7" s="223">
        <v>2</v>
      </c>
      <c r="I7" s="223">
        <v>2</v>
      </c>
      <c r="J7" s="394">
        <v>2</v>
      </c>
      <c r="K7" s="371"/>
      <c r="L7" s="223"/>
      <c r="M7" s="327" t="s">
        <v>76</v>
      </c>
      <c r="N7" s="214"/>
      <c r="O7" s="327"/>
      <c r="Q7" s="323" t="s">
        <v>99</v>
      </c>
      <c r="R7" s="73">
        <f>(R5*R4)*(R5*R4)/(101.6*(4.5*R5+10*R6))</f>
        <v>0.24849166581450047</v>
      </c>
      <c r="S7" s="323" t="s">
        <v>15</v>
      </c>
      <c r="T7" s="321"/>
      <c r="U7" s="323" t="s">
        <v>23</v>
      </c>
      <c r="V7" s="324">
        <v>200000</v>
      </c>
      <c r="W7" s="323" t="s">
        <v>24</v>
      </c>
      <c r="X7" s="321"/>
      <c r="Y7" s="325" t="s">
        <v>219</v>
      </c>
      <c r="Z7" s="82">
        <v>45</v>
      </c>
      <c r="AA7" s="325" t="s">
        <v>48</v>
      </c>
      <c r="AB7" s="321"/>
      <c r="AC7" s="71" t="s">
        <v>288</v>
      </c>
      <c r="AD7" s="324">
        <v>500</v>
      </c>
      <c r="AE7" s="71" t="s">
        <v>0</v>
      </c>
      <c r="AF7" s="79"/>
      <c r="AG7" s="71" t="s">
        <v>109</v>
      </c>
      <c r="AH7" s="324">
        <v>1800</v>
      </c>
      <c r="AI7" s="71" t="s">
        <v>2</v>
      </c>
    </row>
    <row r="8" spans="2:35" ht="17.399999999999999" x14ac:dyDescent="0.25">
      <c r="B8" s="327" t="s">
        <v>67</v>
      </c>
      <c r="C8" s="223">
        <f t="shared" ref="C8" si="3">ROUND(C6/C7,0)</f>
        <v>195</v>
      </c>
      <c r="D8" s="223"/>
      <c r="E8" s="223">
        <f t="shared" ref="E8" si="4">ROUND(E6/E7,0)</f>
        <v>195</v>
      </c>
      <c r="F8" s="356"/>
      <c r="G8" s="393">
        <f t="shared" ref="G8:J8" si="5">ROUND(G6/G7,0)</f>
        <v>375</v>
      </c>
      <c r="H8" s="223">
        <f t="shared" si="5"/>
        <v>375</v>
      </c>
      <c r="I8" s="223">
        <f t="shared" si="5"/>
        <v>375</v>
      </c>
      <c r="J8" s="394">
        <f t="shared" si="5"/>
        <v>375</v>
      </c>
      <c r="K8" s="371"/>
      <c r="L8" s="223"/>
      <c r="M8" s="327" t="s">
        <v>3</v>
      </c>
      <c r="N8" s="214"/>
      <c r="O8" s="327"/>
      <c r="Q8" s="323" t="s">
        <v>100</v>
      </c>
      <c r="R8" s="324">
        <v>60</v>
      </c>
      <c r="S8" s="323" t="s">
        <v>7</v>
      </c>
      <c r="T8" s="321"/>
      <c r="U8" s="323" t="s">
        <v>25</v>
      </c>
      <c r="V8" s="90">
        <f>(5000*V4)/(V5*V6*V7)</f>
        <v>4.9697837150127224</v>
      </c>
      <c r="W8" s="323" t="s">
        <v>244</v>
      </c>
      <c r="X8" s="321"/>
      <c r="Y8" s="325" t="s">
        <v>220</v>
      </c>
      <c r="Z8" s="81">
        <f>Z5*(1+Z6*(Z7-20))</f>
        <v>1.9206249999999998</v>
      </c>
      <c r="AA8" s="325" t="s">
        <v>216</v>
      </c>
      <c r="AB8" s="321"/>
      <c r="AC8" s="71" t="s">
        <v>287</v>
      </c>
      <c r="AD8" s="90">
        <f>SQRT(AD7^2+AD4*AD5^2/AD6)</f>
        <v>502.61452349022005</v>
      </c>
      <c r="AE8" s="71" t="s">
        <v>0</v>
      </c>
      <c r="AF8" s="79"/>
      <c r="AG8" s="71" t="s">
        <v>110</v>
      </c>
      <c r="AH8" s="324">
        <v>1236</v>
      </c>
      <c r="AI8" s="71" t="s">
        <v>27</v>
      </c>
    </row>
    <row r="9" spans="2:35" ht="17.399999999999999" x14ac:dyDescent="0.25">
      <c r="B9" s="327"/>
      <c r="C9" s="327"/>
      <c r="D9" s="327"/>
      <c r="E9" s="327"/>
      <c r="F9" s="357"/>
      <c r="G9" s="395"/>
      <c r="H9" s="327"/>
      <c r="I9" s="327"/>
      <c r="J9" s="396"/>
      <c r="K9" s="372"/>
      <c r="L9" s="327"/>
      <c r="M9" s="327"/>
      <c r="N9" s="214"/>
      <c r="O9" s="327"/>
      <c r="Q9" s="323" t="s">
        <v>97</v>
      </c>
      <c r="R9" s="73">
        <f>R7*R8/100</f>
        <v>0.14909499948870028</v>
      </c>
      <c r="S9" s="323" t="s">
        <v>15</v>
      </c>
      <c r="T9" s="321"/>
      <c r="U9" s="321"/>
      <c r="V9" s="321"/>
      <c r="W9" s="321"/>
      <c r="X9" s="321"/>
      <c r="Y9" s="325" t="s">
        <v>221</v>
      </c>
      <c r="Z9" s="83">
        <f>1/(Z8/100000000)</f>
        <v>52066384.64041654</v>
      </c>
      <c r="AA9" s="325" t="s">
        <v>222</v>
      </c>
      <c r="AB9" s="321"/>
      <c r="AC9" s="321"/>
      <c r="AD9" s="321"/>
      <c r="AE9" s="321"/>
      <c r="AF9" s="79"/>
      <c r="AG9" s="71" t="s">
        <v>288</v>
      </c>
      <c r="AH9" s="324">
        <v>500</v>
      </c>
      <c r="AI9" s="71" t="s">
        <v>0</v>
      </c>
    </row>
    <row r="10" spans="2:35" ht="17.399999999999999" x14ac:dyDescent="0.25">
      <c r="B10" s="327" t="s">
        <v>16</v>
      </c>
      <c r="C10" s="224">
        <f t="shared" ref="C10" si="6">ROUND(C4*2^0.5*0.93,1)</f>
        <v>499.8</v>
      </c>
      <c r="D10" s="224"/>
      <c r="E10" s="224">
        <f t="shared" ref="E10" si="7">ROUND(E4*2^0.5*0.93,1)</f>
        <v>499.8</v>
      </c>
      <c r="F10" s="355"/>
      <c r="G10" s="391">
        <f t="shared" ref="G10:J10" si="8">ROUND(G4*2^0.5*0.93,1)</f>
        <v>499.8</v>
      </c>
      <c r="H10" s="224">
        <f t="shared" si="8"/>
        <v>499.8</v>
      </c>
      <c r="I10" s="224">
        <f t="shared" si="8"/>
        <v>499.8</v>
      </c>
      <c r="J10" s="392">
        <f t="shared" si="8"/>
        <v>499.8</v>
      </c>
      <c r="K10" s="370"/>
      <c r="L10" s="224"/>
      <c r="M10" s="327" t="s">
        <v>0</v>
      </c>
      <c r="N10" s="214"/>
      <c r="O10" s="327" t="s">
        <v>344</v>
      </c>
      <c r="Q10" s="71" t="s">
        <v>96</v>
      </c>
      <c r="R10" s="324">
        <v>0.5</v>
      </c>
      <c r="S10" s="323" t="s">
        <v>15</v>
      </c>
      <c r="T10" s="321" t="s">
        <v>705</v>
      </c>
      <c r="U10" s="431" t="s">
        <v>670</v>
      </c>
      <c r="V10" s="431"/>
      <c r="W10" s="431"/>
      <c r="X10" s="321"/>
      <c r="Y10" s="325" t="s">
        <v>223</v>
      </c>
      <c r="Z10" s="68">
        <v>1</v>
      </c>
      <c r="AA10" s="325" t="s">
        <v>224</v>
      </c>
      <c r="AB10" s="321"/>
      <c r="AC10" s="430" t="s">
        <v>275</v>
      </c>
      <c r="AD10" s="430"/>
      <c r="AE10" s="430"/>
      <c r="AF10" s="79"/>
      <c r="AG10" s="71" t="s">
        <v>287</v>
      </c>
      <c r="AH10" s="90">
        <f>SQRT(AH9^2+(AH4*AH5^2+AH6*AH7^2)/AH8)</f>
        <v>522.1547960786736</v>
      </c>
      <c r="AI10" s="71" t="s">
        <v>0</v>
      </c>
    </row>
    <row r="11" spans="2:35" ht="17.399999999999999" x14ac:dyDescent="0.25">
      <c r="B11" s="327" t="s">
        <v>17</v>
      </c>
      <c r="C11" s="224">
        <f t="shared" ref="C11" si="9">ROUND(C3*1000/C10,1)</f>
        <v>416.2</v>
      </c>
      <c r="D11" s="224"/>
      <c r="E11" s="224">
        <f t="shared" ref="E11" si="10">ROUND(E3*1000/E10,1)</f>
        <v>416.2</v>
      </c>
      <c r="F11" s="355"/>
      <c r="G11" s="391">
        <f t="shared" ref="G11:J11" si="11">ROUND(G3*1000/G10,1)</f>
        <v>800.3</v>
      </c>
      <c r="H11" s="224">
        <f t="shared" si="11"/>
        <v>800.3</v>
      </c>
      <c r="I11" s="224">
        <f t="shared" si="11"/>
        <v>800.3</v>
      </c>
      <c r="J11" s="392">
        <f t="shared" si="11"/>
        <v>800.3</v>
      </c>
      <c r="K11" s="370"/>
      <c r="L11" s="224"/>
      <c r="M11" s="327" t="s">
        <v>2</v>
      </c>
      <c r="N11" s="214"/>
      <c r="O11" s="327" t="s">
        <v>346</v>
      </c>
      <c r="Q11" s="71" t="s">
        <v>285</v>
      </c>
      <c r="R11" s="324">
        <v>1</v>
      </c>
      <c r="S11" s="323" t="s">
        <v>42</v>
      </c>
      <c r="T11" s="321"/>
      <c r="U11" s="323" t="s">
        <v>26</v>
      </c>
      <c r="V11" s="324">
        <v>1.34</v>
      </c>
      <c r="W11" s="323" t="s">
        <v>27</v>
      </c>
      <c r="X11" s="321"/>
      <c r="Y11" s="325" t="s">
        <v>37</v>
      </c>
      <c r="Z11" s="84">
        <v>400000</v>
      </c>
      <c r="AA11" s="325" t="s">
        <v>225</v>
      </c>
      <c r="AB11" s="321"/>
      <c r="AC11" s="323" t="s">
        <v>110</v>
      </c>
      <c r="AD11" s="324">
        <v>1236</v>
      </c>
      <c r="AE11" s="323" t="s">
        <v>27</v>
      </c>
      <c r="AF11" s="79"/>
    </row>
    <row r="12" spans="2:35" ht="17.399999999999999" x14ac:dyDescent="0.25">
      <c r="B12" s="327"/>
      <c r="C12" s="327"/>
      <c r="D12" s="327"/>
      <c r="E12" s="327"/>
      <c r="F12" s="357"/>
      <c r="G12" s="395"/>
      <c r="H12" s="327"/>
      <c r="I12" s="327"/>
      <c r="J12" s="396"/>
      <c r="K12" s="372"/>
      <c r="L12" s="327"/>
      <c r="M12" s="327"/>
      <c r="N12" s="214"/>
      <c r="O12" s="327"/>
      <c r="Q12" s="71" t="s">
        <v>98</v>
      </c>
      <c r="R12" s="324">
        <v>1</v>
      </c>
      <c r="S12" s="323" t="s">
        <v>68</v>
      </c>
      <c r="T12" s="321"/>
      <c r="U12" s="323" t="s">
        <v>28</v>
      </c>
      <c r="V12" s="324">
        <v>3</v>
      </c>
      <c r="W12" s="323" t="s">
        <v>15</v>
      </c>
      <c r="X12" s="321"/>
      <c r="Y12" s="325" t="s">
        <v>256</v>
      </c>
      <c r="Z12" s="96">
        <f>503.3*SQRT((Z8/100000000)/(Z10*Z11))*1000</f>
        <v>0.1102854510017357</v>
      </c>
      <c r="AA12" s="325" t="s">
        <v>227</v>
      </c>
      <c r="AB12" s="321"/>
      <c r="AC12" s="323" t="s">
        <v>112</v>
      </c>
      <c r="AD12" s="324">
        <v>500</v>
      </c>
      <c r="AE12" s="323" t="s">
        <v>0</v>
      </c>
      <c r="AF12" s="79"/>
    </row>
    <row r="13" spans="2:35" ht="17.399999999999999" x14ac:dyDescent="0.25">
      <c r="B13" s="211" t="s">
        <v>241</v>
      </c>
      <c r="C13" s="327"/>
      <c r="D13" s="327"/>
      <c r="E13" s="327"/>
      <c r="F13" s="357"/>
      <c r="G13" s="395"/>
      <c r="H13" s="327"/>
      <c r="I13" s="327"/>
      <c r="J13" s="396"/>
      <c r="K13" s="372"/>
      <c r="L13" s="327"/>
      <c r="M13" s="327"/>
      <c r="N13" s="214"/>
      <c r="O13" s="327"/>
      <c r="Q13" s="71" t="s">
        <v>101</v>
      </c>
      <c r="R13" s="85">
        <v>1</v>
      </c>
      <c r="S13" s="323" t="s">
        <v>69</v>
      </c>
      <c r="T13" s="321"/>
      <c r="U13" s="323" t="s">
        <v>29</v>
      </c>
      <c r="V13" s="90">
        <f>1/(2*3.14*SQRT((V11/1000000)*(V12/1000000)))</f>
        <v>79419.533129588599</v>
      </c>
      <c r="W13" s="323" t="s">
        <v>30</v>
      </c>
      <c r="X13" s="321"/>
      <c r="Y13" s="325" t="s">
        <v>257</v>
      </c>
      <c r="Z13" s="326">
        <v>2000</v>
      </c>
      <c r="AA13" s="325" t="s">
        <v>227</v>
      </c>
      <c r="AB13" s="321"/>
      <c r="AC13" s="323" t="s">
        <v>109</v>
      </c>
      <c r="AD13" s="324">
        <v>1800</v>
      </c>
      <c r="AE13" s="323" t="s">
        <v>2</v>
      </c>
      <c r="AF13" s="79"/>
    </row>
    <row r="14" spans="2:35" ht="17.399999999999999" x14ac:dyDescent="0.25">
      <c r="B14" s="327" t="s">
        <v>77</v>
      </c>
      <c r="C14" s="328">
        <f>C15+C16</f>
        <v>0.66</v>
      </c>
      <c r="D14" s="328"/>
      <c r="E14" s="328">
        <f t="shared" ref="E14" si="12">E15+E16</f>
        <v>1.1600000000000001</v>
      </c>
      <c r="F14" s="353"/>
      <c r="G14" s="387">
        <f t="shared" ref="G14:J14" si="13">G15+G16</f>
        <v>1.1600000000000001</v>
      </c>
      <c r="H14" s="328">
        <f t="shared" si="13"/>
        <v>1.1600000000000001</v>
      </c>
      <c r="I14" s="328">
        <f t="shared" si="13"/>
        <v>1.1600000000000001</v>
      </c>
      <c r="J14" s="388">
        <f t="shared" si="13"/>
        <v>1.1600000000000001</v>
      </c>
      <c r="K14" s="368"/>
      <c r="L14" s="328"/>
      <c r="M14" s="327" t="s">
        <v>15</v>
      </c>
      <c r="N14" s="214">
        <v>3</v>
      </c>
      <c r="O14" s="345" t="s">
        <v>342</v>
      </c>
      <c r="Q14" s="71" t="s">
        <v>286</v>
      </c>
      <c r="R14" s="95">
        <f>R9/R12*R13*R11^2+R10</f>
        <v>0.64909499948870031</v>
      </c>
      <c r="S14" s="323" t="s">
        <v>15</v>
      </c>
      <c r="T14" s="321"/>
      <c r="U14" s="321"/>
      <c r="V14" s="321"/>
      <c r="W14" s="321"/>
      <c r="X14" s="321"/>
      <c r="Y14" s="325" t="s">
        <v>283</v>
      </c>
      <c r="Z14" s="326">
        <v>2</v>
      </c>
      <c r="AA14" s="325" t="s">
        <v>227</v>
      </c>
      <c r="AB14" s="321"/>
      <c r="AC14" s="323" t="s">
        <v>114</v>
      </c>
      <c r="AD14" s="324">
        <v>250000</v>
      </c>
      <c r="AE14" s="323" t="s">
        <v>24</v>
      </c>
      <c r="AF14" s="79"/>
    </row>
    <row r="15" spans="2:35" ht="17.399999999999999" x14ac:dyDescent="0.25">
      <c r="B15" s="327" t="s">
        <v>726</v>
      </c>
      <c r="C15" s="328">
        <v>0.66</v>
      </c>
      <c r="D15" s="328"/>
      <c r="E15" s="328">
        <v>0.66</v>
      </c>
      <c r="F15" s="353"/>
      <c r="G15" s="387">
        <v>0.66</v>
      </c>
      <c r="H15" s="328">
        <v>0.66</v>
      </c>
      <c r="I15" s="328">
        <v>0.66</v>
      </c>
      <c r="J15" s="388">
        <v>0.66</v>
      </c>
      <c r="K15" s="368"/>
      <c r="L15" s="328"/>
      <c r="M15" s="327"/>
      <c r="N15" s="214"/>
      <c r="O15" s="345"/>
      <c r="Q15" s="320"/>
      <c r="R15" s="319"/>
      <c r="S15" s="346"/>
      <c r="T15" s="321"/>
      <c r="U15" s="321"/>
      <c r="V15" s="321"/>
      <c r="W15" s="321"/>
      <c r="X15" s="321"/>
      <c r="Y15" s="325"/>
      <c r="Z15" s="326"/>
      <c r="AA15" s="325"/>
      <c r="AB15" s="321"/>
      <c r="AC15" s="323"/>
      <c r="AD15" s="324"/>
      <c r="AE15" s="323"/>
      <c r="AF15" s="79"/>
    </row>
    <row r="16" spans="2:35" ht="17.399999999999999" x14ac:dyDescent="0.25">
      <c r="B16" s="327" t="s">
        <v>727</v>
      </c>
      <c r="C16" s="328"/>
      <c r="D16" s="328"/>
      <c r="E16" s="328">
        <v>0.5</v>
      </c>
      <c r="F16" s="353"/>
      <c r="G16" s="387">
        <v>0.5</v>
      </c>
      <c r="H16" s="328">
        <v>0.5</v>
      </c>
      <c r="I16" s="328">
        <v>0.5</v>
      </c>
      <c r="J16" s="388">
        <v>0.5</v>
      </c>
      <c r="K16" s="368"/>
      <c r="L16" s="328"/>
      <c r="M16" s="327"/>
      <c r="N16" s="214"/>
      <c r="O16" s="345"/>
      <c r="Q16" s="320"/>
      <c r="R16" s="319"/>
      <c r="S16" s="346"/>
      <c r="T16" s="321"/>
      <c r="U16" s="321"/>
      <c r="V16" s="321"/>
      <c r="W16" s="321"/>
      <c r="X16" s="321"/>
      <c r="Y16" s="325"/>
      <c r="Z16" s="326"/>
      <c r="AA16" s="325"/>
      <c r="AB16" s="321"/>
      <c r="AC16" s="323"/>
      <c r="AD16" s="324"/>
      <c r="AE16" s="323"/>
      <c r="AF16" s="79"/>
    </row>
    <row r="17" spans="2:32" ht="17.399999999999999" x14ac:dyDescent="0.25">
      <c r="B17" s="327" t="s">
        <v>78</v>
      </c>
      <c r="C17" s="313">
        <v>0.65</v>
      </c>
      <c r="D17" s="313"/>
      <c r="E17" s="313">
        <v>0.33</v>
      </c>
      <c r="F17" s="358"/>
      <c r="G17" s="397">
        <v>0.33</v>
      </c>
      <c r="H17" s="313">
        <v>0.33</v>
      </c>
      <c r="I17" s="313">
        <v>0.33</v>
      </c>
      <c r="J17" s="398">
        <v>0.33</v>
      </c>
      <c r="K17" s="373"/>
      <c r="L17" s="313"/>
      <c r="M17" s="327" t="s">
        <v>27</v>
      </c>
      <c r="N17" s="214">
        <v>4</v>
      </c>
      <c r="O17" s="345" t="s">
        <v>347</v>
      </c>
      <c r="P17" s="3"/>
      <c r="Q17" s="321"/>
      <c r="R17" s="321"/>
      <c r="S17" s="321"/>
      <c r="T17" s="321"/>
      <c r="U17" s="431" t="s">
        <v>250</v>
      </c>
      <c r="V17" s="431"/>
      <c r="W17" s="431"/>
      <c r="X17" s="321"/>
      <c r="Y17" s="325" t="s">
        <v>281</v>
      </c>
      <c r="Z17" s="92">
        <f>MIN(Z12,Z14)</f>
        <v>0.1102854510017357</v>
      </c>
      <c r="AA17" s="325" t="s">
        <v>227</v>
      </c>
      <c r="AB17" s="321"/>
      <c r="AC17" s="323" t="s">
        <v>115</v>
      </c>
      <c r="AD17" s="73">
        <f>(1.414*AD13*0.421)/(2*3.14159*AD14*AD12*2*AD11*0.000001)*2*100</f>
        <v>0.11038143229495101</v>
      </c>
      <c r="AE17" s="323" t="s">
        <v>7</v>
      </c>
      <c r="AF17" s="79"/>
    </row>
    <row r="18" spans="2:32" ht="17.399999999999999" x14ac:dyDescent="0.25">
      <c r="B18" s="327" t="s">
        <v>79</v>
      </c>
      <c r="C18" s="225">
        <f>1000/(2*PI()*(C14*C17)^0.5)</f>
        <v>242.9917258108826</v>
      </c>
      <c r="D18" s="225"/>
      <c r="E18" s="225">
        <f>1000/(2*PI()*(E14*E17)^0.5)</f>
        <v>257.23743301685397</v>
      </c>
      <c r="F18" s="359"/>
      <c r="G18" s="399">
        <f>1000/(2*PI()*(G14*G17)^0.5)</f>
        <v>257.23743301685397</v>
      </c>
      <c r="H18" s="225">
        <f>1000/(2*PI()*(H14*H17)^0.5)</f>
        <v>257.23743301685397</v>
      </c>
      <c r="I18" s="225">
        <f>1000/(2*PI()*(I14*I17)^0.5)</f>
        <v>257.23743301685397</v>
      </c>
      <c r="J18" s="400">
        <f>1000/(2*PI()*(J14*J17)^0.5)</f>
        <v>257.23743301685397</v>
      </c>
      <c r="K18" s="374"/>
      <c r="L18" s="225"/>
      <c r="M18" s="327" t="s">
        <v>4</v>
      </c>
      <c r="N18" s="214"/>
      <c r="O18" s="327" t="s">
        <v>249</v>
      </c>
      <c r="Q18" s="430" t="s">
        <v>228</v>
      </c>
      <c r="R18" s="430"/>
      <c r="S18" s="430"/>
      <c r="T18" s="321"/>
      <c r="U18" s="323" t="s">
        <v>31</v>
      </c>
      <c r="V18" s="324">
        <v>1.34</v>
      </c>
      <c r="W18" s="323" t="s">
        <v>32</v>
      </c>
      <c r="X18" s="321"/>
      <c r="Y18" s="325" t="s">
        <v>279</v>
      </c>
      <c r="Z18" s="326">
        <v>200</v>
      </c>
      <c r="AA18" s="325" t="s">
        <v>227</v>
      </c>
      <c r="AB18" s="321"/>
      <c r="AC18" s="323" t="s">
        <v>111</v>
      </c>
      <c r="AD18" s="90">
        <f>AD12*AD17/100</f>
        <v>0.55190716147475505</v>
      </c>
      <c r="AE18" s="323" t="s">
        <v>0</v>
      </c>
      <c r="AF18" s="79"/>
    </row>
    <row r="19" spans="2:32" ht="17.399999999999999" x14ac:dyDescent="0.25">
      <c r="B19" s="327" t="s">
        <v>80</v>
      </c>
      <c r="C19" s="328">
        <v>30</v>
      </c>
      <c r="D19" s="328"/>
      <c r="E19" s="328">
        <v>30</v>
      </c>
      <c r="F19" s="353"/>
      <c r="G19" s="387">
        <v>30</v>
      </c>
      <c r="H19" s="328">
        <v>30</v>
      </c>
      <c r="I19" s="328">
        <v>30</v>
      </c>
      <c r="J19" s="388">
        <v>30</v>
      </c>
      <c r="K19" s="368"/>
      <c r="L19" s="328"/>
      <c r="M19" s="327" t="s">
        <v>81</v>
      </c>
      <c r="N19" s="214">
        <v>6</v>
      </c>
      <c r="O19" s="345" t="s">
        <v>276</v>
      </c>
      <c r="Q19" s="86" t="s">
        <v>233</v>
      </c>
      <c r="R19" s="87">
        <v>0.66</v>
      </c>
      <c r="S19" s="86" t="s">
        <v>27</v>
      </c>
      <c r="T19" s="321"/>
      <c r="U19" s="323" t="s">
        <v>33</v>
      </c>
      <c r="V19" s="324">
        <v>80</v>
      </c>
      <c r="W19" s="323" t="s">
        <v>4</v>
      </c>
      <c r="X19" s="321"/>
      <c r="Y19" s="325" t="s">
        <v>278</v>
      </c>
      <c r="Z19" s="92">
        <f>Z17*Z18</f>
        <v>22.05709020034714</v>
      </c>
      <c r="AA19" s="325" t="s">
        <v>253</v>
      </c>
      <c r="AB19" s="321"/>
      <c r="AC19" s="323" t="s">
        <v>113</v>
      </c>
      <c r="AD19" s="90">
        <f>2*3.14159*AD14*AD11*0.000001*AD18</f>
        <v>1071.5291999999999</v>
      </c>
      <c r="AE19" s="323" t="s">
        <v>2</v>
      </c>
      <c r="AF19" s="79"/>
    </row>
    <row r="20" spans="2:32" ht="17.399999999999999" x14ac:dyDescent="0.25">
      <c r="B20" s="327" t="s">
        <v>82</v>
      </c>
      <c r="C20" s="223">
        <f t="shared" ref="C20" si="14">ROUNDUP(TAN(PI()*C19/180),3)</f>
        <v>0.57799999999999996</v>
      </c>
      <c r="D20" s="223"/>
      <c r="E20" s="223">
        <f t="shared" ref="E20" si="15">ROUNDUP(TAN(PI()*E19/180),3)</f>
        <v>0.57799999999999996</v>
      </c>
      <c r="F20" s="356"/>
      <c r="G20" s="393">
        <f t="shared" ref="G20:J20" si="16">ROUNDUP(TAN(PI()*G19/180),3)</f>
        <v>0.57799999999999996</v>
      </c>
      <c r="H20" s="223">
        <f t="shared" si="16"/>
        <v>0.57799999999999996</v>
      </c>
      <c r="I20" s="223">
        <f t="shared" si="16"/>
        <v>0.57799999999999996</v>
      </c>
      <c r="J20" s="394">
        <f t="shared" si="16"/>
        <v>0.57799999999999996</v>
      </c>
      <c r="K20" s="371"/>
      <c r="L20" s="223"/>
      <c r="M20" s="327"/>
      <c r="N20" s="214"/>
      <c r="O20" s="327"/>
      <c r="Q20" s="86" t="s">
        <v>229</v>
      </c>
      <c r="R20" s="87">
        <v>1</v>
      </c>
      <c r="S20" s="86" t="s">
        <v>236</v>
      </c>
      <c r="T20" s="321"/>
      <c r="U20" s="323" t="s">
        <v>34</v>
      </c>
      <c r="V20" s="324">
        <v>650</v>
      </c>
      <c r="W20" s="323" t="s">
        <v>2</v>
      </c>
      <c r="X20" s="321"/>
      <c r="Y20" s="325" t="s">
        <v>258</v>
      </c>
      <c r="Z20" s="326">
        <v>850</v>
      </c>
      <c r="AA20" s="69" t="s">
        <v>254</v>
      </c>
      <c r="AB20" s="321"/>
      <c r="AC20" s="321"/>
      <c r="AD20" s="321"/>
      <c r="AE20" s="321"/>
      <c r="AF20" s="79"/>
    </row>
    <row r="21" spans="2:32" ht="17.399999999999999" x14ac:dyDescent="0.25">
      <c r="B21" s="327"/>
      <c r="C21" s="327"/>
      <c r="D21" s="327"/>
      <c r="E21" s="327"/>
      <c r="F21" s="357"/>
      <c r="G21" s="395"/>
      <c r="H21" s="327"/>
      <c r="I21" s="327"/>
      <c r="J21" s="396"/>
      <c r="K21" s="372"/>
      <c r="L21" s="327"/>
      <c r="M21" s="327"/>
      <c r="N21" s="214"/>
      <c r="O21" s="327"/>
      <c r="Q21" s="86" t="s">
        <v>231</v>
      </c>
      <c r="R21" s="87">
        <v>700</v>
      </c>
      <c r="S21" s="86" t="s">
        <v>0</v>
      </c>
      <c r="T21" s="321"/>
      <c r="U21" s="323" t="s">
        <v>35</v>
      </c>
      <c r="V21" s="90">
        <f>(V20)/(2*3.14*V19*1000*(V18/1000000))</f>
        <v>965.51478277402771</v>
      </c>
      <c r="W21" s="323" t="s">
        <v>0</v>
      </c>
      <c r="X21" s="321"/>
      <c r="Y21" s="325" t="s">
        <v>649</v>
      </c>
      <c r="Z21" s="93">
        <f>Z20/Z19</f>
        <v>38.536361427520596</v>
      </c>
      <c r="AA21" s="69" t="s">
        <v>254</v>
      </c>
      <c r="AB21" s="321"/>
      <c r="AC21" s="430" t="s">
        <v>644</v>
      </c>
      <c r="AD21" s="430"/>
      <c r="AE21" s="430"/>
      <c r="AF21" s="79"/>
    </row>
    <row r="22" spans="2:32" ht="17.399999999999999" x14ac:dyDescent="0.25">
      <c r="B22" s="327" t="s">
        <v>41</v>
      </c>
      <c r="C22" s="330">
        <v>6.3</v>
      </c>
      <c r="D22" s="330"/>
      <c r="E22" s="330">
        <f>SQRT(E18/C18)*C22*E14/E15</f>
        <v>11.392681178177622</v>
      </c>
      <c r="F22" s="360"/>
      <c r="G22" s="401">
        <v>9</v>
      </c>
      <c r="H22" s="330">
        <v>11</v>
      </c>
      <c r="I22" s="330">
        <v>13</v>
      </c>
      <c r="J22" s="402">
        <v>15</v>
      </c>
      <c r="K22" s="375"/>
      <c r="L22" s="330"/>
      <c r="M22" s="327"/>
      <c r="N22" s="214">
        <v>5</v>
      </c>
      <c r="O22" s="345" t="s">
        <v>343</v>
      </c>
      <c r="Q22" s="86" t="s">
        <v>232</v>
      </c>
      <c r="R22" s="87">
        <v>550</v>
      </c>
      <c r="S22" s="86" t="s">
        <v>2</v>
      </c>
      <c r="T22" s="321"/>
      <c r="U22" s="321"/>
      <c r="V22" s="321"/>
      <c r="W22" s="321"/>
      <c r="X22" s="321"/>
      <c r="Y22" s="325" t="s">
        <v>259</v>
      </c>
      <c r="Z22" s="314">
        <f>Z8/100000000/(Z19/1000000)*Z13/1000</f>
        <v>1.7415035098054523E-3</v>
      </c>
      <c r="AA22" s="69" t="s">
        <v>255</v>
      </c>
      <c r="AB22" s="321"/>
      <c r="AC22" s="278" t="s">
        <v>638</v>
      </c>
      <c r="AD22" s="327">
        <v>0.9133</v>
      </c>
      <c r="AE22" s="327" t="s">
        <v>637</v>
      </c>
      <c r="AF22" s="79"/>
    </row>
    <row r="23" spans="2:32" ht="17.399999999999999" x14ac:dyDescent="0.25">
      <c r="B23" s="327" t="s">
        <v>83</v>
      </c>
      <c r="C23" s="226">
        <f t="shared" ref="C23" si="17">C18*((C20/C22)+(((C20/C22)^2+4)^0.5))/2</f>
        <v>254.39402256953764</v>
      </c>
      <c r="D23" s="226"/>
      <c r="E23" s="226">
        <f t="shared" ref="E23" si="18">E18*((E20/E22)+(((E20/E22)^2+4)^0.5))/2</f>
        <v>263.84556882738269</v>
      </c>
      <c r="F23" s="361"/>
      <c r="G23" s="403">
        <f t="shared" ref="G23:J23" si="19">G18*((G20/G22)+(((G20/G22)^2+4)^0.5))/2</f>
        <v>265.63020041622769</v>
      </c>
      <c r="H23" s="226">
        <f t="shared" si="19"/>
        <v>264.08452649020751</v>
      </c>
      <c r="I23" s="226">
        <f t="shared" si="19"/>
        <v>263.01957545919458</v>
      </c>
      <c r="J23" s="404">
        <f t="shared" si="19"/>
        <v>262.24128030232623</v>
      </c>
      <c r="K23" s="376"/>
      <c r="L23" s="226"/>
      <c r="M23" s="327" t="s">
        <v>4</v>
      </c>
      <c r="N23" s="214"/>
      <c r="O23" s="216" t="s">
        <v>274</v>
      </c>
      <c r="Q23" s="86" t="s">
        <v>230</v>
      </c>
      <c r="R23" s="87">
        <v>1</v>
      </c>
      <c r="S23" s="86" t="s">
        <v>236</v>
      </c>
      <c r="T23" s="321"/>
      <c r="U23" s="431" t="s">
        <v>251</v>
      </c>
      <c r="V23" s="431"/>
      <c r="W23" s="431"/>
      <c r="X23" s="321"/>
      <c r="Y23" s="321"/>
      <c r="Z23" s="321"/>
      <c r="AA23" s="321"/>
      <c r="AB23" s="321"/>
      <c r="AC23" s="86" t="s">
        <v>639</v>
      </c>
      <c r="AD23" s="328">
        <v>3</v>
      </c>
      <c r="AE23" s="327" t="s">
        <v>380</v>
      </c>
      <c r="AF23" s="79"/>
    </row>
    <row r="24" spans="2:32" ht="17.399999999999999" x14ac:dyDescent="0.25">
      <c r="B24" s="327" t="s">
        <v>364</v>
      </c>
      <c r="C24" s="227">
        <f>2*PI()*C18*C14</f>
        <v>1007.6629473115579</v>
      </c>
      <c r="D24" s="227"/>
      <c r="E24" s="227">
        <f>2*PI()*E18*E14</f>
        <v>1874.8737331221844</v>
      </c>
      <c r="F24" s="362"/>
      <c r="G24" s="405">
        <f>2*PI()*G18*G14</f>
        <v>1874.8737331221844</v>
      </c>
      <c r="H24" s="227">
        <f>2*PI()*H18*H14</f>
        <v>1874.8737331221844</v>
      </c>
      <c r="I24" s="227">
        <f>2*PI()*I18*I14</f>
        <v>1874.8737331221844</v>
      </c>
      <c r="J24" s="406">
        <f>2*PI()*J18*J14</f>
        <v>1874.8737331221844</v>
      </c>
      <c r="K24" s="377"/>
      <c r="L24" s="227"/>
      <c r="M24" s="327" t="s">
        <v>85</v>
      </c>
      <c r="N24" s="214"/>
      <c r="O24" s="327"/>
      <c r="Q24" s="86" t="s">
        <v>237</v>
      </c>
      <c r="R24" s="87">
        <v>8</v>
      </c>
      <c r="S24" s="86" t="s">
        <v>69</v>
      </c>
      <c r="T24" s="321"/>
      <c r="U24" s="71" t="s">
        <v>154</v>
      </c>
      <c r="V24" s="324">
        <v>500</v>
      </c>
      <c r="W24" s="323" t="s">
        <v>155</v>
      </c>
      <c r="X24" s="321"/>
      <c r="Y24" s="431" t="s">
        <v>647</v>
      </c>
      <c r="Z24" s="431"/>
      <c r="AA24" s="431"/>
      <c r="AB24" s="321"/>
      <c r="AC24" s="86" t="s">
        <v>640</v>
      </c>
      <c r="AD24" s="277">
        <f>AD22*AD23</f>
        <v>2.7399</v>
      </c>
      <c r="AE24" s="327" t="s">
        <v>637</v>
      </c>
      <c r="AF24" s="79"/>
    </row>
    <row r="25" spans="2:32" ht="17.399999999999999" x14ac:dyDescent="0.25">
      <c r="B25" s="327" t="s">
        <v>84</v>
      </c>
      <c r="C25" s="227">
        <f>2*PI()*C23*C14</f>
        <v>1054.9471579965325</v>
      </c>
      <c r="D25" s="227"/>
      <c r="E25" s="227">
        <f>2*PI()*E23*E14</f>
        <v>1923.0370976479558</v>
      </c>
      <c r="F25" s="362"/>
      <c r="G25" s="405">
        <f>2*PI()*G23*G14</f>
        <v>1936.0443759821567</v>
      </c>
      <c r="H25" s="227">
        <f>2*PI()*H23*H14</f>
        <v>1924.7787393682304</v>
      </c>
      <c r="I25" s="227">
        <f>2*PI()*I23*I14</f>
        <v>1917.016849149956</v>
      </c>
      <c r="J25" s="406">
        <f>2*PI()*J23*J14</f>
        <v>1911.3442488245862</v>
      </c>
      <c r="K25" s="377"/>
      <c r="L25" s="227"/>
      <c r="M25" s="327" t="s">
        <v>85</v>
      </c>
      <c r="N25" s="214"/>
      <c r="O25" s="327"/>
      <c r="Q25" s="86" t="s">
        <v>238</v>
      </c>
      <c r="R25" s="87">
        <v>4</v>
      </c>
      <c r="S25" s="86" t="s">
        <v>68</v>
      </c>
      <c r="T25" s="321"/>
      <c r="U25" s="71" t="s">
        <v>289</v>
      </c>
      <c r="V25" s="324">
        <v>2.2000000000000002</v>
      </c>
      <c r="W25" s="323" t="s">
        <v>156</v>
      </c>
      <c r="X25" s="321"/>
      <c r="Y25" s="323" t="s">
        <v>213</v>
      </c>
      <c r="Z25" s="68" t="s">
        <v>214</v>
      </c>
      <c r="AA25" s="68"/>
      <c r="AB25" s="321"/>
      <c r="AC25" s="86"/>
      <c r="AD25" s="327"/>
      <c r="AE25" s="327"/>
      <c r="AF25" s="79"/>
    </row>
    <row r="26" spans="2:32" ht="17.399999999999999" x14ac:dyDescent="0.25">
      <c r="B26" s="327" t="s">
        <v>86</v>
      </c>
      <c r="C26" s="227">
        <f t="shared" ref="C26" si="20">1000000/(2*PI()*C23*C17)</f>
        <v>962.49808124318656</v>
      </c>
      <c r="D26" s="227"/>
      <c r="E26" s="227">
        <f t="shared" ref="E26" si="21">1000000/(2*PI()*E23*E17)</f>
        <v>1827.9166426122806</v>
      </c>
      <c r="F26" s="362"/>
      <c r="G26" s="405">
        <f t="shared" ref="G26:J26" si="22">1000000/(2*PI()*G23*G17)</f>
        <v>1815.6358184549754</v>
      </c>
      <c r="H26" s="227">
        <f t="shared" si="22"/>
        <v>1826.2626468459916</v>
      </c>
      <c r="I26" s="227">
        <f t="shared" si="22"/>
        <v>1833.6570785542156</v>
      </c>
      <c r="J26" s="406">
        <f t="shared" si="22"/>
        <v>1839.099114308277</v>
      </c>
      <c r="K26" s="377"/>
      <c r="L26" s="227"/>
      <c r="M26" s="327" t="s">
        <v>85</v>
      </c>
      <c r="N26" s="214"/>
      <c r="O26" s="327"/>
      <c r="Q26" s="86" t="s">
        <v>265</v>
      </c>
      <c r="R26" s="94">
        <f>R19*(R23/R20)*R25/R24</f>
        <v>0.33</v>
      </c>
      <c r="S26" s="86" t="s">
        <v>27</v>
      </c>
      <c r="T26" s="321"/>
      <c r="U26" s="71" t="s">
        <v>159</v>
      </c>
      <c r="V26" s="324">
        <v>22</v>
      </c>
      <c r="W26" s="323" t="s">
        <v>160</v>
      </c>
      <c r="X26" s="321"/>
      <c r="Y26" s="325" t="s">
        <v>215</v>
      </c>
      <c r="Z26" s="80">
        <v>1.75</v>
      </c>
      <c r="AA26" s="325" t="s">
        <v>216</v>
      </c>
      <c r="AB26" s="321"/>
      <c r="AC26" s="278" t="s">
        <v>641</v>
      </c>
      <c r="AD26" s="327">
        <v>0.48</v>
      </c>
      <c r="AE26" s="327" t="s">
        <v>637</v>
      </c>
      <c r="AF26" s="79"/>
    </row>
    <row r="27" spans="2:32" ht="17.399999999999999" x14ac:dyDescent="0.25">
      <c r="B27" s="327" t="s">
        <v>70</v>
      </c>
      <c r="C27" s="228">
        <f t="shared" ref="C27" si="23">C24/C22</f>
        <v>159.94649957326317</v>
      </c>
      <c r="D27" s="228"/>
      <c r="E27" s="228">
        <f t="shared" ref="E27" si="24">E24/E22</f>
        <v>164.56826130739577</v>
      </c>
      <c r="F27" s="363"/>
      <c r="G27" s="407">
        <f t="shared" ref="G27:J27" si="25">G24/G22</f>
        <v>208.31930368024271</v>
      </c>
      <c r="H27" s="228">
        <f t="shared" si="25"/>
        <v>170.44306664747131</v>
      </c>
      <c r="I27" s="228">
        <f t="shared" si="25"/>
        <v>144.22105639401417</v>
      </c>
      <c r="J27" s="408">
        <f t="shared" si="25"/>
        <v>124.99158220814563</v>
      </c>
      <c r="K27" s="378"/>
      <c r="L27" s="228"/>
      <c r="M27" s="327" t="s">
        <v>85</v>
      </c>
      <c r="N27" s="214"/>
      <c r="O27" s="327"/>
      <c r="Q27" s="86" t="s">
        <v>234</v>
      </c>
      <c r="R27" s="88">
        <f>R21*R24</f>
        <v>5600</v>
      </c>
      <c r="S27" s="86" t="s">
        <v>0</v>
      </c>
      <c r="T27" s="321"/>
      <c r="U27" s="71" t="s">
        <v>163</v>
      </c>
      <c r="V27" s="324">
        <v>4</v>
      </c>
      <c r="W27" s="323"/>
      <c r="X27" s="321"/>
      <c r="Y27" s="325" t="s">
        <v>217</v>
      </c>
      <c r="Z27" s="81">
        <v>3.8999999999999998E-3</v>
      </c>
      <c r="AA27" s="325" t="s">
        <v>218</v>
      </c>
      <c r="AB27" s="321"/>
      <c r="AC27" s="86" t="s">
        <v>642</v>
      </c>
      <c r="AD27" s="328">
        <v>5</v>
      </c>
      <c r="AE27" s="327" t="s">
        <v>380</v>
      </c>
      <c r="AF27" s="79"/>
    </row>
    <row r="28" spans="2:32" ht="17.399999999999999" x14ac:dyDescent="0.25">
      <c r="B28" s="327" t="s">
        <v>87</v>
      </c>
      <c r="C28" s="227">
        <f t="shared" ref="C28" si="26">(C27^2+(C25-C26)^2)^0.5</f>
        <v>184.7422921755761</v>
      </c>
      <c r="D28" s="227"/>
      <c r="E28" s="227">
        <f t="shared" ref="E28" si="27">(E27^2+(E25-E26)^2)^0.5</f>
        <v>190.08054502219105</v>
      </c>
      <c r="F28" s="362"/>
      <c r="G28" s="405">
        <f t="shared" ref="G28:J28" si="28">(G27^2+(G25-G26)^2)^0.5</f>
        <v>240.61411640134023</v>
      </c>
      <c r="H28" s="227">
        <f t="shared" si="28"/>
        <v>196.86609523745994</v>
      </c>
      <c r="I28" s="227">
        <f t="shared" si="28"/>
        <v>166.57900366246608</v>
      </c>
      <c r="J28" s="406">
        <f t="shared" si="28"/>
        <v>144.36846984080438</v>
      </c>
      <c r="K28" s="377"/>
      <c r="L28" s="227"/>
      <c r="M28" s="327" t="s">
        <v>85</v>
      </c>
      <c r="N28" s="214"/>
      <c r="O28" s="327"/>
      <c r="Q28" s="86" t="s">
        <v>235</v>
      </c>
      <c r="R28" s="88">
        <f>R22*(R23/R20)*R25</f>
        <v>2200</v>
      </c>
      <c r="S28" s="86" t="s">
        <v>2</v>
      </c>
      <c r="T28" s="321"/>
      <c r="U28" s="71" t="s">
        <v>166</v>
      </c>
      <c r="V28" s="73">
        <f>V25*V26*V27*2</f>
        <v>387.20000000000005</v>
      </c>
      <c r="W28" s="323" t="s">
        <v>156</v>
      </c>
      <c r="X28" s="321"/>
      <c r="Y28" s="325" t="s">
        <v>219</v>
      </c>
      <c r="Z28" s="82">
        <v>45</v>
      </c>
      <c r="AA28" s="325" t="s">
        <v>48</v>
      </c>
      <c r="AB28" s="321"/>
      <c r="AC28" s="86" t="s">
        <v>643</v>
      </c>
      <c r="AD28" s="277">
        <f>AD26*AD27</f>
        <v>2.4</v>
      </c>
      <c r="AE28" s="327" t="s">
        <v>637</v>
      </c>
      <c r="AF28" s="79"/>
    </row>
    <row r="29" spans="2:32" ht="17.399999999999999" x14ac:dyDescent="0.25">
      <c r="B29" s="327"/>
      <c r="C29" s="229"/>
      <c r="D29" s="229"/>
      <c r="E29" s="229"/>
      <c r="F29" s="364"/>
      <c r="G29" s="409"/>
      <c r="H29" s="229"/>
      <c r="I29" s="229"/>
      <c r="J29" s="410"/>
      <c r="K29" s="379"/>
      <c r="L29" s="229"/>
      <c r="M29" s="327"/>
      <c r="N29" s="214"/>
      <c r="O29" s="327"/>
      <c r="Q29" s="86" t="s">
        <v>47</v>
      </c>
      <c r="R29" s="88">
        <f>R27*R28/1000</f>
        <v>12320</v>
      </c>
      <c r="S29" s="86" t="s">
        <v>47</v>
      </c>
      <c r="T29" s="321"/>
      <c r="U29" s="71" t="s">
        <v>169</v>
      </c>
      <c r="V29" s="324">
        <v>1.5</v>
      </c>
      <c r="W29" s="323" t="s">
        <v>170</v>
      </c>
      <c r="X29" s="321"/>
      <c r="Y29" s="325" t="s">
        <v>220</v>
      </c>
      <c r="Z29" s="81">
        <f>Z26*(1+Z27*(Z28-20))</f>
        <v>1.9206249999999998</v>
      </c>
      <c r="AA29" s="325" t="s">
        <v>216</v>
      </c>
      <c r="AB29" s="321"/>
      <c r="AC29" s="86"/>
      <c r="AD29" s="327"/>
      <c r="AE29" s="327"/>
      <c r="AF29" s="79"/>
    </row>
    <row r="30" spans="2:32" ht="17.399999999999999" x14ac:dyDescent="0.25">
      <c r="B30" s="327" t="s">
        <v>107</v>
      </c>
      <c r="C30" s="230">
        <f>(C3*1000000/C27)^0.5</f>
        <v>1140.366097517287</v>
      </c>
      <c r="D30" s="230"/>
      <c r="E30" s="230">
        <f>(E3*1000000/E27)^0.5</f>
        <v>1124.2389486074574</v>
      </c>
      <c r="F30" s="365"/>
      <c r="G30" s="411">
        <f>(G3*1000000/G27)^0.5</f>
        <v>1385.6873045498578</v>
      </c>
      <c r="H30" s="230">
        <f>(H3*1000000/H27)^0.5</f>
        <v>1531.934955316937</v>
      </c>
      <c r="I30" s="230">
        <f>(I3*1000000/I27)^0.5</f>
        <v>1665.3888761046658</v>
      </c>
      <c r="J30" s="412">
        <f>(J3*1000000/J27)^0.5</f>
        <v>1788.9146178575481</v>
      </c>
      <c r="K30" s="380"/>
      <c r="L30" s="230"/>
      <c r="M30" s="327" t="s">
        <v>2</v>
      </c>
      <c r="N30" s="214"/>
      <c r="O30" s="216" t="s">
        <v>273</v>
      </c>
      <c r="Q30" s="321"/>
      <c r="R30" s="321"/>
      <c r="S30" s="321"/>
      <c r="T30" s="321"/>
      <c r="U30" s="71" t="s">
        <v>171</v>
      </c>
      <c r="V30" s="324">
        <v>250</v>
      </c>
      <c r="W30" s="323" t="s">
        <v>172</v>
      </c>
      <c r="X30" s="321"/>
      <c r="Y30" s="325" t="s">
        <v>221</v>
      </c>
      <c r="Z30" s="83">
        <f>1/(Z29/100000000)</f>
        <v>52066384.64041654</v>
      </c>
      <c r="AA30" s="325" t="s">
        <v>222</v>
      </c>
      <c r="AB30" s="321"/>
      <c r="AC30" s="278" t="s">
        <v>641</v>
      </c>
      <c r="AD30" s="327">
        <v>0.4133</v>
      </c>
      <c r="AE30" s="327" t="s">
        <v>637</v>
      </c>
      <c r="AF30" s="79"/>
    </row>
    <row r="31" spans="2:32" ht="17.399999999999999" x14ac:dyDescent="0.25">
      <c r="B31" s="327" t="s">
        <v>105</v>
      </c>
      <c r="C31" s="227">
        <f t="shared" ref="C31" si="29">C30*C27/1000</f>
        <v>182.39756552991253</v>
      </c>
      <c r="D31" s="227"/>
      <c r="E31" s="227">
        <f t="shared" ref="E31" si="30">E30*E27/1000</f>
        <v>185.0140490663839</v>
      </c>
      <c r="F31" s="362"/>
      <c r="G31" s="405">
        <f t="shared" ref="G31:J31" si="31">G30*G27/1000</f>
        <v>288.66541440237876</v>
      </c>
      <c r="H31" s="227">
        <f t="shared" si="31"/>
        <v>261.10769168867569</v>
      </c>
      <c r="I31" s="227">
        <f t="shared" si="31"/>
        <v>240.18414301865488</v>
      </c>
      <c r="J31" s="406">
        <f t="shared" si="31"/>
        <v>223.59926852129516</v>
      </c>
      <c r="K31" s="377"/>
      <c r="L31" s="227"/>
      <c r="M31" s="327" t="s">
        <v>0</v>
      </c>
      <c r="N31" s="214"/>
      <c r="O31" s="327"/>
      <c r="Q31" s="430" t="s">
        <v>239</v>
      </c>
      <c r="R31" s="430"/>
      <c r="S31" s="430"/>
      <c r="T31" s="321"/>
      <c r="U31" s="71" t="s">
        <v>173</v>
      </c>
      <c r="V31" s="324">
        <v>1</v>
      </c>
      <c r="W31" s="323" t="s">
        <v>174</v>
      </c>
      <c r="X31" s="321"/>
      <c r="Y31" s="325" t="s">
        <v>223</v>
      </c>
      <c r="Z31" s="68">
        <v>1</v>
      </c>
      <c r="AA31" s="325" t="s">
        <v>224</v>
      </c>
      <c r="AB31" s="321"/>
      <c r="AC31" s="86" t="s">
        <v>642</v>
      </c>
      <c r="AD31" s="328">
        <v>1.25</v>
      </c>
      <c r="AE31" s="327" t="s">
        <v>380</v>
      </c>
      <c r="AF31" s="79"/>
    </row>
    <row r="32" spans="2:32" ht="17.399999999999999" x14ac:dyDescent="0.25">
      <c r="B32" s="327" t="s">
        <v>360</v>
      </c>
      <c r="C32" s="230">
        <f t="shared" ref="C32" si="32">C30/(2*3.14159*C23*1000*C17/1000000)</f>
        <v>1097.6011078791635</v>
      </c>
      <c r="D32" s="230"/>
      <c r="E32" s="230">
        <f t="shared" ref="E32" si="33">E30/(2*3.14159*E23*1000*E17/1000000)</f>
        <v>2055.0168202309542</v>
      </c>
      <c r="F32" s="365"/>
      <c r="G32" s="411">
        <f t="shared" ref="G32:J32" si="34">G30/(2*3.14159*G23*1000*G17/1000000)</f>
        <v>2515.9056284136227</v>
      </c>
      <c r="H32" s="230">
        <f t="shared" si="34"/>
        <v>2797.7179494242614</v>
      </c>
      <c r="I32" s="230">
        <f t="shared" si="34"/>
        <v>3053.7546806110017</v>
      </c>
      <c r="J32" s="412">
        <f t="shared" si="34"/>
        <v>3289.9940682140518</v>
      </c>
      <c r="K32" s="380"/>
      <c r="L32" s="230"/>
      <c r="M32" s="327" t="s">
        <v>0</v>
      </c>
      <c r="N32" s="214"/>
      <c r="O32" s="216" t="s">
        <v>73</v>
      </c>
      <c r="Q32" s="71" t="s">
        <v>37</v>
      </c>
      <c r="R32" s="324">
        <v>19970</v>
      </c>
      <c r="S32" s="71" t="s">
        <v>24</v>
      </c>
      <c r="T32" s="321"/>
      <c r="U32" s="71" t="s">
        <v>175</v>
      </c>
      <c r="V32" s="73">
        <f>V30*V31</f>
        <v>250</v>
      </c>
      <c r="W32" s="323" t="s">
        <v>172</v>
      </c>
      <c r="X32" s="321"/>
      <c r="Y32" s="325" t="s">
        <v>37</v>
      </c>
      <c r="Z32" s="84">
        <v>3000</v>
      </c>
      <c r="AA32" s="325" t="s">
        <v>225</v>
      </c>
      <c r="AB32" s="321"/>
      <c r="AC32" s="86" t="s">
        <v>643</v>
      </c>
      <c r="AD32" s="277">
        <f>AD30*AD31</f>
        <v>0.516625</v>
      </c>
      <c r="AE32" s="327" t="s">
        <v>637</v>
      </c>
      <c r="AF32" s="79"/>
    </row>
    <row r="33" spans="2:32" ht="17.399999999999999" x14ac:dyDescent="0.25">
      <c r="B33" s="327" t="s">
        <v>106</v>
      </c>
      <c r="C33" s="227">
        <f t="shared" ref="C33" si="35">C30*C28/1000</f>
        <v>210.67384677466015</v>
      </c>
      <c r="D33" s="227"/>
      <c r="E33" s="227">
        <f t="shared" ref="E33" si="36">E30*E28/1000</f>
        <v>213.69595208648053</v>
      </c>
      <c r="F33" s="362"/>
      <c r="G33" s="405">
        <f t="shared" ref="G33:J33" si="37">G30*G28/1000</f>
        <v>333.41592639281885</v>
      </c>
      <c r="H33" s="227">
        <f t="shared" si="37"/>
        <v>301.58605281101808</v>
      </c>
      <c r="I33" s="227">
        <f t="shared" si="37"/>
        <v>277.41881969206935</v>
      </c>
      <c r="J33" s="406">
        <f t="shared" si="37"/>
        <v>258.26286605594152</v>
      </c>
      <c r="K33" s="377"/>
      <c r="L33" s="227"/>
      <c r="M33" s="327" t="s">
        <v>0</v>
      </c>
      <c r="N33" s="214"/>
      <c r="O33" s="327"/>
      <c r="Q33" s="71" t="s">
        <v>54</v>
      </c>
      <c r="R33" s="324">
        <v>50</v>
      </c>
      <c r="S33" s="71" t="s">
        <v>27</v>
      </c>
      <c r="T33" s="321"/>
      <c r="U33" s="323"/>
      <c r="V33" s="323"/>
      <c r="W33" s="323"/>
      <c r="X33" s="321"/>
      <c r="Y33" s="325" t="s">
        <v>256</v>
      </c>
      <c r="Z33" s="96">
        <f>503.3*SQRT((Z29/100000000)/(Z31*Z32))*1000</f>
        <v>1.2734666964710277</v>
      </c>
      <c r="AA33" s="325" t="s">
        <v>227</v>
      </c>
      <c r="AB33" s="321"/>
      <c r="AC33" s="321"/>
      <c r="AD33" s="321"/>
      <c r="AE33" s="321"/>
      <c r="AF33" s="79"/>
    </row>
    <row r="34" spans="2:32" ht="17.399999999999999" x14ac:dyDescent="0.25">
      <c r="B34" s="327" t="s">
        <v>104</v>
      </c>
      <c r="C34" s="231">
        <f t="shared" ref="C34" si="38">ROUNDUP(COS(PI()*C19/180),3)</f>
        <v>0.86699999999999999</v>
      </c>
      <c r="D34" s="231"/>
      <c r="E34" s="231">
        <f t="shared" ref="E34" si="39">ROUNDUP(COS(PI()*E19/180),3)</f>
        <v>0.86699999999999999</v>
      </c>
      <c r="F34" s="366"/>
      <c r="G34" s="413">
        <f t="shared" ref="G34:J34" si="40">ROUNDUP(COS(PI()*G19/180),3)</f>
        <v>0.86699999999999999</v>
      </c>
      <c r="H34" s="231">
        <f t="shared" si="40"/>
        <v>0.86699999999999999</v>
      </c>
      <c r="I34" s="231">
        <f t="shared" si="40"/>
        <v>0.86699999999999999</v>
      </c>
      <c r="J34" s="414">
        <f t="shared" si="40"/>
        <v>0.86699999999999999</v>
      </c>
      <c r="K34" s="381"/>
      <c r="L34" s="231"/>
      <c r="M34" s="327"/>
      <c r="N34" s="214"/>
      <c r="O34" s="327"/>
      <c r="Q34" s="71" t="s">
        <v>55</v>
      </c>
      <c r="R34" s="324">
        <v>1864</v>
      </c>
      <c r="S34" s="71" t="s">
        <v>2</v>
      </c>
      <c r="T34" s="321"/>
      <c r="U34" s="74" t="s">
        <v>176</v>
      </c>
      <c r="V34" s="432" t="s">
        <v>177</v>
      </c>
      <c r="W34" s="432"/>
      <c r="X34" s="321"/>
      <c r="Y34" s="325" t="s">
        <v>257</v>
      </c>
      <c r="Z34" s="326">
        <v>6126</v>
      </c>
      <c r="AA34" s="325" t="s">
        <v>227</v>
      </c>
      <c r="AB34" s="321"/>
      <c r="AC34" s="431" t="s">
        <v>662</v>
      </c>
      <c r="AD34" s="431"/>
      <c r="AE34" s="431"/>
      <c r="AF34" s="79"/>
    </row>
    <row r="35" spans="2:32" ht="17.399999999999999" x14ac:dyDescent="0.25">
      <c r="B35" s="327" t="s">
        <v>103</v>
      </c>
      <c r="C35" s="232">
        <f t="shared" ref="C35" si="41">C32/(C27*C30/1000)</f>
        <v>6.0176302501096757</v>
      </c>
      <c r="D35" s="232"/>
      <c r="E35" s="232">
        <f t="shared" ref="E35" si="42">E32/(E27*E30/1000)</f>
        <v>11.107355525707156</v>
      </c>
      <c r="F35" s="367"/>
      <c r="G35" s="415">
        <f t="shared" ref="G35:J35" si="43">G32/(G27*G30/1000)</f>
        <v>8.7156462218457236</v>
      </c>
      <c r="H35" s="232">
        <f t="shared" si="43"/>
        <v>10.714804804601622</v>
      </c>
      <c r="I35" s="232">
        <f t="shared" si="43"/>
        <v>12.714222688605298</v>
      </c>
      <c r="J35" s="416">
        <f t="shared" si="43"/>
        <v>14.713796203231851</v>
      </c>
      <c r="K35" s="382"/>
      <c r="L35" s="232"/>
      <c r="M35" s="327"/>
      <c r="N35" s="214"/>
      <c r="O35" s="216" t="s">
        <v>270</v>
      </c>
      <c r="Q35" s="71" t="s">
        <v>56</v>
      </c>
      <c r="R35" s="324">
        <v>754</v>
      </c>
      <c r="S35" s="71" t="s">
        <v>1</v>
      </c>
      <c r="T35" s="321"/>
      <c r="U35" s="71" t="s">
        <v>178</v>
      </c>
      <c r="V35" s="324">
        <v>30</v>
      </c>
      <c r="W35" s="323" t="s">
        <v>179</v>
      </c>
      <c r="X35" s="321"/>
      <c r="Y35" s="325" t="s">
        <v>282</v>
      </c>
      <c r="Z35" s="326">
        <v>2</v>
      </c>
      <c r="AA35" s="325" t="s">
        <v>227</v>
      </c>
      <c r="AB35" s="321"/>
      <c r="AC35" s="323" t="s">
        <v>663</v>
      </c>
      <c r="AD35" s="324">
        <v>440</v>
      </c>
      <c r="AE35" s="323" t="s">
        <v>0</v>
      </c>
      <c r="AF35" s="79"/>
    </row>
    <row r="36" spans="2:32" ht="17.399999999999999" x14ac:dyDescent="0.25">
      <c r="B36" s="327" t="s">
        <v>361</v>
      </c>
      <c r="C36" s="230">
        <f t="shared" ref="C36" si="44">C32+C30*C20*C27/1000</f>
        <v>1203.026900755453</v>
      </c>
      <c r="D36" s="230"/>
      <c r="E36" s="230">
        <f t="shared" ref="E36" si="45">E32+E30*E20*E27/1000</f>
        <v>2161.954940591324</v>
      </c>
      <c r="F36" s="365"/>
      <c r="G36" s="411">
        <f t="shared" ref="G36:J36" si="46">G32+G30*G20*G27/1000</f>
        <v>2682.7542379381975</v>
      </c>
      <c r="H36" s="230">
        <f t="shared" si="46"/>
        <v>2948.638195220316</v>
      </c>
      <c r="I36" s="230">
        <f t="shared" si="46"/>
        <v>3192.5811152757842</v>
      </c>
      <c r="J36" s="412">
        <f t="shared" si="46"/>
        <v>3419.2344454193603</v>
      </c>
      <c r="K36" s="380"/>
      <c r="L36" s="230"/>
      <c r="M36" s="327" t="s">
        <v>0</v>
      </c>
      <c r="N36" s="214"/>
      <c r="O36" s="216" t="s">
        <v>269</v>
      </c>
      <c r="Q36" s="71" t="s">
        <v>290</v>
      </c>
      <c r="R36" s="324">
        <v>5</v>
      </c>
      <c r="S36" s="71" t="s">
        <v>42</v>
      </c>
      <c r="T36" s="321"/>
      <c r="U36" s="71" t="s">
        <v>180</v>
      </c>
      <c r="V36" s="75">
        <f>V30*SQRT(2)*SIN(V35*PI()/180)</f>
        <v>176.77669529663686</v>
      </c>
      <c r="W36" s="323" t="s">
        <v>181</v>
      </c>
      <c r="X36" s="321"/>
      <c r="Y36" s="325" t="s">
        <v>281</v>
      </c>
      <c r="Z36" s="92">
        <f>MIN(Z33,Z35)</f>
        <v>1.2734666964710277</v>
      </c>
      <c r="AA36" s="325" t="s">
        <v>227</v>
      </c>
      <c r="AB36" s="321"/>
      <c r="AC36" s="323" t="s">
        <v>66</v>
      </c>
      <c r="AD36" s="324">
        <v>567</v>
      </c>
      <c r="AE36" s="323" t="s">
        <v>2</v>
      </c>
      <c r="AF36" s="79"/>
    </row>
    <row r="37" spans="2:32" ht="17.399999999999999" x14ac:dyDescent="0.25">
      <c r="B37" s="327"/>
      <c r="C37" s="327"/>
      <c r="D37" s="327"/>
      <c r="E37" s="327"/>
      <c r="F37" s="357"/>
      <c r="G37" s="395"/>
      <c r="H37" s="327"/>
      <c r="I37" s="327"/>
      <c r="J37" s="396"/>
      <c r="K37" s="372"/>
      <c r="L37" s="327"/>
      <c r="M37" s="327"/>
      <c r="N37" s="214"/>
      <c r="O37" s="327"/>
      <c r="Q37" s="71" t="s">
        <v>57</v>
      </c>
      <c r="R37" s="73">
        <f>(R34*R36)/(2*3.1415*R32*(R33/1000000))</f>
        <v>1485.5962122397345</v>
      </c>
      <c r="S37" s="71" t="s">
        <v>58</v>
      </c>
      <c r="T37" s="321"/>
      <c r="U37" s="71" t="s">
        <v>182</v>
      </c>
      <c r="V37" s="89">
        <f>V24*V28/V36</f>
        <v>1095.1669827017251</v>
      </c>
      <c r="W37" s="323" t="s">
        <v>183</v>
      </c>
      <c r="X37" s="321"/>
      <c r="Y37" s="325" t="s">
        <v>260</v>
      </c>
      <c r="Z37" s="326">
        <v>22</v>
      </c>
      <c r="AA37" s="325" t="s">
        <v>227</v>
      </c>
      <c r="AB37" s="321"/>
      <c r="AC37" s="323" t="s">
        <v>666</v>
      </c>
      <c r="AD37" s="90">
        <f>AD35</f>
        <v>440</v>
      </c>
      <c r="AE37" s="323" t="s">
        <v>664</v>
      </c>
      <c r="AF37" s="79"/>
    </row>
    <row r="38" spans="2:32" ht="17.399999999999999" x14ac:dyDescent="0.25">
      <c r="B38" s="327" t="s">
        <v>88</v>
      </c>
      <c r="C38" s="223">
        <v>1</v>
      </c>
      <c r="D38" s="223"/>
      <c r="E38" s="223">
        <v>1</v>
      </c>
      <c r="F38" s="356"/>
      <c r="G38" s="393">
        <v>1</v>
      </c>
      <c r="H38" s="223">
        <v>1</v>
      </c>
      <c r="I38" s="223">
        <v>1</v>
      </c>
      <c r="J38" s="394">
        <v>1</v>
      </c>
      <c r="K38" s="371"/>
      <c r="L38" s="223"/>
      <c r="M38" s="327"/>
      <c r="N38" s="214"/>
      <c r="O38" s="327" t="s">
        <v>89</v>
      </c>
      <c r="Q38" s="71" t="s">
        <v>59</v>
      </c>
      <c r="R38" s="73">
        <f>R34*R36</f>
        <v>9320</v>
      </c>
      <c r="S38" s="71"/>
      <c r="T38" s="321"/>
      <c r="U38" s="323"/>
      <c r="V38" s="323"/>
      <c r="W38" s="323"/>
      <c r="X38" s="321"/>
      <c r="Y38" s="325" t="s">
        <v>280</v>
      </c>
      <c r="Z38" s="92">
        <f>(PI()*(Z37/2)^2)-(PI()*(Z37/2-Z36)^2)</f>
        <v>82.920924046014932</v>
      </c>
      <c r="AA38" s="325" t="s">
        <v>253</v>
      </c>
      <c r="AB38" s="321"/>
      <c r="AC38" s="323" t="s">
        <v>667</v>
      </c>
      <c r="AD38" s="90">
        <f>AD36*1.25</f>
        <v>708.75</v>
      </c>
      <c r="AE38" s="323" t="s">
        <v>665</v>
      </c>
      <c r="AF38" s="79"/>
    </row>
    <row r="39" spans="2:32" ht="17.399999999999999" x14ac:dyDescent="0.25">
      <c r="B39" s="327" t="s">
        <v>362</v>
      </c>
      <c r="C39" s="227">
        <f>C10/C38*4/PI()/2^0.5</f>
        <v>449.97809481532158</v>
      </c>
      <c r="D39" s="227"/>
      <c r="E39" s="227">
        <f>E10/E38*4/PI()/2^0.5</f>
        <v>449.97809481532158</v>
      </c>
      <c r="F39" s="362"/>
      <c r="G39" s="405">
        <f>G10/G38*4/PI()/2^0.5</f>
        <v>449.97809481532158</v>
      </c>
      <c r="H39" s="227">
        <f>H10/H38*4/PI()/2^0.5</f>
        <v>449.97809481532158</v>
      </c>
      <c r="I39" s="227">
        <f>I10/I38*4/PI()/2^0.5</f>
        <v>449.97809481532158</v>
      </c>
      <c r="J39" s="406">
        <f>J10/J38*4/PI()/2^0.5</f>
        <v>449.97809481532158</v>
      </c>
      <c r="K39" s="377"/>
      <c r="L39" s="227"/>
      <c r="M39" s="327" t="s">
        <v>0</v>
      </c>
      <c r="N39" s="214"/>
      <c r="O39" s="327" t="s">
        <v>248</v>
      </c>
      <c r="Q39" s="71" t="s">
        <v>47</v>
      </c>
      <c r="R39" s="73">
        <f>R37*R38/1000</f>
        <v>13845.756698074327</v>
      </c>
      <c r="S39" s="71" t="s">
        <v>47</v>
      </c>
      <c r="T39" s="321"/>
      <c r="U39" s="74" t="s">
        <v>184</v>
      </c>
      <c r="V39" s="71"/>
      <c r="W39" s="71"/>
      <c r="X39" s="321"/>
      <c r="Y39" s="325" t="s">
        <v>258</v>
      </c>
      <c r="Z39" s="326">
        <v>2200</v>
      </c>
      <c r="AA39" s="69" t="s">
        <v>254</v>
      </c>
      <c r="AB39" s="321"/>
      <c r="AC39" s="321"/>
      <c r="AD39" s="321"/>
      <c r="AE39" s="321"/>
      <c r="AF39" s="79"/>
    </row>
    <row r="40" spans="2:32" ht="17.399999999999999" x14ac:dyDescent="0.25">
      <c r="B40" s="327" t="s">
        <v>90</v>
      </c>
      <c r="C40" s="328">
        <v>1.5</v>
      </c>
      <c r="D40" s="328"/>
      <c r="E40" s="328">
        <v>1.5</v>
      </c>
      <c r="F40" s="353"/>
      <c r="G40" s="387">
        <v>1.5</v>
      </c>
      <c r="H40" s="328">
        <v>1.5</v>
      </c>
      <c r="I40" s="328">
        <v>1.5</v>
      </c>
      <c r="J40" s="388">
        <v>1.5</v>
      </c>
      <c r="K40" s="368"/>
      <c r="L40" s="328"/>
      <c r="M40" s="327" t="s">
        <v>42</v>
      </c>
      <c r="N40" s="214"/>
      <c r="O40" s="327" t="s">
        <v>271</v>
      </c>
      <c r="Q40" s="71" t="s">
        <v>41</v>
      </c>
      <c r="R40" s="90">
        <f>R39/R35</f>
        <v>18.363072543865155</v>
      </c>
      <c r="S40" s="71"/>
      <c r="T40" s="321"/>
      <c r="U40" s="71" t="s">
        <v>185</v>
      </c>
      <c r="V40" s="75">
        <f>V24*V28/V29/1000</f>
        <v>129.06666666666669</v>
      </c>
      <c r="W40" s="323" t="s">
        <v>181</v>
      </c>
      <c r="X40" s="321"/>
      <c r="Y40" s="325" t="s">
        <v>649</v>
      </c>
      <c r="Z40" s="93">
        <f>Z39/Z38</f>
        <v>26.531301059539135</v>
      </c>
      <c r="AA40" s="69" t="s">
        <v>254</v>
      </c>
      <c r="AB40" s="321"/>
      <c r="AC40" s="431" t="s">
        <v>669</v>
      </c>
      <c r="AD40" s="431"/>
      <c r="AE40" s="431"/>
      <c r="AF40" s="79"/>
    </row>
    <row r="41" spans="2:32" ht="17.399999999999999" x14ac:dyDescent="0.25">
      <c r="B41" s="327" t="s">
        <v>91</v>
      </c>
      <c r="C41" s="223">
        <f t="shared" ref="C41" si="47">ROUND(C39/C40,1)</f>
        <v>300</v>
      </c>
      <c r="D41" s="223"/>
      <c r="E41" s="223">
        <f t="shared" ref="E41" si="48">ROUND(E39/E40,1)</f>
        <v>300</v>
      </c>
      <c r="F41" s="356"/>
      <c r="G41" s="393">
        <f t="shared" ref="G41:J41" si="49">ROUND(G39/G40,1)</f>
        <v>300</v>
      </c>
      <c r="H41" s="223">
        <f t="shared" si="49"/>
        <v>300</v>
      </c>
      <c r="I41" s="223">
        <f t="shared" si="49"/>
        <v>300</v>
      </c>
      <c r="J41" s="394">
        <f t="shared" si="49"/>
        <v>300</v>
      </c>
      <c r="K41" s="371"/>
      <c r="L41" s="223"/>
      <c r="M41" s="327" t="s">
        <v>0</v>
      </c>
      <c r="N41" s="214"/>
      <c r="O41" s="327" t="s">
        <v>363</v>
      </c>
      <c r="Q41" s="321"/>
      <c r="R41" s="321"/>
      <c r="S41" s="321"/>
      <c r="T41" s="321"/>
      <c r="U41" s="71" t="s">
        <v>186</v>
      </c>
      <c r="V41" s="75">
        <f>V40/SIN(V35*PI()/180)/SQRT(2)</f>
        <v>182.52783045028752</v>
      </c>
      <c r="W41" s="323" t="s">
        <v>172</v>
      </c>
      <c r="X41" s="321"/>
      <c r="Y41" s="325" t="s">
        <v>259</v>
      </c>
      <c r="Z41" s="93">
        <f>Z29/100000000*(Z39^2)/(Z38/1000000)*Z34/1000</f>
        <v>6867.5336900972161</v>
      </c>
      <c r="AA41" s="69" t="s">
        <v>255</v>
      </c>
      <c r="AB41" s="321"/>
      <c r="AC41" s="323" t="s">
        <v>26</v>
      </c>
      <c r="AD41" s="324">
        <v>3400</v>
      </c>
      <c r="AE41" s="323" t="s">
        <v>27</v>
      </c>
      <c r="AF41" s="79"/>
    </row>
    <row r="42" spans="2:32" ht="17.399999999999999" x14ac:dyDescent="0.25">
      <c r="B42" s="327"/>
      <c r="C42" s="327"/>
      <c r="D42" s="327"/>
      <c r="E42" s="327"/>
      <c r="F42" s="357"/>
      <c r="G42" s="395"/>
      <c r="H42" s="327"/>
      <c r="I42" s="327"/>
      <c r="J42" s="396"/>
      <c r="K42" s="372"/>
      <c r="L42" s="327"/>
      <c r="M42" s="327"/>
      <c r="N42" s="214"/>
      <c r="O42" s="327"/>
      <c r="Q42" s="430" t="s">
        <v>240</v>
      </c>
      <c r="R42" s="430"/>
      <c r="S42" s="430"/>
      <c r="T42" s="321"/>
      <c r="U42" s="71" t="s">
        <v>175</v>
      </c>
      <c r="V42" s="89">
        <f>V41*V31</f>
        <v>182.52783045028752</v>
      </c>
      <c r="W42" s="323" t="s">
        <v>172</v>
      </c>
      <c r="X42" s="321"/>
      <c r="Y42" s="321"/>
      <c r="Z42" s="321"/>
      <c r="AA42" s="321"/>
      <c r="AB42" s="321"/>
      <c r="AC42" s="323" t="s">
        <v>28</v>
      </c>
      <c r="AD42" s="324">
        <v>3800</v>
      </c>
      <c r="AE42" s="323" t="s">
        <v>15</v>
      </c>
      <c r="AF42" s="79"/>
    </row>
    <row r="43" spans="2:32" ht="17.399999999999999" x14ac:dyDescent="0.25">
      <c r="B43" s="327" t="s">
        <v>74</v>
      </c>
      <c r="C43" s="232">
        <f t="shared" ref="C43" si="50">C33/C41*100</f>
        <v>70.224615591553388</v>
      </c>
      <c r="D43" s="232"/>
      <c r="E43" s="232">
        <f t="shared" ref="E43" si="51">E33/E41*100</f>
        <v>71.231984028826844</v>
      </c>
      <c r="F43" s="367"/>
      <c r="G43" s="415">
        <f t="shared" ref="G43:J43" si="52">G33/G41*100</f>
        <v>111.13864213093963</v>
      </c>
      <c r="H43" s="232">
        <f t="shared" si="52"/>
        <v>100.52868427033937</v>
      </c>
      <c r="I43" s="232">
        <f t="shared" si="52"/>
        <v>92.472939897356454</v>
      </c>
      <c r="J43" s="416">
        <f t="shared" si="52"/>
        <v>86.087622018647167</v>
      </c>
      <c r="K43" s="382"/>
      <c r="L43" s="232"/>
      <c r="M43" s="327" t="s">
        <v>7</v>
      </c>
      <c r="N43" s="214"/>
      <c r="O43" s="217" t="s">
        <v>277</v>
      </c>
      <c r="Q43" s="86" t="s">
        <v>18</v>
      </c>
      <c r="R43" s="87">
        <v>40</v>
      </c>
      <c r="S43" s="86" t="s">
        <v>266</v>
      </c>
      <c r="T43" s="321"/>
      <c r="U43" s="71" t="s">
        <v>187</v>
      </c>
      <c r="V43" s="75">
        <f>V42/V32*100</f>
        <v>73.011132180115013</v>
      </c>
      <c r="W43" s="76" t="s">
        <v>188</v>
      </c>
      <c r="X43" s="321"/>
      <c r="Y43" s="431" t="s">
        <v>648</v>
      </c>
      <c r="Z43" s="431"/>
      <c r="AA43" s="431"/>
      <c r="AB43" s="321"/>
      <c r="AC43" s="323" t="s">
        <v>29</v>
      </c>
      <c r="AD43" s="90">
        <f>1/(2*3.14*SQRT((AD41/1000000)*(AD42/1000000)))</f>
        <v>44.300548095116021</v>
      </c>
      <c r="AE43" s="323" t="s">
        <v>30</v>
      </c>
      <c r="AF43" s="79"/>
    </row>
    <row r="44" spans="2:32" ht="17.399999999999999" x14ac:dyDescent="0.25">
      <c r="B44" s="327"/>
      <c r="C44" s="327"/>
      <c r="D44" s="327"/>
      <c r="E44" s="327"/>
      <c r="F44" s="357"/>
      <c r="G44" s="395"/>
      <c r="H44" s="327"/>
      <c r="I44" s="327"/>
      <c r="J44" s="396"/>
      <c r="K44" s="372"/>
      <c r="L44" s="327"/>
      <c r="M44" s="327"/>
      <c r="N44" s="214"/>
      <c r="O44" s="327"/>
      <c r="Q44" s="86" t="s">
        <v>102</v>
      </c>
      <c r="R44" s="87">
        <v>127</v>
      </c>
      <c r="S44" s="86" t="s">
        <v>2</v>
      </c>
      <c r="T44" s="321"/>
      <c r="U44" s="71" t="s">
        <v>189</v>
      </c>
      <c r="V44" s="75">
        <f>V43*V43/100</f>
        <v>53.306254222222258</v>
      </c>
      <c r="W44" s="76" t="s">
        <v>188</v>
      </c>
      <c r="X44" s="321"/>
      <c r="Y44" s="323" t="s">
        <v>213</v>
      </c>
      <c r="Z44" s="68" t="s">
        <v>214</v>
      </c>
      <c r="AA44" s="68"/>
      <c r="AB44" s="321"/>
      <c r="AC44" s="321"/>
      <c r="AD44" s="321"/>
      <c r="AE44" s="321"/>
      <c r="AF44" s="79"/>
    </row>
    <row r="45" spans="2:32" ht="17.399999999999999" x14ac:dyDescent="0.25">
      <c r="B45" s="327" t="s">
        <v>92</v>
      </c>
      <c r="C45" s="230">
        <f t="shared" ref="C45" si="53">C30/C40</f>
        <v>760.24406501152464</v>
      </c>
      <c r="D45" s="230"/>
      <c r="E45" s="230">
        <f t="shared" ref="E45" si="54">E30/E40</f>
        <v>749.49263240497157</v>
      </c>
      <c r="F45" s="365"/>
      <c r="G45" s="411">
        <f t="shared" ref="G45:J45" si="55">G30/G40</f>
        <v>923.7915363665719</v>
      </c>
      <c r="H45" s="230">
        <f t="shared" si="55"/>
        <v>1021.2899702112913</v>
      </c>
      <c r="I45" s="230">
        <f t="shared" si="55"/>
        <v>1110.2592507364438</v>
      </c>
      <c r="J45" s="412">
        <f t="shared" si="55"/>
        <v>1192.6097452383653</v>
      </c>
      <c r="K45" s="380"/>
      <c r="L45" s="230"/>
      <c r="M45" s="327" t="s">
        <v>2</v>
      </c>
      <c r="N45" s="214"/>
      <c r="O45" s="216" t="s">
        <v>272</v>
      </c>
      <c r="Q45" s="86" t="s">
        <v>44</v>
      </c>
      <c r="R45" s="87">
        <v>401</v>
      </c>
      <c r="S45" s="86" t="s">
        <v>0</v>
      </c>
      <c r="T45" s="321"/>
      <c r="U45" s="321"/>
      <c r="V45" s="321"/>
      <c r="W45" s="321"/>
      <c r="X45" s="321"/>
      <c r="Y45" s="325" t="s">
        <v>215</v>
      </c>
      <c r="Z45" s="80">
        <v>1.75</v>
      </c>
      <c r="AA45" s="325" t="s">
        <v>216</v>
      </c>
      <c r="AB45" s="321"/>
      <c r="AC45" s="431" t="s">
        <v>700</v>
      </c>
      <c r="AD45" s="431"/>
      <c r="AE45" s="431"/>
      <c r="AF45" s="79"/>
    </row>
    <row r="46" spans="2:32" ht="17.399999999999999" x14ac:dyDescent="0.25">
      <c r="B46" s="327" t="s">
        <v>93</v>
      </c>
      <c r="C46" s="227">
        <f t="shared" ref="C46" si="56">ROUND(C45*2^0.5*2/PI(),0)</f>
        <v>684</v>
      </c>
      <c r="D46" s="227"/>
      <c r="E46" s="227">
        <f t="shared" ref="E46" si="57">ROUND(E45*2^0.5*2/PI(),0)</f>
        <v>675</v>
      </c>
      <c r="F46" s="362"/>
      <c r="G46" s="405">
        <f t="shared" ref="G46:J46" si="58">ROUND(G45*2^0.5*2/PI(),0)</f>
        <v>832</v>
      </c>
      <c r="H46" s="227">
        <f t="shared" si="58"/>
        <v>919</v>
      </c>
      <c r="I46" s="227">
        <f t="shared" si="58"/>
        <v>1000</v>
      </c>
      <c r="J46" s="406">
        <f t="shared" si="58"/>
        <v>1074</v>
      </c>
      <c r="K46" s="377"/>
      <c r="L46" s="227"/>
      <c r="M46" s="327" t="s">
        <v>2</v>
      </c>
      <c r="N46" s="214"/>
      <c r="O46" s="327"/>
      <c r="Q46" s="86" t="s">
        <v>625</v>
      </c>
      <c r="R46" s="87">
        <v>1</v>
      </c>
      <c r="S46" s="86"/>
      <c r="T46" s="321"/>
      <c r="U46" s="431" t="s">
        <v>252</v>
      </c>
      <c r="V46" s="431"/>
      <c r="W46" s="431"/>
      <c r="X46" s="321"/>
      <c r="Y46" s="325" t="s">
        <v>217</v>
      </c>
      <c r="Z46" s="81">
        <v>3.8999999999999998E-3</v>
      </c>
      <c r="AA46" s="325" t="s">
        <v>218</v>
      </c>
      <c r="AB46" s="321"/>
      <c r="AC46" s="323" t="s">
        <v>702</v>
      </c>
      <c r="AD46" s="324">
        <v>852</v>
      </c>
      <c r="AE46" s="323" t="s">
        <v>49</v>
      </c>
      <c r="AF46" s="79"/>
    </row>
    <row r="47" spans="2:32" ht="17.399999999999999" x14ac:dyDescent="0.25">
      <c r="B47" s="327" t="s">
        <v>94</v>
      </c>
      <c r="C47" s="227">
        <f t="shared" ref="C47" si="59">C46/C38</f>
        <v>684</v>
      </c>
      <c r="D47" s="227"/>
      <c r="E47" s="227">
        <f t="shared" ref="E47" si="60">E46/E38</f>
        <v>675</v>
      </c>
      <c r="F47" s="362"/>
      <c r="G47" s="405">
        <f t="shared" ref="G47:J47" si="61">G46/G38</f>
        <v>832</v>
      </c>
      <c r="H47" s="227">
        <f t="shared" si="61"/>
        <v>919</v>
      </c>
      <c r="I47" s="227">
        <f t="shared" si="61"/>
        <v>1000</v>
      </c>
      <c r="J47" s="406">
        <f t="shared" si="61"/>
        <v>1074</v>
      </c>
      <c r="K47" s="377"/>
      <c r="L47" s="227"/>
      <c r="M47" s="327" t="s">
        <v>2</v>
      </c>
      <c r="N47" s="214"/>
      <c r="O47" s="327"/>
      <c r="Q47" s="86" t="s">
        <v>58</v>
      </c>
      <c r="R47" s="88">
        <f>R45*0.9/R46</f>
        <v>360.90000000000003</v>
      </c>
      <c r="S47" s="86" t="s">
        <v>0</v>
      </c>
      <c r="T47" s="321"/>
      <c r="U47" s="71" t="s">
        <v>157</v>
      </c>
      <c r="V47" s="324">
        <v>3.2</v>
      </c>
      <c r="W47" s="71" t="s">
        <v>158</v>
      </c>
      <c r="X47" s="321"/>
      <c r="Y47" s="325" t="s">
        <v>219</v>
      </c>
      <c r="Z47" s="82">
        <v>45</v>
      </c>
      <c r="AA47" s="325" t="s">
        <v>48</v>
      </c>
      <c r="AB47" s="321"/>
      <c r="AC47" s="323" t="s">
        <v>37</v>
      </c>
      <c r="AD47" s="324">
        <v>28.43</v>
      </c>
      <c r="AE47" s="323" t="s">
        <v>4</v>
      </c>
      <c r="AF47" s="79"/>
    </row>
    <row r="48" spans="2:32" ht="18" thickBot="1" x14ac:dyDescent="0.3">
      <c r="B48" s="327" t="s">
        <v>95</v>
      </c>
      <c r="C48" s="228">
        <f>ROUND(C47/C11,3)</f>
        <v>1.643</v>
      </c>
      <c r="D48" s="228"/>
      <c r="E48" s="228">
        <f>ROUND(E47/E11,3)</f>
        <v>1.6220000000000001</v>
      </c>
      <c r="F48" s="363"/>
      <c r="G48" s="417">
        <f>ROUND(G47/G11,3)</f>
        <v>1.04</v>
      </c>
      <c r="H48" s="418">
        <f>ROUND(H47/H11,3)</f>
        <v>1.1479999999999999</v>
      </c>
      <c r="I48" s="418">
        <f>ROUND(I47/I11,3)</f>
        <v>1.25</v>
      </c>
      <c r="J48" s="419">
        <f>ROUND(J47/J11,3)</f>
        <v>1.3420000000000001</v>
      </c>
      <c r="K48" s="378"/>
      <c r="L48" s="228"/>
      <c r="M48" s="327"/>
      <c r="N48" s="214"/>
      <c r="O48" s="327"/>
      <c r="Q48" s="86" t="s">
        <v>267</v>
      </c>
      <c r="R48" s="88">
        <f>(R43*1000)/(R44*R45*0.9/R46)</f>
        <v>0.87270886650390644</v>
      </c>
      <c r="S48" s="86"/>
      <c r="T48" s="321"/>
      <c r="U48" s="71" t="s">
        <v>161</v>
      </c>
      <c r="V48" s="324">
        <v>100</v>
      </c>
      <c r="W48" s="71" t="s">
        <v>162</v>
      </c>
      <c r="X48" s="321"/>
      <c r="Y48" s="325" t="s">
        <v>220</v>
      </c>
      <c r="Z48" s="81">
        <f>Z45*(1+Z46*(Z47-20))</f>
        <v>1.9206249999999998</v>
      </c>
      <c r="AA48" s="325" t="s">
        <v>216</v>
      </c>
      <c r="AB48" s="321"/>
      <c r="AC48" s="323" t="s">
        <v>703</v>
      </c>
      <c r="AD48" s="324">
        <v>5511</v>
      </c>
      <c r="AE48" s="323" t="s">
        <v>2</v>
      </c>
      <c r="AF48" s="79"/>
    </row>
    <row r="49" spans="2:32" ht="17.399999999999999" x14ac:dyDescent="0.25"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Q49" s="86" t="s">
        <v>268</v>
      </c>
      <c r="R49" s="237">
        <f>DEGREES(ACOS(R48))</f>
        <v>29.225030363895115</v>
      </c>
      <c r="S49" s="86"/>
      <c r="T49" s="321"/>
      <c r="U49" s="71" t="s">
        <v>164</v>
      </c>
      <c r="V49" s="324">
        <v>100</v>
      </c>
      <c r="W49" s="71" t="s">
        <v>165</v>
      </c>
      <c r="X49" s="321"/>
      <c r="Y49" s="325" t="s">
        <v>221</v>
      </c>
      <c r="Z49" s="83">
        <f>1/(Z48/100000000)</f>
        <v>52066384.64041654</v>
      </c>
      <c r="AA49" s="325" t="s">
        <v>222</v>
      </c>
      <c r="AB49" s="321"/>
      <c r="AC49" s="323" t="s">
        <v>701</v>
      </c>
      <c r="AD49" s="90">
        <f>(AD46)/(2*3.14*AD47*1000*AD48)*1000000</f>
        <v>0.8659098508059645</v>
      </c>
      <c r="AE49" s="323" t="s">
        <v>704</v>
      </c>
      <c r="AF49" s="79"/>
    </row>
    <row r="50" spans="2:32" ht="17.399999999999999" x14ac:dyDescent="0.25">
      <c r="B50" s="211" t="s">
        <v>366</v>
      </c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Q50" s="321"/>
      <c r="R50" s="321"/>
      <c r="S50" s="321"/>
      <c r="T50" s="321"/>
      <c r="U50" s="71" t="s">
        <v>167</v>
      </c>
      <c r="V50" s="90">
        <f>V47*V48/V49</f>
        <v>3.2</v>
      </c>
      <c r="W50" s="71" t="s">
        <v>168</v>
      </c>
      <c r="X50" s="321"/>
      <c r="Y50" s="325" t="s">
        <v>223</v>
      </c>
      <c r="Z50" s="68">
        <v>1</v>
      </c>
      <c r="AA50" s="325" t="s">
        <v>224</v>
      </c>
      <c r="AB50" s="321"/>
      <c r="AC50" s="321"/>
      <c r="AD50" s="321"/>
      <c r="AE50" s="321"/>
      <c r="AF50" s="79"/>
    </row>
    <row r="51" spans="2:32" ht="17.399999999999999" x14ac:dyDescent="0.4">
      <c r="B51" s="97" t="s">
        <v>350</v>
      </c>
      <c r="C51" s="331">
        <v>1</v>
      </c>
      <c r="D51" s="331"/>
      <c r="E51" s="331">
        <v>1</v>
      </c>
      <c r="F51" s="331"/>
      <c r="G51" s="331">
        <v>1</v>
      </c>
      <c r="H51" s="331">
        <v>1</v>
      </c>
      <c r="I51" s="331">
        <v>1</v>
      </c>
      <c r="J51" s="331">
        <v>1</v>
      </c>
      <c r="K51" s="331"/>
      <c r="L51" s="331"/>
      <c r="M51" s="97" t="s">
        <v>51</v>
      </c>
      <c r="N51" s="214">
        <v>6</v>
      </c>
      <c r="O51" s="100" t="s">
        <v>354</v>
      </c>
      <c r="Q51" s="430" t="s">
        <v>292</v>
      </c>
      <c r="R51" s="430"/>
      <c r="S51" s="430"/>
      <c r="T51" s="321"/>
      <c r="U51" s="321"/>
      <c r="V51" s="321"/>
      <c r="W51" s="321"/>
      <c r="X51" s="321"/>
      <c r="Y51" s="325" t="s">
        <v>37</v>
      </c>
      <c r="Z51" s="84">
        <v>200</v>
      </c>
      <c r="AA51" s="325" t="s">
        <v>225</v>
      </c>
      <c r="AB51" s="321"/>
      <c r="AC51" s="321"/>
      <c r="AD51" s="321"/>
      <c r="AE51" s="321" t="s">
        <v>261</v>
      </c>
      <c r="AF51" s="79"/>
    </row>
    <row r="52" spans="2:32" ht="17.399999999999999" x14ac:dyDescent="0.4">
      <c r="B52" s="97" t="s">
        <v>116</v>
      </c>
      <c r="C52" s="332">
        <f t="shared" ref="C52" si="62">C45/C51</f>
        <v>760.24406501152464</v>
      </c>
      <c r="D52" s="332"/>
      <c r="E52" s="332">
        <f t="shared" ref="E52" si="63">E45/E51</f>
        <v>749.49263240497157</v>
      </c>
      <c r="F52" s="332"/>
      <c r="G52" s="332">
        <f t="shared" ref="G52:J52" si="64">G45/G51</f>
        <v>923.7915363665719</v>
      </c>
      <c r="H52" s="332">
        <f t="shared" si="64"/>
        <v>1021.2899702112913</v>
      </c>
      <c r="I52" s="332">
        <f t="shared" si="64"/>
        <v>1110.2592507364438</v>
      </c>
      <c r="J52" s="332">
        <f t="shared" si="64"/>
        <v>1192.6097452383653</v>
      </c>
      <c r="K52" s="332"/>
      <c r="L52" s="332"/>
      <c r="M52" s="97" t="s">
        <v>2</v>
      </c>
      <c r="N52" s="214"/>
      <c r="O52" s="97" t="s">
        <v>353</v>
      </c>
      <c r="Q52" s="97" t="s">
        <v>36</v>
      </c>
      <c r="R52" s="98">
        <v>200</v>
      </c>
      <c r="S52" s="97" t="s">
        <v>13</v>
      </c>
      <c r="T52" s="321"/>
      <c r="U52" s="431" t="s">
        <v>381</v>
      </c>
      <c r="V52" s="431"/>
      <c r="W52" s="431"/>
      <c r="X52" s="321"/>
      <c r="Y52" s="325" t="s">
        <v>256</v>
      </c>
      <c r="Z52" s="96">
        <f>503.3*SQRT((Z48/100000000)/(Z50*Z51))*1000</f>
        <v>4.9321153073820669</v>
      </c>
      <c r="AA52" s="325" t="s">
        <v>227</v>
      </c>
      <c r="AB52" s="321"/>
      <c r="AC52" s="321"/>
      <c r="AD52" s="321"/>
      <c r="AE52" s="321"/>
      <c r="AF52" s="79"/>
    </row>
    <row r="53" spans="2:32" ht="17.399999999999999" x14ac:dyDescent="0.4">
      <c r="B53" s="97" t="s">
        <v>8</v>
      </c>
      <c r="C53" s="333">
        <v>3.2</v>
      </c>
      <c r="D53" s="333"/>
      <c r="E53" s="333">
        <v>3.2</v>
      </c>
      <c r="F53" s="333"/>
      <c r="G53" s="333">
        <v>3.2</v>
      </c>
      <c r="H53" s="333">
        <v>3.2</v>
      </c>
      <c r="I53" s="333">
        <v>3.2</v>
      </c>
      <c r="J53" s="333">
        <v>3.2</v>
      </c>
      <c r="K53" s="333"/>
      <c r="L53" s="333"/>
      <c r="M53" s="97" t="s">
        <v>45</v>
      </c>
      <c r="N53" s="214">
        <v>7</v>
      </c>
      <c r="O53" s="100" t="s">
        <v>119</v>
      </c>
      <c r="Q53" s="97" t="s">
        <v>38</v>
      </c>
      <c r="R53" s="98">
        <v>3</v>
      </c>
      <c r="S53" s="97" t="s">
        <v>13</v>
      </c>
      <c r="T53" s="321"/>
      <c r="U53" s="86" t="s">
        <v>371</v>
      </c>
      <c r="V53" s="87">
        <v>15.4</v>
      </c>
      <c r="W53" s="86" t="s">
        <v>13</v>
      </c>
      <c r="X53" s="321"/>
      <c r="Y53" s="325" t="s">
        <v>257</v>
      </c>
      <c r="Z53" s="326">
        <v>16000</v>
      </c>
      <c r="AA53" s="325" t="s">
        <v>227</v>
      </c>
      <c r="AB53" s="321"/>
      <c r="AC53" s="321"/>
      <c r="AD53" s="321"/>
      <c r="AE53" s="321"/>
      <c r="AF53" s="79"/>
    </row>
    <row r="54" spans="2:32" ht="17.399999999999999" x14ac:dyDescent="0.4">
      <c r="B54" s="97" t="s">
        <v>120</v>
      </c>
      <c r="C54" s="333">
        <v>25</v>
      </c>
      <c r="D54" s="333"/>
      <c r="E54" s="333">
        <v>25</v>
      </c>
      <c r="F54" s="333"/>
      <c r="G54" s="333">
        <v>25</v>
      </c>
      <c r="H54" s="333">
        <v>25</v>
      </c>
      <c r="I54" s="333">
        <v>25</v>
      </c>
      <c r="J54" s="333">
        <v>25</v>
      </c>
      <c r="K54" s="333"/>
      <c r="L54" s="333"/>
      <c r="M54" s="97" t="s">
        <v>0</v>
      </c>
      <c r="N54" s="214">
        <v>8</v>
      </c>
      <c r="O54" s="100" t="s">
        <v>121</v>
      </c>
      <c r="Q54" s="97" t="s">
        <v>39</v>
      </c>
      <c r="R54" s="98">
        <v>2000</v>
      </c>
      <c r="S54" s="97" t="s">
        <v>13</v>
      </c>
      <c r="T54" s="321"/>
      <c r="U54" s="86" t="s">
        <v>372</v>
      </c>
      <c r="V54" s="87">
        <v>2</v>
      </c>
      <c r="W54" s="86" t="s">
        <v>13</v>
      </c>
      <c r="X54" s="321"/>
      <c r="Y54" s="325" t="s">
        <v>282</v>
      </c>
      <c r="Z54" s="326">
        <v>6</v>
      </c>
      <c r="AA54" s="325" t="s">
        <v>227</v>
      </c>
      <c r="AB54" s="321"/>
      <c r="AC54" s="321"/>
      <c r="AD54" s="321"/>
      <c r="AE54" s="321"/>
      <c r="AF54" s="79"/>
    </row>
    <row r="55" spans="2:32" ht="17.399999999999999" x14ac:dyDescent="0.4">
      <c r="B55" s="97" t="s">
        <v>9</v>
      </c>
      <c r="C55" s="334">
        <f t="shared" ref="C55" si="65">C54*C53/1000000*C56*1000</f>
        <v>20.351521805563014</v>
      </c>
      <c r="D55" s="334"/>
      <c r="E55" s="334">
        <f t="shared" ref="E55" si="66">E54*E53/1000000*E56*1000</f>
        <v>21.107645506190618</v>
      </c>
      <c r="F55" s="334"/>
      <c r="G55" s="334">
        <f t="shared" ref="G55:J55" si="67">G54*G53/1000000*G56*1000</f>
        <v>21.250416033298215</v>
      </c>
      <c r="H55" s="334">
        <f t="shared" si="67"/>
        <v>21.1267621192166</v>
      </c>
      <c r="I55" s="334">
        <f t="shared" si="67"/>
        <v>21.041566036735567</v>
      </c>
      <c r="J55" s="334">
        <f t="shared" si="67"/>
        <v>20.979302424186102</v>
      </c>
      <c r="K55" s="334"/>
      <c r="L55" s="334"/>
      <c r="M55" s="97" t="s">
        <v>6</v>
      </c>
      <c r="N55" s="214"/>
      <c r="O55" s="97"/>
      <c r="Q55" s="97" t="s">
        <v>77</v>
      </c>
      <c r="R55" s="238">
        <f>12.5*(R53/10)*(R54/10)/(R52/10)</f>
        <v>37.5</v>
      </c>
      <c r="S55" s="97" t="s">
        <v>40</v>
      </c>
      <c r="T55" s="321"/>
      <c r="U55" s="86" t="s">
        <v>374</v>
      </c>
      <c r="V55" s="88">
        <f>V53+V54*2</f>
        <v>19.399999999999999</v>
      </c>
      <c r="W55" s="86" t="s">
        <v>13</v>
      </c>
      <c r="X55" s="321"/>
      <c r="Y55" s="325" t="s">
        <v>281</v>
      </c>
      <c r="Z55" s="92">
        <f>MIN(Z52,Z54)</f>
        <v>4.9321153073820669</v>
      </c>
      <c r="AA55" s="325" t="s">
        <v>227</v>
      </c>
      <c r="AB55" s="321"/>
      <c r="AC55" s="321"/>
      <c r="AD55" s="321"/>
      <c r="AE55" s="321"/>
      <c r="AF55" s="79"/>
    </row>
    <row r="56" spans="2:32" ht="18" customHeight="1" x14ac:dyDescent="0.4">
      <c r="B56" s="97" t="s">
        <v>118</v>
      </c>
      <c r="C56" s="332">
        <f t="shared" ref="C56" si="68">C23</f>
        <v>254.39402256953764</v>
      </c>
      <c r="D56" s="332"/>
      <c r="E56" s="332">
        <f t="shared" ref="E56" si="69">E23</f>
        <v>263.84556882738269</v>
      </c>
      <c r="F56" s="332"/>
      <c r="G56" s="332">
        <f t="shared" ref="G56:J56" si="70">G23</f>
        <v>265.63020041622769</v>
      </c>
      <c r="H56" s="332">
        <f t="shared" si="70"/>
        <v>264.08452649020751</v>
      </c>
      <c r="I56" s="332">
        <f t="shared" si="70"/>
        <v>263.01957545919458</v>
      </c>
      <c r="J56" s="332">
        <f t="shared" si="70"/>
        <v>262.24128030232623</v>
      </c>
      <c r="K56" s="332"/>
      <c r="L56" s="332"/>
      <c r="M56" s="97" t="s">
        <v>4</v>
      </c>
      <c r="N56" s="214"/>
      <c r="O56" s="97" t="s">
        <v>117</v>
      </c>
      <c r="U56" s="234" t="s">
        <v>375</v>
      </c>
      <c r="V56" s="235">
        <v>8.8539999999999992E-12</v>
      </c>
      <c r="W56" s="327"/>
      <c r="Y56" s="325" t="s">
        <v>262</v>
      </c>
      <c r="Z56" s="326">
        <v>38</v>
      </c>
      <c r="AA56" s="325" t="s">
        <v>227</v>
      </c>
    </row>
    <row r="57" spans="2:32" ht="17.399999999999999" x14ac:dyDescent="0.4">
      <c r="B57" s="97" t="s">
        <v>349</v>
      </c>
      <c r="C57" s="335">
        <f t="shared" ref="C57" si="71">C52*1.414</f>
        <v>1074.9851079262958</v>
      </c>
      <c r="D57" s="335"/>
      <c r="E57" s="335">
        <f t="shared" ref="E57" si="72">E52*1.414</f>
        <v>1059.7825822206298</v>
      </c>
      <c r="F57" s="335"/>
      <c r="G57" s="335">
        <f t="shared" ref="G57:J57" si="73">G52*1.414</f>
        <v>1306.2412324223326</v>
      </c>
      <c r="H57" s="335">
        <f t="shared" si="73"/>
        <v>1444.1040178787659</v>
      </c>
      <c r="I57" s="335">
        <f t="shared" si="73"/>
        <v>1569.9065805413316</v>
      </c>
      <c r="J57" s="335">
        <f t="shared" si="73"/>
        <v>1686.3501797670485</v>
      </c>
      <c r="K57" s="335"/>
      <c r="L57" s="335"/>
      <c r="M57" s="97" t="s">
        <v>2</v>
      </c>
      <c r="N57" s="214"/>
      <c r="O57" s="97" t="s">
        <v>355</v>
      </c>
      <c r="Q57" s="430" t="s">
        <v>367</v>
      </c>
      <c r="R57" s="430"/>
      <c r="S57" s="430"/>
      <c r="U57" s="234" t="s">
        <v>376</v>
      </c>
      <c r="V57" s="328">
        <v>2.1</v>
      </c>
      <c r="W57" s="327" t="s">
        <v>370</v>
      </c>
      <c r="Y57" s="325" t="s">
        <v>263</v>
      </c>
      <c r="Z57" s="326">
        <v>30</v>
      </c>
      <c r="AA57" s="325" t="s">
        <v>227</v>
      </c>
    </row>
    <row r="58" spans="2:32" ht="17.399999999999999" x14ac:dyDescent="0.4">
      <c r="B58" s="97" t="s">
        <v>122</v>
      </c>
      <c r="C58" s="333">
        <v>5</v>
      </c>
      <c r="D58" s="333"/>
      <c r="E58" s="333">
        <v>5</v>
      </c>
      <c r="F58" s="333"/>
      <c r="G58" s="333">
        <v>5</v>
      </c>
      <c r="H58" s="333">
        <v>5</v>
      </c>
      <c r="I58" s="333">
        <v>5</v>
      </c>
      <c r="J58" s="333">
        <v>5</v>
      </c>
      <c r="K58" s="333"/>
      <c r="L58" s="333"/>
      <c r="M58" s="97" t="s">
        <v>5</v>
      </c>
      <c r="N58" s="214">
        <v>9</v>
      </c>
      <c r="O58" s="100" t="s">
        <v>123</v>
      </c>
      <c r="Q58" s="97" t="s">
        <v>368</v>
      </c>
      <c r="R58" s="98">
        <v>3000</v>
      </c>
      <c r="S58" s="97" t="s">
        <v>52</v>
      </c>
      <c r="U58" s="327" t="s">
        <v>377</v>
      </c>
      <c r="V58" s="235">
        <f>2*PI()*V56*V57/(LN(V55/V53))*1000000000</f>
        <v>0.50594615125588516</v>
      </c>
      <c r="W58" s="327" t="s">
        <v>369</v>
      </c>
      <c r="Y58" s="325" t="s">
        <v>278</v>
      </c>
      <c r="Z58" s="92">
        <f>(Z56*Z57)-((Z56-2*Z55)*(Z57-2*Z55))</f>
        <v>573.46463618271105</v>
      </c>
      <c r="AA58" s="325" t="s">
        <v>253</v>
      </c>
    </row>
    <row r="59" spans="2:32" ht="17.399999999999999" x14ac:dyDescent="0.4">
      <c r="B59" s="97" t="s">
        <v>124</v>
      </c>
      <c r="C59" s="334">
        <v>0</v>
      </c>
      <c r="D59" s="334"/>
      <c r="E59" s="334">
        <v>0</v>
      </c>
      <c r="F59" s="334"/>
      <c r="G59" s="334">
        <v>0</v>
      </c>
      <c r="H59" s="334">
        <v>0</v>
      </c>
      <c r="I59" s="334">
        <v>0</v>
      </c>
      <c r="J59" s="334">
        <v>0</v>
      </c>
      <c r="K59" s="334"/>
      <c r="L59" s="334"/>
      <c r="M59" s="97" t="s">
        <v>5</v>
      </c>
      <c r="N59" s="214"/>
      <c r="O59" s="97"/>
      <c r="Q59" s="97" t="s">
        <v>373</v>
      </c>
      <c r="R59" s="98">
        <v>1</v>
      </c>
      <c r="S59" s="97" t="s">
        <v>13</v>
      </c>
      <c r="U59" s="327" t="s">
        <v>378</v>
      </c>
      <c r="V59" s="328">
        <v>10</v>
      </c>
      <c r="W59" s="327" t="s">
        <v>380</v>
      </c>
      <c r="Y59" s="325" t="s">
        <v>258</v>
      </c>
      <c r="Z59" s="326">
        <v>7200</v>
      </c>
      <c r="AA59" s="69" t="s">
        <v>254</v>
      </c>
    </row>
    <row r="60" spans="2:32" ht="17.399999999999999" x14ac:dyDescent="0.4">
      <c r="B60" s="97" t="s">
        <v>125</v>
      </c>
      <c r="C60" s="334">
        <v>0</v>
      </c>
      <c r="D60" s="334"/>
      <c r="E60" s="334">
        <v>0</v>
      </c>
      <c r="F60" s="334"/>
      <c r="G60" s="334">
        <v>0</v>
      </c>
      <c r="H60" s="334">
        <v>0</v>
      </c>
      <c r="I60" s="334">
        <v>0</v>
      </c>
      <c r="J60" s="334">
        <v>0</v>
      </c>
      <c r="K60" s="334"/>
      <c r="L60" s="334"/>
      <c r="M60" s="97" t="s">
        <v>5</v>
      </c>
      <c r="N60" s="214"/>
      <c r="O60" s="97"/>
      <c r="Q60" s="97" t="s">
        <v>376</v>
      </c>
      <c r="R60" s="98">
        <v>2.1</v>
      </c>
      <c r="S60" s="97" t="s">
        <v>370</v>
      </c>
      <c r="T60" s="3"/>
      <c r="U60" s="327" t="s">
        <v>379</v>
      </c>
      <c r="V60" s="236">
        <f>V58*V59</f>
        <v>5.0594615125588511</v>
      </c>
      <c r="W60" s="327" t="s">
        <v>369</v>
      </c>
      <c r="Y60" s="325" t="s">
        <v>649</v>
      </c>
      <c r="Z60" s="93">
        <f>Z59/Z58</f>
        <v>12.555264170999402</v>
      </c>
      <c r="AA60" s="69" t="s">
        <v>254</v>
      </c>
    </row>
    <row r="61" spans="2:32" ht="17.399999999999999" x14ac:dyDescent="0.4">
      <c r="B61" s="97" t="s">
        <v>126</v>
      </c>
      <c r="C61" s="336">
        <f t="shared" ref="C61" si="74">C58*C56+C59*C56</f>
        <v>1271.9701128476881</v>
      </c>
      <c r="D61" s="336"/>
      <c r="E61" s="336">
        <f t="shared" ref="E61" si="75">E58*E56+E59*E56</f>
        <v>1319.2278441369135</v>
      </c>
      <c r="F61" s="336"/>
      <c r="G61" s="336">
        <f t="shared" ref="G61:J61" si="76">G58*G56+G59*G56</f>
        <v>1328.1510020811384</v>
      </c>
      <c r="H61" s="336">
        <f t="shared" si="76"/>
        <v>1320.4226324510375</v>
      </c>
      <c r="I61" s="336">
        <f t="shared" si="76"/>
        <v>1315.0978772959729</v>
      </c>
      <c r="J61" s="336">
        <f t="shared" si="76"/>
        <v>1311.2064015116312</v>
      </c>
      <c r="K61" s="336"/>
      <c r="L61" s="336"/>
      <c r="M61" s="97" t="s">
        <v>6</v>
      </c>
      <c r="N61" s="214"/>
      <c r="O61" s="97"/>
      <c r="Q61" s="97" t="s">
        <v>78</v>
      </c>
      <c r="R61" s="238">
        <f>8.854/1000000000000*R60*(R58/1000000)/(R59/1000)*1000000000</f>
        <v>5.5780200000000002E-2</v>
      </c>
      <c r="S61" s="97" t="s">
        <v>369</v>
      </c>
      <c r="Y61" s="325" t="s">
        <v>259</v>
      </c>
      <c r="Z61" s="93">
        <f>Z48/100000000*(Z59^2)/(Z58/1000000)*Z53/1000</f>
        <v>27779.275294186435</v>
      </c>
      <c r="AA61" s="69" t="s">
        <v>255</v>
      </c>
    </row>
    <row r="62" spans="2:32" ht="17.399999999999999" x14ac:dyDescent="0.4">
      <c r="B62" s="97" t="s">
        <v>127</v>
      </c>
      <c r="C62" s="334">
        <f t="shared" ref="C62" si="77">C56*C60</f>
        <v>0</v>
      </c>
      <c r="D62" s="334"/>
      <c r="E62" s="334">
        <f t="shared" ref="E62" si="78">E56*E60</f>
        <v>0</v>
      </c>
      <c r="F62" s="334"/>
      <c r="G62" s="334">
        <f t="shared" ref="G62:J62" si="79">G56*G60</f>
        <v>0</v>
      </c>
      <c r="H62" s="334">
        <f t="shared" si="79"/>
        <v>0</v>
      </c>
      <c r="I62" s="334">
        <f t="shared" si="79"/>
        <v>0</v>
      </c>
      <c r="J62" s="334">
        <f t="shared" si="79"/>
        <v>0</v>
      </c>
      <c r="K62" s="334"/>
      <c r="L62" s="334"/>
      <c r="M62" s="97" t="s">
        <v>6</v>
      </c>
      <c r="N62" s="214"/>
      <c r="O62" s="97"/>
    </row>
    <row r="63" spans="2:32" ht="17.399999999999999" x14ac:dyDescent="0.4">
      <c r="B63" s="97" t="s">
        <v>128</v>
      </c>
      <c r="C63" s="333">
        <v>100</v>
      </c>
      <c r="D63" s="333"/>
      <c r="E63" s="333">
        <v>100</v>
      </c>
      <c r="F63" s="333"/>
      <c r="G63" s="333">
        <v>100</v>
      </c>
      <c r="H63" s="333">
        <v>100</v>
      </c>
      <c r="I63" s="333">
        <v>100</v>
      </c>
      <c r="J63" s="333">
        <v>100</v>
      </c>
      <c r="K63" s="333"/>
      <c r="L63" s="333"/>
      <c r="M63" s="97" t="s">
        <v>7</v>
      </c>
      <c r="N63" s="214">
        <v>10</v>
      </c>
      <c r="O63" s="100" t="s">
        <v>129</v>
      </c>
      <c r="Q63" s="433" t="s">
        <v>626</v>
      </c>
      <c r="R63" s="433"/>
      <c r="S63" s="433"/>
      <c r="T63"/>
      <c r="Y63" s="431" t="s">
        <v>645</v>
      </c>
      <c r="Z63" s="431"/>
      <c r="AA63" s="431"/>
    </row>
    <row r="64" spans="2:32" ht="17.399999999999999" x14ac:dyDescent="0.4">
      <c r="B64" s="97" t="s">
        <v>130</v>
      </c>
      <c r="C64" s="337">
        <f t="shared" ref="C64" si="80">C61*C63/100</f>
        <v>1271.9701128476881</v>
      </c>
      <c r="D64" s="337"/>
      <c r="E64" s="337">
        <f t="shared" ref="E64" si="81">E61*E63/100</f>
        <v>1319.2278441369135</v>
      </c>
      <c r="F64" s="337"/>
      <c r="G64" s="337">
        <f t="shared" ref="G64:J64" si="82">G61*G63/100</f>
        <v>1328.1510020811384</v>
      </c>
      <c r="H64" s="337">
        <f t="shared" si="82"/>
        <v>1320.4226324510375</v>
      </c>
      <c r="I64" s="337">
        <f t="shared" si="82"/>
        <v>1315.0978772959729</v>
      </c>
      <c r="J64" s="337">
        <f t="shared" si="82"/>
        <v>1311.2064015116312</v>
      </c>
      <c r="K64" s="337"/>
      <c r="L64" s="337"/>
      <c r="M64" s="97" t="s">
        <v>6</v>
      </c>
      <c r="N64" s="214"/>
      <c r="O64" s="97"/>
      <c r="Q64" s="273"/>
      <c r="R64" s="274" t="s">
        <v>618</v>
      </c>
      <c r="S64" s="274" t="s">
        <v>619</v>
      </c>
      <c r="T64" s="274" t="s">
        <v>620</v>
      </c>
      <c r="Y64" s="323" t="s">
        <v>213</v>
      </c>
      <c r="Z64" s="68" t="s">
        <v>214</v>
      </c>
      <c r="AA64" s="68"/>
    </row>
    <row r="65" spans="2:27" ht="17.399999999999999" x14ac:dyDescent="0.4">
      <c r="B65" s="97" t="s">
        <v>131</v>
      </c>
      <c r="C65" s="335">
        <f t="shared" ref="C65" si="83">C52*0.9</f>
        <v>684.21965851037214</v>
      </c>
      <c r="D65" s="335"/>
      <c r="E65" s="335">
        <f t="shared" ref="E65" si="84">E52*0.9</f>
        <v>674.54336916447448</v>
      </c>
      <c r="F65" s="335"/>
      <c r="G65" s="335">
        <f t="shared" ref="G65:J65" si="85">G52*0.9</f>
        <v>831.41238272991473</v>
      </c>
      <c r="H65" s="335">
        <f t="shared" si="85"/>
        <v>919.16097319016228</v>
      </c>
      <c r="I65" s="335">
        <f t="shared" si="85"/>
        <v>999.23332566279953</v>
      </c>
      <c r="J65" s="335">
        <f t="shared" si="85"/>
        <v>1073.3487707145289</v>
      </c>
      <c r="K65" s="335"/>
      <c r="L65" s="335"/>
      <c r="M65" s="97" t="s">
        <v>2</v>
      </c>
      <c r="N65" s="214"/>
      <c r="O65" s="97"/>
      <c r="Q65" s="274" t="s">
        <v>617</v>
      </c>
      <c r="R65" s="274" t="s">
        <v>623</v>
      </c>
      <c r="S65" s="274" t="s">
        <v>621</v>
      </c>
      <c r="T65" s="274" t="s">
        <v>622</v>
      </c>
      <c r="Y65" s="325" t="s">
        <v>215</v>
      </c>
      <c r="Z65" s="80">
        <v>1.75</v>
      </c>
      <c r="AA65" s="325" t="s">
        <v>216</v>
      </c>
    </row>
    <row r="66" spans="2:27" ht="17.399999999999999" x14ac:dyDescent="0.4">
      <c r="B66" s="97" t="s">
        <v>132</v>
      </c>
      <c r="C66" s="333">
        <v>2</v>
      </c>
      <c r="D66" s="333"/>
      <c r="E66" s="333">
        <v>2</v>
      </c>
      <c r="F66" s="333"/>
      <c r="G66" s="333">
        <v>2</v>
      </c>
      <c r="H66" s="333">
        <v>2</v>
      </c>
      <c r="I66" s="333">
        <v>2</v>
      </c>
      <c r="J66" s="333">
        <v>2</v>
      </c>
      <c r="K66" s="333"/>
      <c r="L66" s="333"/>
      <c r="M66" s="97" t="s">
        <v>44</v>
      </c>
      <c r="N66" s="214">
        <v>11</v>
      </c>
      <c r="O66" s="100" t="s">
        <v>133</v>
      </c>
      <c r="Q66" s="272">
        <v>0.5</v>
      </c>
      <c r="R66" s="272"/>
      <c r="S66" s="272">
        <v>2.5</v>
      </c>
      <c r="T66" s="272"/>
      <c r="Y66" s="325" t="s">
        <v>217</v>
      </c>
      <c r="Z66" s="81">
        <v>3.8999999999999998E-3</v>
      </c>
      <c r="AA66" s="325" t="s">
        <v>218</v>
      </c>
    </row>
    <row r="67" spans="2:27" ht="17.399999999999999" x14ac:dyDescent="0.4">
      <c r="B67" s="97" t="s">
        <v>134</v>
      </c>
      <c r="C67" s="333">
        <v>1</v>
      </c>
      <c r="D67" s="333"/>
      <c r="E67" s="333">
        <v>1</v>
      </c>
      <c r="F67" s="333"/>
      <c r="G67" s="333">
        <v>1</v>
      </c>
      <c r="H67" s="333">
        <v>1</v>
      </c>
      <c r="I67" s="333">
        <v>1</v>
      </c>
      <c r="J67" s="333">
        <v>1</v>
      </c>
      <c r="K67" s="333"/>
      <c r="L67" s="333"/>
      <c r="M67" s="97" t="s">
        <v>44</v>
      </c>
      <c r="N67" s="214">
        <v>12</v>
      </c>
      <c r="O67" s="100" t="s">
        <v>135</v>
      </c>
      <c r="Q67" s="272">
        <v>0.8</v>
      </c>
      <c r="R67" s="272"/>
      <c r="S67" s="272">
        <v>1.42</v>
      </c>
      <c r="T67" s="272"/>
      <c r="Y67" s="325" t="s">
        <v>219</v>
      </c>
      <c r="Z67" s="82">
        <v>45</v>
      </c>
      <c r="AA67" s="325" t="s">
        <v>48</v>
      </c>
    </row>
    <row r="68" spans="2:27" ht="17.399999999999999" x14ac:dyDescent="0.4">
      <c r="B68" s="97" t="s">
        <v>74</v>
      </c>
      <c r="C68" s="334">
        <v>100</v>
      </c>
      <c r="D68" s="334"/>
      <c r="E68" s="334">
        <v>100</v>
      </c>
      <c r="F68" s="334"/>
      <c r="G68" s="334">
        <v>100</v>
      </c>
      <c r="H68" s="334">
        <v>100</v>
      </c>
      <c r="I68" s="334">
        <v>100</v>
      </c>
      <c r="J68" s="334">
        <v>100</v>
      </c>
      <c r="K68" s="334"/>
      <c r="L68" s="334"/>
      <c r="M68" s="97" t="s">
        <v>7</v>
      </c>
      <c r="N68" s="214"/>
      <c r="O68" s="100"/>
      <c r="Q68" s="272">
        <v>1</v>
      </c>
      <c r="R68" s="272">
        <v>2</v>
      </c>
      <c r="S68" s="311">
        <v>1.1000000000000001</v>
      </c>
      <c r="T68" s="272"/>
      <c r="Y68" s="325" t="s">
        <v>220</v>
      </c>
      <c r="Z68" s="81">
        <f>Z65*(1+Z66*(Z67-20))</f>
        <v>1.9206249999999998</v>
      </c>
      <c r="AA68" s="325" t="s">
        <v>216</v>
      </c>
    </row>
    <row r="69" spans="2:27" ht="17.399999999999999" x14ac:dyDescent="0.4">
      <c r="B69" s="97" t="s">
        <v>136</v>
      </c>
      <c r="C69" s="334">
        <f t="shared" ref="C69" si="86">C19</f>
        <v>30</v>
      </c>
      <c r="D69" s="334"/>
      <c r="E69" s="334">
        <f t="shared" ref="E69" si="87">E19</f>
        <v>30</v>
      </c>
      <c r="F69" s="334"/>
      <c r="G69" s="334">
        <f t="shared" ref="G69:J69" si="88">G19</f>
        <v>30</v>
      </c>
      <c r="H69" s="334">
        <f t="shared" si="88"/>
        <v>30</v>
      </c>
      <c r="I69" s="334">
        <f t="shared" si="88"/>
        <v>30</v>
      </c>
      <c r="J69" s="334">
        <f t="shared" si="88"/>
        <v>30</v>
      </c>
      <c r="K69" s="334"/>
      <c r="L69" s="334"/>
      <c r="M69" s="97" t="s">
        <v>81</v>
      </c>
      <c r="N69" s="214"/>
      <c r="O69" s="97"/>
      <c r="Q69" s="272">
        <v>1.2</v>
      </c>
      <c r="R69" s="272"/>
      <c r="S69" s="272">
        <v>1.04</v>
      </c>
      <c r="T69" s="272"/>
      <c r="Y69" s="325" t="s">
        <v>221</v>
      </c>
      <c r="Z69" s="83">
        <f>1/(Z68/100000000)</f>
        <v>52066384.64041654</v>
      </c>
      <c r="AA69" s="325" t="s">
        <v>222</v>
      </c>
    </row>
    <row r="70" spans="2:27" ht="17.399999999999999" x14ac:dyDescent="0.4">
      <c r="B70" s="97" t="s">
        <v>137</v>
      </c>
      <c r="C70" s="334">
        <f t="shared" ref="C70" si="89">ROUNDUP((C65*C66*((C68*180/100-C69)/180))/2,0)</f>
        <v>571</v>
      </c>
      <c r="D70" s="334"/>
      <c r="E70" s="334">
        <f t="shared" ref="E70" si="90">ROUNDUP((E65*E66*((E68*180/100-E69)/180))/2,0)</f>
        <v>563</v>
      </c>
      <c r="F70" s="334"/>
      <c r="G70" s="334">
        <f t="shared" ref="G70:J70" si="91">ROUNDUP((G65*G66*((G68*180/100-G69)/180))/2,0)</f>
        <v>693</v>
      </c>
      <c r="H70" s="334">
        <f t="shared" si="91"/>
        <v>766</v>
      </c>
      <c r="I70" s="334">
        <f t="shared" si="91"/>
        <v>833</v>
      </c>
      <c r="J70" s="334">
        <f t="shared" si="91"/>
        <v>895</v>
      </c>
      <c r="K70" s="334"/>
      <c r="L70" s="334"/>
      <c r="M70" s="97" t="s">
        <v>6</v>
      </c>
      <c r="N70" s="214"/>
      <c r="O70" s="97"/>
      <c r="Q70" s="272">
        <v>2</v>
      </c>
      <c r="R70" s="272">
        <v>1.1200000000000001</v>
      </c>
      <c r="S70" s="272">
        <v>0.75</v>
      </c>
      <c r="T70" s="272"/>
      <c r="Y70" s="325" t="s">
        <v>223</v>
      </c>
      <c r="Z70" s="68">
        <v>1</v>
      </c>
      <c r="AA70" s="325" t="s">
        <v>224</v>
      </c>
    </row>
    <row r="71" spans="2:27" ht="17.399999999999999" x14ac:dyDescent="0.4">
      <c r="B71" s="97" t="s">
        <v>138</v>
      </c>
      <c r="C71" s="334">
        <f t="shared" ref="C71" si="92">ROUNDUP((C65*C67*(1-(C68*180/100-C69)/180))/2,0)</f>
        <v>58</v>
      </c>
      <c r="D71" s="334"/>
      <c r="E71" s="334">
        <f t="shared" ref="E71" si="93">ROUNDUP((E65*E67*(1-(E68*180/100-E69)/180))/2,0)</f>
        <v>57</v>
      </c>
      <c r="F71" s="334"/>
      <c r="G71" s="334">
        <f t="shared" ref="G71:J71" si="94">ROUNDUP((G65*G67*(1-(G68*180/100-G69)/180))/2,0)</f>
        <v>70</v>
      </c>
      <c r="H71" s="334">
        <f t="shared" si="94"/>
        <v>77</v>
      </c>
      <c r="I71" s="334">
        <f t="shared" si="94"/>
        <v>84</v>
      </c>
      <c r="J71" s="334">
        <f t="shared" si="94"/>
        <v>90</v>
      </c>
      <c r="K71" s="334"/>
      <c r="L71" s="334"/>
      <c r="M71" s="97" t="s">
        <v>6</v>
      </c>
      <c r="N71" s="214"/>
      <c r="O71" s="97"/>
      <c r="Q71" s="272">
        <v>3</v>
      </c>
      <c r="R71" s="272">
        <v>0.71</v>
      </c>
      <c r="S71" s="272">
        <v>0.57999999999999996</v>
      </c>
      <c r="T71" s="272"/>
      <c r="Y71" s="325" t="s">
        <v>257</v>
      </c>
      <c r="Z71" s="326">
        <v>6126</v>
      </c>
      <c r="AA71" s="325" t="s">
        <v>227</v>
      </c>
    </row>
    <row r="72" spans="2:27" ht="17.399999999999999" x14ac:dyDescent="0.4">
      <c r="B72" s="97" t="s">
        <v>71</v>
      </c>
      <c r="C72" s="337">
        <f t="shared" ref="C72" si="95">ROUNDUP(((C65*C66*(((C68*180/100-C69)/180))+(C65*C67*(1-(C68*180/100-C69)/180))))/2,0)</f>
        <v>628</v>
      </c>
      <c r="D72" s="337"/>
      <c r="E72" s="337">
        <f t="shared" ref="E72" si="96">ROUNDUP(((E65*E66*(((E68*180/100-E69)/180))+(E65*E67*(1-(E68*180/100-E69)/180))))/2,0)</f>
        <v>619</v>
      </c>
      <c r="F72" s="337"/>
      <c r="G72" s="337">
        <f t="shared" ref="G72:J72" si="97">ROUNDUP(((G65*G66*(((G68*180/100-G69)/180))+(G65*G67*(1-(G68*180/100-G69)/180))))/2,0)</f>
        <v>763</v>
      </c>
      <c r="H72" s="337">
        <f t="shared" si="97"/>
        <v>843</v>
      </c>
      <c r="I72" s="337">
        <f t="shared" si="97"/>
        <v>916</v>
      </c>
      <c r="J72" s="337">
        <f t="shared" si="97"/>
        <v>984</v>
      </c>
      <c r="K72" s="337"/>
      <c r="L72" s="337"/>
      <c r="M72" s="97" t="s">
        <v>6</v>
      </c>
      <c r="N72" s="214"/>
      <c r="O72" s="97"/>
      <c r="Q72" s="272">
        <v>5</v>
      </c>
      <c r="R72" s="272">
        <v>0.43</v>
      </c>
      <c r="S72" s="272">
        <v>0.36</v>
      </c>
      <c r="T72" s="272"/>
      <c r="Y72" s="325" t="s">
        <v>283</v>
      </c>
      <c r="Z72" s="326">
        <v>2</v>
      </c>
      <c r="AA72" s="325" t="s">
        <v>227</v>
      </c>
    </row>
    <row r="73" spans="2:27" ht="17.399999999999999" x14ac:dyDescent="0.4">
      <c r="B73" s="97" t="s">
        <v>351</v>
      </c>
      <c r="C73" s="334">
        <f t="shared" ref="C73" si="98">C64+C70</f>
        <v>1842.9701128476881</v>
      </c>
      <c r="D73" s="334"/>
      <c r="E73" s="334">
        <f t="shared" ref="E73" si="99">E64+E70</f>
        <v>1882.2278441369135</v>
      </c>
      <c r="F73" s="334"/>
      <c r="G73" s="334">
        <f t="shared" ref="G73:J73" si="100">G64+G70</f>
        <v>2021.1510020811384</v>
      </c>
      <c r="H73" s="334">
        <f t="shared" si="100"/>
        <v>2086.4226324510373</v>
      </c>
      <c r="I73" s="334">
        <f t="shared" si="100"/>
        <v>2148.0978772959729</v>
      </c>
      <c r="J73" s="334">
        <f t="shared" si="100"/>
        <v>2206.2064015116312</v>
      </c>
      <c r="K73" s="334"/>
      <c r="L73" s="334"/>
      <c r="M73" s="97" t="s">
        <v>6</v>
      </c>
      <c r="N73" s="214"/>
      <c r="O73" s="97"/>
      <c r="Q73" s="272">
        <v>6</v>
      </c>
      <c r="R73" s="272"/>
      <c r="S73" s="272">
        <v>0.34</v>
      </c>
      <c r="T73" s="272">
        <v>0.62</v>
      </c>
      <c r="Y73" s="325" t="s">
        <v>279</v>
      </c>
      <c r="Z73" s="326">
        <v>60</v>
      </c>
      <c r="AA73" s="325" t="s">
        <v>227</v>
      </c>
    </row>
    <row r="74" spans="2:27" ht="17.399999999999999" x14ac:dyDescent="0.4">
      <c r="B74" s="97" t="s">
        <v>352</v>
      </c>
      <c r="C74" s="334">
        <f t="shared" ref="C74" si="101">C71+C62</f>
        <v>58</v>
      </c>
      <c r="D74" s="334"/>
      <c r="E74" s="334">
        <f t="shared" ref="E74" si="102">E71+E62</f>
        <v>57</v>
      </c>
      <c r="F74" s="334"/>
      <c r="G74" s="334">
        <f t="shared" ref="G74:J74" si="103">G71+G62</f>
        <v>70</v>
      </c>
      <c r="H74" s="334">
        <f t="shared" si="103"/>
        <v>77</v>
      </c>
      <c r="I74" s="334">
        <f t="shared" si="103"/>
        <v>84</v>
      </c>
      <c r="J74" s="334">
        <f t="shared" si="103"/>
        <v>90</v>
      </c>
      <c r="K74" s="334"/>
      <c r="L74" s="334"/>
      <c r="M74" s="97" t="s">
        <v>6</v>
      </c>
      <c r="N74" s="214"/>
      <c r="O74" s="97"/>
      <c r="Q74" s="272">
        <v>8</v>
      </c>
      <c r="R74" s="272">
        <v>0.3</v>
      </c>
      <c r="S74" s="272">
        <v>0.25</v>
      </c>
      <c r="T74" s="272"/>
      <c r="Y74" s="325" t="s">
        <v>278</v>
      </c>
      <c r="Z74" s="92">
        <f>Z72*Z73</f>
        <v>120</v>
      </c>
      <c r="AA74" s="325" t="s">
        <v>253</v>
      </c>
    </row>
    <row r="75" spans="2:27" ht="17.399999999999999" x14ac:dyDescent="0.4">
      <c r="B75" s="97" t="s">
        <v>359</v>
      </c>
      <c r="C75" s="337">
        <f t="shared" ref="C75" si="104">ROUNDUP((C55+C64+C72),0)</f>
        <v>1921</v>
      </c>
      <c r="D75" s="337"/>
      <c r="E75" s="337">
        <f t="shared" ref="E75" si="105">ROUNDUP((E55+E64+E72),0)</f>
        <v>1960</v>
      </c>
      <c r="F75" s="337"/>
      <c r="G75" s="337">
        <f t="shared" ref="G75:J75" si="106">ROUNDUP((G55+G64+G72),0)</f>
        <v>2113</v>
      </c>
      <c r="H75" s="337">
        <f t="shared" si="106"/>
        <v>2185</v>
      </c>
      <c r="I75" s="337">
        <f t="shared" si="106"/>
        <v>2253</v>
      </c>
      <c r="J75" s="337">
        <f t="shared" si="106"/>
        <v>2317</v>
      </c>
      <c r="K75" s="337"/>
      <c r="L75" s="337"/>
      <c r="M75" s="97" t="s">
        <v>6</v>
      </c>
      <c r="N75" s="214"/>
      <c r="O75" s="97"/>
      <c r="Q75" s="272">
        <v>10</v>
      </c>
      <c r="R75" s="272"/>
      <c r="S75" s="272"/>
      <c r="T75" s="272">
        <v>0.45</v>
      </c>
      <c r="Y75" s="325" t="s">
        <v>258</v>
      </c>
      <c r="Z75" s="326">
        <v>850</v>
      </c>
      <c r="AA75" s="69" t="s">
        <v>254</v>
      </c>
    </row>
    <row r="76" spans="2:27" ht="17.399999999999999" x14ac:dyDescent="0.4">
      <c r="B76" s="97" t="s">
        <v>139</v>
      </c>
      <c r="C76" s="333">
        <v>2</v>
      </c>
      <c r="D76" s="333"/>
      <c r="E76" s="333">
        <v>2</v>
      </c>
      <c r="F76" s="333"/>
      <c r="G76" s="333">
        <v>2</v>
      </c>
      <c r="H76" s="333">
        <v>2</v>
      </c>
      <c r="I76" s="333">
        <v>2</v>
      </c>
      <c r="J76" s="333">
        <v>2</v>
      </c>
      <c r="K76" s="333"/>
      <c r="L76" s="333"/>
      <c r="M76" s="97"/>
      <c r="N76" s="214">
        <v>13</v>
      </c>
      <c r="O76" s="100" t="s">
        <v>358</v>
      </c>
      <c r="Q76" s="272">
        <v>15</v>
      </c>
      <c r="R76" s="272"/>
      <c r="S76" s="272"/>
      <c r="T76" s="272">
        <v>0.4</v>
      </c>
      <c r="Y76" s="325" t="s">
        <v>649</v>
      </c>
      <c r="Z76" s="93">
        <f>Z75/Z74</f>
        <v>7.083333333333333</v>
      </c>
      <c r="AA76" s="69" t="s">
        <v>254</v>
      </c>
    </row>
    <row r="77" spans="2:27" ht="17.399999999999999" x14ac:dyDescent="0.4">
      <c r="B77" s="97" t="s">
        <v>72</v>
      </c>
      <c r="C77" s="338">
        <f t="shared" ref="C77" si="107">C75*C76</f>
        <v>3842</v>
      </c>
      <c r="D77" s="338"/>
      <c r="E77" s="338">
        <f t="shared" ref="E77" si="108">E75*E76</f>
        <v>3920</v>
      </c>
      <c r="F77" s="338"/>
      <c r="G77" s="338">
        <f t="shared" ref="G77:J77" si="109">G75*G76</f>
        <v>4226</v>
      </c>
      <c r="H77" s="338">
        <f t="shared" si="109"/>
        <v>4370</v>
      </c>
      <c r="I77" s="338">
        <f t="shared" si="109"/>
        <v>4506</v>
      </c>
      <c r="J77" s="338">
        <f t="shared" si="109"/>
        <v>4634</v>
      </c>
      <c r="K77" s="338"/>
      <c r="L77" s="338"/>
      <c r="M77" s="97" t="s">
        <v>46</v>
      </c>
      <c r="N77" s="214"/>
      <c r="O77" s="97"/>
      <c r="Q77" s="272">
        <v>20</v>
      </c>
      <c r="R77" s="272"/>
      <c r="S77" s="272"/>
      <c r="T77" s="272">
        <v>0.35</v>
      </c>
      <c r="Y77" s="325" t="s">
        <v>259</v>
      </c>
      <c r="Z77" s="93">
        <f>Z68/100000000*(Z75^2)/(Z74/1000000)*Z71/1000</f>
        <v>708.39612265624987</v>
      </c>
      <c r="AA77" s="69" t="s">
        <v>255</v>
      </c>
    </row>
    <row r="78" spans="2:27" ht="17.399999999999999" x14ac:dyDescent="0.4">
      <c r="B78" s="97" t="s">
        <v>43</v>
      </c>
      <c r="C78" s="339">
        <v>1950</v>
      </c>
      <c r="D78" s="339"/>
      <c r="E78" s="339">
        <v>1950</v>
      </c>
      <c r="F78" s="339"/>
      <c r="G78" s="339">
        <v>1950</v>
      </c>
      <c r="H78" s="339">
        <v>1950</v>
      </c>
      <c r="I78" s="339">
        <v>1950</v>
      </c>
      <c r="J78" s="339">
        <v>1950</v>
      </c>
      <c r="K78" s="339"/>
      <c r="L78" s="339"/>
      <c r="M78" s="97" t="s">
        <v>6</v>
      </c>
      <c r="N78" s="214">
        <v>14</v>
      </c>
      <c r="O78" s="100" t="s">
        <v>119</v>
      </c>
      <c r="Q78" s="272">
        <v>30</v>
      </c>
      <c r="R78" s="272"/>
      <c r="S78" s="272"/>
      <c r="T78" s="272">
        <v>0.28939999999999999</v>
      </c>
    </row>
    <row r="79" spans="2:27" ht="17.399999999999999" x14ac:dyDescent="0.4">
      <c r="B79" s="97" t="s">
        <v>356</v>
      </c>
      <c r="C79" s="338">
        <f t="shared" ref="C79" si="110">ROUNDUP(C77/C78*100,0)</f>
        <v>198</v>
      </c>
      <c r="D79" s="338"/>
      <c r="E79" s="338">
        <f t="shared" ref="E79" si="111">ROUNDUP(E77/E78*100,0)</f>
        <v>202</v>
      </c>
      <c r="F79" s="338"/>
      <c r="G79" s="338">
        <f t="shared" ref="G79:J79" si="112">ROUNDUP(G77/G78*100,0)</f>
        <v>217</v>
      </c>
      <c r="H79" s="338">
        <f t="shared" si="112"/>
        <v>225</v>
      </c>
      <c r="I79" s="338">
        <f t="shared" si="112"/>
        <v>232</v>
      </c>
      <c r="J79" s="338">
        <f t="shared" si="112"/>
        <v>238</v>
      </c>
      <c r="K79" s="338"/>
      <c r="L79" s="338"/>
      <c r="M79" s="97" t="s">
        <v>7</v>
      </c>
      <c r="N79" s="214"/>
      <c r="O79" s="100" t="s">
        <v>357</v>
      </c>
      <c r="Q79" s="272">
        <v>50</v>
      </c>
      <c r="R79" s="272"/>
      <c r="S79" s="272"/>
      <c r="T79" s="272">
        <v>0.224</v>
      </c>
    </row>
    <row r="80" spans="2:27" ht="17.399999999999999" x14ac:dyDescent="0.4">
      <c r="B80" s="97" t="s">
        <v>140</v>
      </c>
      <c r="C80" s="340">
        <v>6.4000000000000001E-2</v>
      </c>
      <c r="D80" s="340"/>
      <c r="E80" s="340">
        <v>6.4000000000000001E-2</v>
      </c>
      <c r="F80" s="340"/>
      <c r="G80" s="340">
        <v>6.4000000000000001E-2</v>
      </c>
      <c r="H80" s="340">
        <v>6.4000000000000001E-2</v>
      </c>
      <c r="I80" s="340">
        <v>6.4000000000000001E-2</v>
      </c>
      <c r="J80" s="340">
        <v>6.4000000000000001E-2</v>
      </c>
      <c r="K80" s="340"/>
      <c r="L80" s="340"/>
      <c r="M80" s="97" t="s">
        <v>60</v>
      </c>
      <c r="N80" s="214">
        <v>15</v>
      </c>
      <c r="O80" s="218" t="s">
        <v>119</v>
      </c>
      <c r="Q80" s="272">
        <v>100</v>
      </c>
      <c r="R80" s="272"/>
      <c r="S80" s="272"/>
      <c r="T80" s="272">
        <v>0.161</v>
      </c>
    </row>
    <row r="81" spans="2:23" ht="17.399999999999999" x14ac:dyDescent="0.4">
      <c r="B81" s="97" t="s">
        <v>291</v>
      </c>
      <c r="C81" s="340">
        <v>0.1</v>
      </c>
      <c r="D81" s="340"/>
      <c r="E81" s="340">
        <v>0.1</v>
      </c>
      <c r="F81" s="340"/>
      <c r="G81" s="340">
        <v>0.1</v>
      </c>
      <c r="H81" s="340">
        <v>0.1</v>
      </c>
      <c r="I81" s="340">
        <v>0.1</v>
      </c>
      <c r="J81" s="340">
        <v>0.1</v>
      </c>
      <c r="K81" s="340"/>
      <c r="L81" s="340"/>
      <c r="M81" s="97" t="s">
        <v>60</v>
      </c>
      <c r="N81" s="214">
        <v>16</v>
      </c>
      <c r="O81" s="218" t="s">
        <v>119</v>
      </c>
      <c r="Q81" s="272">
        <v>200</v>
      </c>
      <c r="R81" s="272"/>
      <c r="S81" s="272"/>
      <c r="T81" s="272">
        <v>7.7600000000000002E-2</v>
      </c>
    </row>
    <row r="82" spans="2:23" ht="17.399999999999999" x14ac:dyDescent="0.4">
      <c r="B82" s="97" t="s">
        <v>141</v>
      </c>
      <c r="C82" s="341">
        <f t="shared" ref="C82:C83" si="113">125-C80*C73</f>
        <v>7.0499127777479629</v>
      </c>
      <c r="D82" s="341"/>
      <c r="E82" s="341">
        <f t="shared" ref="E82:E83" si="114">125-E80*E73</f>
        <v>4.5374179752375312</v>
      </c>
      <c r="F82" s="341"/>
      <c r="G82" s="341">
        <f t="shared" ref="G82:J83" si="115">125-G80*G73</f>
        <v>-4.3536641331928649</v>
      </c>
      <c r="H82" s="341">
        <f t="shared" si="115"/>
        <v>-8.5310484768664026</v>
      </c>
      <c r="I82" s="341">
        <f t="shared" si="115"/>
        <v>-12.47826414694228</v>
      </c>
      <c r="J82" s="341">
        <f t="shared" si="115"/>
        <v>-16.197209696744409</v>
      </c>
      <c r="K82" s="341"/>
      <c r="L82" s="341"/>
      <c r="M82" s="102" t="s">
        <v>61</v>
      </c>
      <c r="N82" s="214"/>
      <c r="O82" s="100" t="s">
        <v>142</v>
      </c>
      <c r="Q82" s="272">
        <v>300</v>
      </c>
      <c r="R82" s="272"/>
      <c r="S82" s="272"/>
      <c r="T82" s="272">
        <v>5.2400000000000002E-2</v>
      </c>
    </row>
    <row r="83" spans="2:23" ht="17.399999999999999" x14ac:dyDescent="0.4">
      <c r="B83" s="97" t="s">
        <v>143</v>
      </c>
      <c r="C83" s="332">
        <f t="shared" si="113"/>
        <v>119.2</v>
      </c>
      <c r="D83" s="332"/>
      <c r="E83" s="332">
        <f t="shared" si="114"/>
        <v>119.3</v>
      </c>
      <c r="F83" s="332"/>
      <c r="G83" s="332">
        <f t="shared" si="115"/>
        <v>118</v>
      </c>
      <c r="H83" s="332">
        <f t="shared" si="115"/>
        <v>117.3</v>
      </c>
      <c r="I83" s="332">
        <f t="shared" si="115"/>
        <v>116.6</v>
      </c>
      <c r="J83" s="332">
        <f t="shared" si="115"/>
        <v>116</v>
      </c>
      <c r="K83" s="332"/>
      <c r="L83" s="332"/>
      <c r="M83" s="102" t="s">
        <v>61</v>
      </c>
      <c r="N83" s="214"/>
      <c r="O83" s="97"/>
    </row>
    <row r="84" spans="2:23" ht="17.399999999999999" x14ac:dyDescent="0.4">
      <c r="B84" s="97" t="s">
        <v>144</v>
      </c>
      <c r="C84" s="332">
        <f t="shared" ref="C84:C85" si="116">C80*C73</f>
        <v>117.95008722225204</v>
      </c>
      <c r="D84" s="332"/>
      <c r="E84" s="332">
        <f t="shared" ref="E84:E85" si="117">E80*E73</f>
        <v>120.46258202476247</v>
      </c>
      <c r="F84" s="332"/>
      <c r="G84" s="332">
        <f t="shared" ref="G84:J85" si="118">G80*G73</f>
        <v>129.35366413319286</v>
      </c>
      <c r="H84" s="332">
        <f t="shared" si="118"/>
        <v>133.5310484768664</v>
      </c>
      <c r="I84" s="332">
        <f t="shared" si="118"/>
        <v>137.47826414694228</v>
      </c>
      <c r="J84" s="332">
        <f t="shared" si="118"/>
        <v>141.19720969674441</v>
      </c>
      <c r="K84" s="332"/>
      <c r="L84" s="332"/>
      <c r="M84" s="102" t="s">
        <v>61</v>
      </c>
      <c r="N84" s="214"/>
      <c r="O84" s="97"/>
      <c r="Q84" s="433" t="s">
        <v>630</v>
      </c>
      <c r="R84" s="433"/>
      <c r="S84" s="433"/>
      <c r="U84" s="433" t="s">
        <v>678</v>
      </c>
      <c r="V84" s="433"/>
      <c r="W84" s="433"/>
    </row>
    <row r="85" spans="2:23" ht="17.399999999999999" x14ac:dyDescent="0.4">
      <c r="B85" s="97" t="s">
        <v>145</v>
      </c>
      <c r="C85" s="332">
        <f t="shared" si="116"/>
        <v>5.8000000000000007</v>
      </c>
      <c r="D85" s="332"/>
      <c r="E85" s="332">
        <f t="shared" si="117"/>
        <v>5.7</v>
      </c>
      <c r="F85" s="332"/>
      <c r="G85" s="332">
        <f t="shared" si="118"/>
        <v>7</v>
      </c>
      <c r="H85" s="332">
        <f t="shared" si="118"/>
        <v>7.7</v>
      </c>
      <c r="I85" s="332">
        <f t="shared" si="118"/>
        <v>8.4</v>
      </c>
      <c r="J85" s="332">
        <f t="shared" si="118"/>
        <v>9</v>
      </c>
      <c r="K85" s="332"/>
      <c r="L85" s="332"/>
      <c r="M85" s="102" t="s">
        <v>61</v>
      </c>
      <c r="N85" s="214"/>
      <c r="O85" s="97"/>
      <c r="Q85" s="275" t="s">
        <v>629</v>
      </c>
      <c r="R85" s="275" t="s">
        <v>635</v>
      </c>
      <c r="S85" s="275"/>
      <c r="U85" s="275" t="s">
        <v>679</v>
      </c>
      <c r="V85" s="275" t="s">
        <v>680</v>
      </c>
      <c r="W85" s="275" t="s">
        <v>681</v>
      </c>
    </row>
    <row r="86" spans="2:23" ht="17.399999999999999" x14ac:dyDescent="0.4">
      <c r="B86" s="97" t="s">
        <v>146</v>
      </c>
      <c r="C86" s="340">
        <v>0.03</v>
      </c>
      <c r="D86" s="340"/>
      <c r="E86" s="340">
        <v>0.03</v>
      </c>
      <c r="F86" s="340"/>
      <c r="G86" s="340">
        <v>0.03</v>
      </c>
      <c r="H86" s="340">
        <v>0.03</v>
      </c>
      <c r="I86" s="340">
        <v>0.03</v>
      </c>
      <c r="J86" s="340">
        <v>0.03</v>
      </c>
      <c r="K86" s="340"/>
      <c r="L86" s="340"/>
      <c r="M86" s="97" t="s">
        <v>60</v>
      </c>
      <c r="N86" s="214">
        <v>17</v>
      </c>
      <c r="O86" s="97" t="s">
        <v>119</v>
      </c>
      <c r="Q86" s="327" t="s">
        <v>627</v>
      </c>
      <c r="R86" s="327">
        <v>183</v>
      </c>
      <c r="S86" s="327" t="s">
        <v>50</v>
      </c>
      <c r="U86" s="260" t="s">
        <v>682</v>
      </c>
      <c r="V86" s="260" t="s">
        <v>683</v>
      </c>
      <c r="W86" s="312" t="s">
        <v>684</v>
      </c>
    </row>
    <row r="87" spans="2:23" ht="17.399999999999999" x14ac:dyDescent="0.4">
      <c r="B87" s="97" t="s">
        <v>147</v>
      </c>
      <c r="C87" s="340">
        <v>0.06</v>
      </c>
      <c r="D87" s="340"/>
      <c r="E87" s="340">
        <v>0.06</v>
      </c>
      <c r="F87" s="340"/>
      <c r="G87" s="340">
        <v>0.06</v>
      </c>
      <c r="H87" s="340">
        <v>0.06</v>
      </c>
      <c r="I87" s="340">
        <v>0.06</v>
      </c>
      <c r="J87" s="340">
        <v>0.06</v>
      </c>
      <c r="K87" s="340"/>
      <c r="L87" s="340"/>
      <c r="M87" s="97" t="s">
        <v>60</v>
      </c>
      <c r="N87" s="214">
        <v>18</v>
      </c>
      <c r="O87" s="97" t="s">
        <v>119</v>
      </c>
      <c r="Q87" s="327" t="s">
        <v>628</v>
      </c>
      <c r="R87" s="327">
        <v>75</v>
      </c>
      <c r="S87" s="327" t="s">
        <v>50</v>
      </c>
      <c r="U87" s="260" t="s">
        <v>685</v>
      </c>
      <c r="V87" s="260" t="s">
        <v>686</v>
      </c>
      <c r="W87" s="312" t="s">
        <v>687</v>
      </c>
    </row>
    <row r="88" spans="2:23" ht="17.399999999999999" x14ac:dyDescent="0.4">
      <c r="B88" s="97" t="s">
        <v>148</v>
      </c>
      <c r="C88" s="342">
        <f t="shared" ref="C88:C89" si="119">C82-C86*C73</f>
        <v>-48.23919060768268</v>
      </c>
      <c r="D88" s="342"/>
      <c r="E88" s="342">
        <f t="shared" ref="E88:E89" si="120">E82-E86*E73</f>
        <v>-51.929417348869869</v>
      </c>
      <c r="F88" s="342"/>
      <c r="G88" s="342">
        <f t="shared" ref="G88:J89" si="121">G82-G86*G73</f>
        <v>-64.988194195627017</v>
      </c>
      <c r="H88" s="342">
        <f t="shared" si="121"/>
        <v>-71.123727450397524</v>
      </c>
      <c r="I88" s="342">
        <f t="shared" si="121"/>
        <v>-76.921200465821471</v>
      </c>
      <c r="J88" s="342">
        <f t="shared" si="121"/>
        <v>-82.383401742093341</v>
      </c>
      <c r="K88" s="342"/>
      <c r="L88" s="342"/>
      <c r="M88" s="102" t="s">
        <v>61</v>
      </c>
      <c r="N88" s="214"/>
      <c r="O88" s="97" t="s">
        <v>142</v>
      </c>
      <c r="Q88" s="327" t="s">
        <v>631</v>
      </c>
      <c r="R88" s="327">
        <v>9</v>
      </c>
      <c r="S88" s="327" t="s">
        <v>50</v>
      </c>
      <c r="U88" s="260" t="s">
        <v>688</v>
      </c>
      <c r="V88" s="260" t="s">
        <v>689</v>
      </c>
      <c r="W88" s="312" t="s">
        <v>690</v>
      </c>
    </row>
    <row r="89" spans="2:23" ht="17.399999999999999" x14ac:dyDescent="0.4">
      <c r="B89" s="97" t="s">
        <v>149</v>
      </c>
      <c r="C89" s="332">
        <f t="shared" si="119"/>
        <v>115.72</v>
      </c>
      <c r="D89" s="332"/>
      <c r="E89" s="332">
        <f t="shared" si="120"/>
        <v>115.88</v>
      </c>
      <c r="F89" s="332"/>
      <c r="G89" s="332">
        <f t="shared" si="121"/>
        <v>113.8</v>
      </c>
      <c r="H89" s="332">
        <f t="shared" si="121"/>
        <v>112.67999999999999</v>
      </c>
      <c r="I89" s="332">
        <f t="shared" si="121"/>
        <v>111.55999999999999</v>
      </c>
      <c r="J89" s="332">
        <f t="shared" si="121"/>
        <v>110.6</v>
      </c>
      <c r="K89" s="332"/>
      <c r="L89" s="332"/>
      <c r="M89" s="102" t="s">
        <v>61</v>
      </c>
      <c r="N89" s="214"/>
      <c r="O89" s="97"/>
      <c r="Q89" s="327" t="s">
        <v>632</v>
      </c>
      <c r="R89" s="327">
        <v>6</v>
      </c>
      <c r="S89" s="327" t="s">
        <v>50</v>
      </c>
      <c r="U89" s="260" t="s">
        <v>691</v>
      </c>
      <c r="V89" s="260" t="s">
        <v>692</v>
      </c>
      <c r="W89" s="312" t="s">
        <v>693</v>
      </c>
    </row>
    <row r="90" spans="2:23" ht="17.399999999999999" x14ac:dyDescent="0.4">
      <c r="B90" s="97" t="s">
        <v>150</v>
      </c>
      <c r="C90" s="332">
        <f t="shared" ref="C90:C91" si="122">C86*C73</f>
        <v>55.289103385430643</v>
      </c>
      <c r="D90" s="332"/>
      <c r="E90" s="332">
        <f t="shared" ref="E90:E91" si="123">E86*E73</f>
        <v>56.4668353241074</v>
      </c>
      <c r="F90" s="332"/>
      <c r="G90" s="332">
        <f t="shared" ref="G90:J91" si="124">G86*G73</f>
        <v>60.634530062434152</v>
      </c>
      <c r="H90" s="332">
        <f t="shared" si="124"/>
        <v>62.592678973531115</v>
      </c>
      <c r="I90" s="332">
        <f t="shared" si="124"/>
        <v>64.442936318879191</v>
      </c>
      <c r="J90" s="332">
        <f t="shared" si="124"/>
        <v>66.186192045348932</v>
      </c>
      <c r="K90" s="332"/>
      <c r="L90" s="332"/>
      <c r="M90" s="102" t="s">
        <v>61</v>
      </c>
      <c r="N90" s="214"/>
      <c r="O90" s="97"/>
      <c r="Q90" s="327" t="s">
        <v>633</v>
      </c>
      <c r="R90" s="327">
        <v>12</v>
      </c>
      <c r="S90" s="327" t="s">
        <v>50</v>
      </c>
      <c r="U90" s="260" t="s">
        <v>694</v>
      </c>
      <c r="V90" s="260" t="s">
        <v>695</v>
      </c>
      <c r="W90" s="312" t="s">
        <v>696</v>
      </c>
    </row>
    <row r="91" spans="2:23" ht="17.399999999999999" x14ac:dyDescent="0.4">
      <c r="B91" s="97" t="s">
        <v>151</v>
      </c>
      <c r="C91" s="332">
        <f t="shared" si="122"/>
        <v>3.48</v>
      </c>
      <c r="D91" s="332"/>
      <c r="E91" s="332">
        <f t="shared" si="123"/>
        <v>3.42</v>
      </c>
      <c r="F91" s="332"/>
      <c r="G91" s="332">
        <f t="shared" si="124"/>
        <v>4.2</v>
      </c>
      <c r="H91" s="332">
        <f t="shared" si="124"/>
        <v>4.62</v>
      </c>
      <c r="I91" s="332">
        <f t="shared" si="124"/>
        <v>5.04</v>
      </c>
      <c r="J91" s="332">
        <f t="shared" si="124"/>
        <v>5.3999999999999995</v>
      </c>
      <c r="K91" s="332"/>
      <c r="L91" s="332"/>
      <c r="M91" s="102" t="s">
        <v>61</v>
      </c>
      <c r="N91" s="214"/>
      <c r="O91" s="97"/>
      <c r="Q91" s="327" t="s">
        <v>634</v>
      </c>
      <c r="R91" s="327">
        <v>78.540000000000006</v>
      </c>
      <c r="S91" s="327" t="s">
        <v>50</v>
      </c>
      <c r="U91" s="260" t="s">
        <v>697</v>
      </c>
      <c r="V91" s="260" t="s">
        <v>698</v>
      </c>
      <c r="W91" s="312" t="s">
        <v>699</v>
      </c>
    </row>
    <row r="92" spans="2:23" ht="17.399999999999999" x14ac:dyDescent="0.4">
      <c r="B92" s="97" t="s">
        <v>62</v>
      </c>
      <c r="C92" s="332">
        <v>60</v>
      </c>
      <c r="D92" s="332"/>
      <c r="E92" s="332">
        <v>60</v>
      </c>
      <c r="F92" s="332"/>
      <c r="G92" s="332">
        <v>60</v>
      </c>
      <c r="H92" s="332">
        <v>60</v>
      </c>
      <c r="I92" s="332">
        <v>60</v>
      </c>
      <c r="J92" s="332">
        <v>60</v>
      </c>
      <c r="K92" s="332"/>
      <c r="L92" s="332"/>
      <c r="M92" s="102" t="s">
        <v>61</v>
      </c>
      <c r="N92" s="214"/>
      <c r="O92" s="97" t="s">
        <v>152</v>
      </c>
    </row>
    <row r="93" spans="2:23" ht="17.399999999999999" x14ac:dyDescent="0.4">
      <c r="B93" s="97" t="s">
        <v>63</v>
      </c>
      <c r="C93" s="343">
        <v>8</v>
      </c>
      <c r="D93" s="343"/>
      <c r="E93" s="343">
        <v>8</v>
      </c>
      <c r="F93" s="343"/>
      <c r="G93" s="343">
        <v>8</v>
      </c>
      <c r="H93" s="343">
        <v>8</v>
      </c>
      <c r="I93" s="343">
        <v>8</v>
      </c>
      <c r="J93" s="343">
        <v>8</v>
      </c>
      <c r="K93" s="343"/>
      <c r="L93" s="343"/>
      <c r="M93" s="102" t="s">
        <v>64</v>
      </c>
      <c r="N93" s="214"/>
      <c r="O93" s="97" t="s">
        <v>153</v>
      </c>
    </row>
    <row r="94" spans="2:23" ht="17.399999999999999" x14ac:dyDescent="0.4">
      <c r="B94" s="97" t="s">
        <v>65</v>
      </c>
      <c r="C94" s="344">
        <f t="shared" ref="C94" si="125">C92-(C77/1000*860/C93/60)</f>
        <v>53.116416666666666</v>
      </c>
      <c r="D94" s="344"/>
      <c r="E94" s="344">
        <f t="shared" ref="E94" si="126">E92-(E77/1000*860/E93/60)</f>
        <v>52.976666666666667</v>
      </c>
      <c r="F94" s="344"/>
      <c r="G94" s="344">
        <f t="shared" ref="G94:J94" si="127">G92-(G77/1000*860/G93/60)</f>
        <v>52.428416666666664</v>
      </c>
      <c r="H94" s="344">
        <f t="shared" si="127"/>
        <v>52.170416666666668</v>
      </c>
      <c r="I94" s="344">
        <f t="shared" si="127"/>
        <v>51.926749999999998</v>
      </c>
      <c r="J94" s="344">
        <f t="shared" si="127"/>
        <v>51.697416666666669</v>
      </c>
      <c r="K94" s="344"/>
      <c r="L94" s="344"/>
      <c r="M94" s="102" t="s">
        <v>61</v>
      </c>
      <c r="N94" s="214"/>
      <c r="O94" s="97"/>
    </row>
  </sheetData>
  <mergeCells count="27">
    <mergeCell ref="AG3:AI3"/>
    <mergeCell ref="Q31:S31"/>
    <mergeCell ref="Q3:S3"/>
    <mergeCell ref="U3:W3"/>
    <mergeCell ref="Y3:AA3"/>
    <mergeCell ref="AC3:AE3"/>
    <mergeCell ref="U10:W10"/>
    <mergeCell ref="AC10:AE10"/>
    <mergeCell ref="U17:W17"/>
    <mergeCell ref="Q18:S18"/>
    <mergeCell ref="AC21:AE21"/>
    <mergeCell ref="U23:W23"/>
    <mergeCell ref="Y24:AA24"/>
    <mergeCell ref="Y63:AA63"/>
    <mergeCell ref="V34:W34"/>
    <mergeCell ref="AC34:AE34"/>
    <mergeCell ref="AC40:AE40"/>
    <mergeCell ref="Q42:S42"/>
    <mergeCell ref="Y43:AA43"/>
    <mergeCell ref="AC45:AE45"/>
    <mergeCell ref="Q84:S84"/>
    <mergeCell ref="U84:W84"/>
    <mergeCell ref="U46:W46"/>
    <mergeCell ref="Q51:S51"/>
    <mergeCell ref="U52:W52"/>
    <mergeCell ref="Q57:S57"/>
    <mergeCell ref="Q63:S63"/>
  </mergeCells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4"/>
  <sheetViews>
    <sheetView topLeftCell="L1" zoomScale="70" zoomScaleNormal="70" workbookViewId="0">
      <selection activeCell="AG33" sqref="AG33:AG34"/>
    </sheetView>
  </sheetViews>
  <sheetFormatPr defaultColWidth="8.8984375" defaultRowHeight="14.4" x14ac:dyDescent="0.25"/>
  <cols>
    <col min="1" max="1" width="8.8984375" style="322"/>
    <col min="2" max="2" width="40.796875" style="322" customWidth="1"/>
    <col min="3" max="11" width="14.19921875" style="322" customWidth="1"/>
    <col min="12" max="12" width="8.3984375" style="322" customWidth="1"/>
    <col min="13" max="13" width="6.296875" style="322" customWidth="1"/>
    <col min="14" max="14" width="8.19921875" style="322" bestFit="1" customWidth="1"/>
    <col min="15" max="15" width="67.296875" style="322" customWidth="1"/>
    <col min="16" max="16" width="4" style="322" customWidth="1"/>
    <col min="17" max="17" width="19.09765625" style="322" customWidth="1"/>
    <col min="18" max="19" width="12.796875" style="322" bestFit="1" customWidth="1"/>
    <col min="20" max="20" width="24.8984375" style="322" customWidth="1"/>
    <col min="21" max="21" width="20.8984375" style="322" bestFit="1" customWidth="1"/>
    <col min="22" max="22" width="10.09765625" style="322" bestFit="1" customWidth="1"/>
    <col min="23" max="23" width="8.8984375" style="322"/>
    <col min="24" max="24" width="4.3984375" style="322" customWidth="1"/>
    <col min="25" max="25" width="17.59765625" style="322" bestFit="1" customWidth="1"/>
    <col min="26" max="26" width="8.8984375" style="322"/>
    <col min="27" max="27" width="10.796875" style="322" bestFit="1" customWidth="1"/>
    <col min="28" max="28" width="4.59765625" style="322" customWidth="1"/>
    <col min="29" max="29" width="30.69921875" style="322" customWidth="1"/>
    <col min="30" max="30" width="13" style="322" bestFit="1" customWidth="1"/>
    <col min="31" max="31" width="7" style="322" customWidth="1"/>
    <col min="32" max="16384" width="8.8984375" style="322"/>
  </cols>
  <sheetData>
    <row r="1" spans="2:32" ht="19.2" x14ac:dyDescent="0.25">
      <c r="B1" s="233" t="s">
        <v>365</v>
      </c>
      <c r="C1" s="3" t="s">
        <v>741</v>
      </c>
      <c r="E1" s="3" t="s">
        <v>742</v>
      </c>
    </row>
    <row r="2" spans="2:32" ht="29.4" thickBot="1" x14ac:dyDescent="0.3">
      <c r="B2" s="211" t="s">
        <v>242</v>
      </c>
      <c r="C2" s="348" t="s">
        <v>723</v>
      </c>
      <c r="D2" s="348"/>
      <c r="E2" s="348" t="s">
        <v>723</v>
      </c>
      <c r="F2" s="348"/>
      <c r="G2" s="383"/>
      <c r="H2" s="383"/>
      <c r="I2" s="383"/>
      <c r="J2" s="383"/>
      <c r="K2" s="348"/>
      <c r="L2" s="349"/>
      <c r="M2" s="212"/>
      <c r="N2" s="212" t="s">
        <v>348</v>
      </c>
      <c r="O2" s="212" t="s">
        <v>247</v>
      </c>
    </row>
    <row r="3" spans="2:32" ht="17.399999999999999" x14ac:dyDescent="0.25">
      <c r="B3" s="327" t="s">
        <v>18</v>
      </c>
      <c r="C3" s="328">
        <v>90</v>
      </c>
      <c r="D3" s="328"/>
      <c r="E3" s="328">
        <v>90</v>
      </c>
      <c r="F3" s="353"/>
      <c r="G3" s="384">
        <v>200</v>
      </c>
      <c r="H3" s="385">
        <v>200</v>
      </c>
      <c r="I3" s="385">
        <v>200</v>
      </c>
      <c r="J3" s="386">
        <v>200</v>
      </c>
      <c r="K3" s="368"/>
      <c r="L3" s="328"/>
      <c r="M3" s="327" t="s">
        <v>1</v>
      </c>
      <c r="N3" s="214">
        <v>1</v>
      </c>
      <c r="O3" s="345" t="s">
        <v>245</v>
      </c>
      <c r="Q3" s="430" t="s">
        <v>284</v>
      </c>
      <c r="R3" s="430"/>
      <c r="S3" s="430"/>
      <c r="T3" s="321"/>
      <c r="U3" s="431" t="s">
        <v>243</v>
      </c>
      <c r="V3" s="431"/>
      <c r="W3" s="431"/>
      <c r="X3" s="321"/>
      <c r="Y3" s="431" t="s">
        <v>646</v>
      </c>
      <c r="Z3" s="431"/>
      <c r="AA3" s="431"/>
      <c r="AB3" s="321"/>
      <c r="AC3" s="430" t="s">
        <v>264</v>
      </c>
      <c r="AD3" s="430"/>
      <c r="AE3" s="430"/>
      <c r="AF3" s="79"/>
    </row>
    <row r="4" spans="2:32" ht="17.399999999999999" x14ac:dyDescent="0.25">
      <c r="B4" s="327" t="s">
        <v>668</v>
      </c>
      <c r="C4" s="328">
        <v>380</v>
      </c>
      <c r="D4" s="328"/>
      <c r="E4" s="328">
        <v>380</v>
      </c>
      <c r="F4" s="353"/>
      <c r="G4" s="387">
        <v>380</v>
      </c>
      <c r="H4" s="328">
        <v>380</v>
      </c>
      <c r="I4" s="328">
        <v>380</v>
      </c>
      <c r="J4" s="388">
        <v>380</v>
      </c>
      <c r="K4" s="368"/>
      <c r="L4" s="328"/>
      <c r="M4" s="327" t="s">
        <v>0</v>
      </c>
      <c r="N4" s="214">
        <v>2</v>
      </c>
      <c r="O4" s="345" t="s">
        <v>246</v>
      </c>
      <c r="Q4" s="323" t="s">
        <v>10</v>
      </c>
      <c r="R4" s="324">
        <v>3</v>
      </c>
      <c r="S4" s="323" t="s">
        <v>11</v>
      </c>
      <c r="T4" s="321"/>
      <c r="U4" s="323" t="s">
        <v>20</v>
      </c>
      <c r="V4" s="324">
        <v>500</v>
      </c>
      <c r="W4" s="323" t="s">
        <v>0</v>
      </c>
      <c r="X4" s="321"/>
      <c r="Y4" s="323" t="s">
        <v>213</v>
      </c>
      <c r="Z4" s="68" t="s">
        <v>214</v>
      </c>
      <c r="AA4" s="68"/>
      <c r="AB4" s="321"/>
      <c r="AC4" s="71" t="s">
        <v>108</v>
      </c>
      <c r="AD4" s="324">
        <v>160</v>
      </c>
      <c r="AE4" s="71" t="s">
        <v>15</v>
      </c>
      <c r="AF4" s="79"/>
    </row>
    <row r="5" spans="2:32" ht="17.399999999999999" x14ac:dyDescent="0.25">
      <c r="B5" s="327" t="s">
        <v>75</v>
      </c>
      <c r="C5" s="329">
        <v>0.9</v>
      </c>
      <c r="D5" s="329"/>
      <c r="E5" s="329">
        <v>0.9</v>
      </c>
      <c r="F5" s="354"/>
      <c r="G5" s="389">
        <v>0.9</v>
      </c>
      <c r="H5" s="329">
        <v>0.9</v>
      </c>
      <c r="I5" s="329">
        <v>0.9</v>
      </c>
      <c r="J5" s="390">
        <v>0.9</v>
      </c>
      <c r="K5" s="369"/>
      <c r="L5" s="329"/>
      <c r="M5" s="327"/>
      <c r="N5" s="214"/>
      <c r="O5" s="327" t="s">
        <v>636</v>
      </c>
      <c r="Q5" s="323" t="s">
        <v>12</v>
      </c>
      <c r="R5" s="324">
        <v>36</v>
      </c>
      <c r="S5" s="323" t="s">
        <v>13</v>
      </c>
      <c r="T5" s="321"/>
      <c r="U5" s="323" t="s">
        <v>624</v>
      </c>
      <c r="V5" s="324">
        <v>5.2400000000000002E-2</v>
      </c>
      <c r="W5" s="323" t="s">
        <v>19</v>
      </c>
      <c r="X5" s="321"/>
      <c r="Y5" s="325" t="s">
        <v>215</v>
      </c>
      <c r="Z5" s="80">
        <v>1.75</v>
      </c>
      <c r="AA5" s="325" t="s">
        <v>216</v>
      </c>
      <c r="AB5" s="321"/>
      <c r="AC5" s="71" t="s">
        <v>109</v>
      </c>
      <c r="AD5" s="324">
        <v>7200</v>
      </c>
      <c r="AE5" s="71" t="s">
        <v>2</v>
      </c>
      <c r="AF5" s="79"/>
    </row>
    <row r="6" spans="2:32" ht="17.399999999999999" x14ac:dyDescent="0.25">
      <c r="B6" s="327" t="s">
        <v>66</v>
      </c>
      <c r="C6" s="224">
        <f t="shared" ref="C6" si="0">ROUND(C3*1000/(C4*0.9)/1.732/C5,1)</f>
        <v>168.8</v>
      </c>
      <c r="D6" s="224"/>
      <c r="E6" s="224">
        <f t="shared" ref="E6" si="1">ROUND(E3*1000/(E4*0.9)/1.732/E5,1)</f>
        <v>168.8</v>
      </c>
      <c r="F6" s="355"/>
      <c r="G6" s="391">
        <f t="shared" ref="G6:J6" si="2">ROUND(G3*1000/(G4*0.9)/1.732/G5,1)</f>
        <v>375.2</v>
      </c>
      <c r="H6" s="224">
        <f t="shared" si="2"/>
        <v>375.2</v>
      </c>
      <c r="I6" s="224">
        <f t="shared" si="2"/>
        <v>375.2</v>
      </c>
      <c r="J6" s="392">
        <f t="shared" si="2"/>
        <v>375.2</v>
      </c>
      <c r="K6" s="370"/>
      <c r="L6" s="224"/>
      <c r="M6" s="327" t="s">
        <v>2</v>
      </c>
      <c r="N6" s="214"/>
      <c r="O6" s="327" t="s">
        <v>345</v>
      </c>
      <c r="Q6" s="323" t="s">
        <v>14</v>
      </c>
      <c r="R6" s="324">
        <v>30</v>
      </c>
      <c r="S6" s="323" t="s">
        <v>13</v>
      </c>
      <c r="T6" s="321"/>
      <c r="U6" s="323" t="s">
        <v>21</v>
      </c>
      <c r="V6" s="324">
        <v>48</v>
      </c>
      <c r="W6" s="323" t="s">
        <v>22</v>
      </c>
      <c r="X6" s="321"/>
      <c r="Y6" s="325" t="s">
        <v>217</v>
      </c>
      <c r="Z6" s="81">
        <v>3.8999999999999998E-3</v>
      </c>
      <c r="AA6" s="325" t="s">
        <v>218</v>
      </c>
      <c r="AB6" s="321"/>
      <c r="AC6" s="71" t="s">
        <v>110</v>
      </c>
      <c r="AD6" s="324">
        <v>12800</v>
      </c>
      <c r="AE6" s="71" t="s">
        <v>27</v>
      </c>
      <c r="AF6" s="79"/>
    </row>
    <row r="7" spans="2:32" ht="17.399999999999999" x14ac:dyDescent="0.25">
      <c r="B7" s="327" t="s">
        <v>53</v>
      </c>
      <c r="C7" s="223">
        <v>2</v>
      </c>
      <c r="D7" s="223"/>
      <c r="E7" s="223">
        <v>2</v>
      </c>
      <c r="F7" s="356"/>
      <c r="G7" s="393">
        <v>2</v>
      </c>
      <c r="H7" s="223">
        <v>2</v>
      </c>
      <c r="I7" s="223">
        <v>2</v>
      </c>
      <c r="J7" s="394">
        <v>2</v>
      </c>
      <c r="K7" s="371"/>
      <c r="L7" s="223"/>
      <c r="M7" s="327" t="s">
        <v>76</v>
      </c>
      <c r="N7" s="214"/>
      <c r="O7" s="327"/>
      <c r="Q7" s="323" t="s">
        <v>99</v>
      </c>
      <c r="R7" s="73">
        <f>(R5*R4)*(R5*R4)/(101.6*(4.5*R5+10*R6))</f>
        <v>0.24849166581450047</v>
      </c>
      <c r="S7" s="323" t="s">
        <v>15</v>
      </c>
      <c r="T7" s="321"/>
      <c r="U7" s="323" t="s">
        <v>23</v>
      </c>
      <c r="V7" s="324">
        <v>200000</v>
      </c>
      <c r="W7" s="323" t="s">
        <v>24</v>
      </c>
      <c r="X7" s="321"/>
      <c r="Y7" s="325" t="s">
        <v>219</v>
      </c>
      <c r="Z7" s="82">
        <v>45</v>
      </c>
      <c r="AA7" s="325" t="s">
        <v>48</v>
      </c>
      <c r="AB7" s="321"/>
      <c r="AC7" s="71" t="s">
        <v>288</v>
      </c>
      <c r="AD7" s="324">
        <v>645</v>
      </c>
      <c r="AE7" s="71" t="s">
        <v>0</v>
      </c>
      <c r="AF7" s="79"/>
    </row>
    <row r="8" spans="2:32" ht="17.399999999999999" x14ac:dyDescent="0.25">
      <c r="B8" s="327" t="s">
        <v>67</v>
      </c>
      <c r="C8" s="223">
        <f t="shared" ref="C8" si="3">ROUND(C6/C7,0)</f>
        <v>84</v>
      </c>
      <c r="D8" s="223"/>
      <c r="E8" s="223">
        <f t="shared" ref="E8" si="4">ROUND(E6/E7,0)</f>
        <v>84</v>
      </c>
      <c r="F8" s="356"/>
      <c r="G8" s="393">
        <f t="shared" ref="G8:J8" si="5">ROUND(G6/G7,0)</f>
        <v>188</v>
      </c>
      <c r="H8" s="223">
        <f t="shared" si="5"/>
        <v>188</v>
      </c>
      <c r="I8" s="223">
        <f t="shared" si="5"/>
        <v>188</v>
      </c>
      <c r="J8" s="394">
        <f t="shared" si="5"/>
        <v>188</v>
      </c>
      <c r="K8" s="371"/>
      <c r="L8" s="223"/>
      <c r="M8" s="327" t="s">
        <v>3</v>
      </c>
      <c r="N8" s="214"/>
      <c r="O8" s="327"/>
      <c r="Q8" s="323" t="s">
        <v>100</v>
      </c>
      <c r="R8" s="324">
        <v>60</v>
      </c>
      <c r="S8" s="323" t="s">
        <v>7</v>
      </c>
      <c r="T8" s="321"/>
      <c r="U8" s="323" t="s">
        <v>25</v>
      </c>
      <c r="V8" s="90">
        <f>(5000*V4)/(V5*V6*V7)</f>
        <v>4.9697837150127224</v>
      </c>
      <c r="W8" s="323" t="s">
        <v>244</v>
      </c>
      <c r="X8" s="321"/>
      <c r="Y8" s="325" t="s">
        <v>220</v>
      </c>
      <c r="Z8" s="81">
        <f>Z5*(1+Z6*(Z7-20))</f>
        <v>1.9206249999999998</v>
      </c>
      <c r="AA8" s="325" t="s">
        <v>216</v>
      </c>
      <c r="AB8" s="321"/>
      <c r="AC8" s="71" t="s">
        <v>287</v>
      </c>
      <c r="AD8" s="90">
        <f>SQRT(AD7^2+AD4*AD5^2/AD6)</f>
        <v>1031.5158748172516</v>
      </c>
      <c r="AE8" s="71" t="s">
        <v>0</v>
      </c>
      <c r="AF8" s="79"/>
    </row>
    <row r="9" spans="2:32" ht="17.399999999999999" x14ac:dyDescent="0.25">
      <c r="B9" s="327"/>
      <c r="C9" s="327"/>
      <c r="D9" s="327"/>
      <c r="E9" s="327"/>
      <c r="F9" s="357"/>
      <c r="G9" s="395"/>
      <c r="H9" s="327"/>
      <c r="I9" s="327"/>
      <c r="J9" s="396"/>
      <c r="K9" s="372"/>
      <c r="L9" s="327"/>
      <c r="M9" s="327"/>
      <c r="N9" s="214"/>
      <c r="O9" s="327"/>
      <c r="Q9" s="323" t="s">
        <v>97</v>
      </c>
      <c r="R9" s="73">
        <f>R7*R8/100</f>
        <v>0.14909499948870028</v>
      </c>
      <c r="S9" s="323" t="s">
        <v>15</v>
      </c>
      <c r="T9" s="321"/>
      <c r="U9" s="321"/>
      <c r="V9" s="321"/>
      <c r="W9" s="321"/>
      <c r="X9" s="321"/>
      <c r="Y9" s="325" t="s">
        <v>221</v>
      </c>
      <c r="Z9" s="83">
        <f>1/(Z8/100000000)</f>
        <v>52066384.64041654</v>
      </c>
      <c r="AA9" s="325" t="s">
        <v>222</v>
      </c>
      <c r="AB9" s="321"/>
      <c r="AC9" s="321"/>
      <c r="AD9" s="321"/>
      <c r="AE9" s="321"/>
      <c r="AF9" s="79"/>
    </row>
    <row r="10" spans="2:32" ht="17.399999999999999" x14ac:dyDescent="0.25">
      <c r="B10" s="327" t="s">
        <v>16</v>
      </c>
      <c r="C10" s="224">
        <f t="shared" ref="C10" si="6">ROUND(C4*2^0.5*0.93,1)</f>
        <v>499.8</v>
      </c>
      <c r="D10" s="224"/>
      <c r="E10" s="224">
        <f t="shared" ref="E10" si="7">ROUND(E4*2^0.5*0.93,1)</f>
        <v>499.8</v>
      </c>
      <c r="F10" s="355"/>
      <c r="G10" s="391">
        <f t="shared" ref="G10:J10" si="8">ROUND(G4*2^0.5*0.93,1)</f>
        <v>499.8</v>
      </c>
      <c r="H10" s="224">
        <f t="shared" si="8"/>
        <v>499.8</v>
      </c>
      <c r="I10" s="224">
        <f t="shared" si="8"/>
        <v>499.8</v>
      </c>
      <c r="J10" s="392">
        <f t="shared" si="8"/>
        <v>499.8</v>
      </c>
      <c r="K10" s="370"/>
      <c r="L10" s="224"/>
      <c r="M10" s="327" t="s">
        <v>0</v>
      </c>
      <c r="N10" s="214"/>
      <c r="O10" s="327" t="s">
        <v>344</v>
      </c>
      <c r="Q10" s="71" t="s">
        <v>96</v>
      </c>
      <c r="R10" s="324">
        <v>0.5</v>
      </c>
      <c r="S10" s="323" t="s">
        <v>15</v>
      </c>
      <c r="T10" s="321" t="s">
        <v>705</v>
      </c>
      <c r="U10" s="431" t="s">
        <v>670</v>
      </c>
      <c r="V10" s="431"/>
      <c r="W10" s="431"/>
      <c r="X10" s="321"/>
      <c r="Y10" s="325" t="s">
        <v>223</v>
      </c>
      <c r="Z10" s="68">
        <v>1</v>
      </c>
      <c r="AA10" s="325" t="s">
        <v>224</v>
      </c>
      <c r="AB10" s="321"/>
      <c r="AC10" s="430" t="s">
        <v>275</v>
      </c>
      <c r="AD10" s="430"/>
      <c r="AE10" s="430"/>
      <c r="AF10" s="79"/>
    </row>
    <row r="11" spans="2:32" ht="17.399999999999999" x14ac:dyDescent="0.25">
      <c r="B11" s="327" t="s">
        <v>17</v>
      </c>
      <c r="C11" s="224">
        <f t="shared" ref="C11" si="9">ROUND(C3*1000/C10,1)</f>
        <v>180.1</v>
      </c>
      <c r="D11" s="224"/>
      <c r="E11" s="224">
        <f t="shared" ref="E11" si="10">ROUND(E3*1000/E10,1)</f>
        <v>180.1</v>
      </c>
      <c r="F11" s="355"/>
      <c r="G11" s="391">
        <f t="shared" ref="G11:J11" si="11">ROUND(G3*1000/G10,1)</f>
        <v>400.2</v>
      </c>
      <c r="H11" s="224">
        <f t="shared" si="11"/>
        <v>400.2</v>
      </c>
      <c r="I11" s="224">
        <f t="shared" si="11"/>
        <v>400.2</v>
      </c>
      <c r="J11" s="392">
        <f t="shared" si="11"/>
        <v>400.2</v>
      </c>
      <c r="K11" s="370"/>
      <c r="L11" s="224"/>
      <c r="M11" s="327" t="s">
        <v>2</v>
      </c>
      <c r="N11" s="214"/>
      <c r="O11" s="327" t="s">
        <v>346</v>
      </c>
      <c r="Q11" s="71" t="s">
        <v>285</v>
      </c>
      <c r="R11" s="324">
        <v>1</v>
      </c>
      <c r="S11" s="323" t="s">
        <v>42</v>
      </c>
      <c r="T11" s="321"/>
      <c r="U11" s="323" t="s">
        <v>26</v>
      </c>
      <c r="V11" s="324">
        <v>1.34</v>
      </c>
      <c r="W11" s="323" t="s">
        <v>27</v>
      </c>
      <c r="X11" s="321"/>
      <c r="Y11" s="325" t="s">
        <v>37</v>
      </c>
      <c r="Z11" s="84">
        <v>400000</v>
      </c>
      <c r="AA11" s="325" t="s">
        <v>225</v>
      </c>
      <c r="AB11" s="321"/>
      <c r="AC11" s="323" t="s">
        <v>110</v>
      </c>
      <c r="AD11" s="324">
        <v>9284</v>
      </c>
      <c r="AE11" s="323" t="s">
        <v>27</v>
      </c>
      <c r="AF11" s="79"/>
    </row>
    <row r="12" spans="2:32" ht="17.399999999999999" x14ac:dyDescent="0.25">
      <c r="B12" s="327"/>
      <c r="C12" s="327"/>
      <c r="D12" s="327"/>
      <c r="E12" s="327"/>
      <c r="F12" s="357"/>
      <c r="G12" s="395"/>
      <c r="H12" s="327"/>
      <c r="I12" s="327"/>
      <c r="J12" s="396"/>
      <c r="K12" s="372"/>
      <c r="L12" s="327"/>
      <c r="M12" s="327"/>
      <c r="N12" s="214"/>
      <c r="O12" s="327"/>
      <c r="Q12" s="71" t="s">
        <v>98</v>
      </c>
      <c r="R12" s="324">
        <v>1</v>
      </c>
      <c r="S12" s="323" t="s">
        <v>68</v>
      </c>
      <c r="T12" s="321"/>
      <c r="U12" s="323" t="s">
        <v>28</v>
      </c>
      <c r="V12" s="324">
        <v>3</v>
      </c>
      <c r="W12" s="323" t="s">
        <v>15</v>
      </c>
      <c r="X12" s="321"/>
      <c r="Y12" s="325" t="s">
        <v>256</v>
      </c>
      <c r="Z12" s="96">
        <f>503.3*SQRT((Z8/100000000)/(Z10*Z11))*1000</f>
        <v>0.1102854510017357</v>
      </c>
      <c r="AA12" s="325" t="s">
        <v>227</v>
      </c>
      <c r="AB12" s="321"/>
      <c r="AC12" s="323" t="s">
        <v>112</v>
      </c>
      <c r="AD12" s="324">
        <v>675</v>
      </c>
      <c r="AE12" s="323" t="s">
        <v>0</v>
      </c>
      <c r="AF12" s="79"/>
    </row>
    <row r="13" spans="2:32" ht="17.399999999999999" x14ac:dyDescent="0.25">
      <c r="B13" s="211" t="s">
        <v>241</v>
      </c>
      <c r="C13" s="327"/>
      <c r="D13" s="327"/>
      <c r="E13" s="327"/>
      <c r="F13" s="357"/>
      <c r="G13" s="395"/>
      <c r="H13" s="327"/>
      <c r="I13" s="327"/>
      <c r="J13" s="396"/>
      <c r="K13" s="372"/>
      <c r="L13" s="327"/>
      <c r="M13" s="327"/>
      <c r="N13" s="214"/>
      <c r="O13" s="327"/>
      <c r="Q13" s="71" t="s">
        <v>101</v>
      </c>
      <c r="R13" s="85">
        <v>1</v>
      </c>
      <c r="S13" s="323" t="s">
        <v>69</v>
      </c>
      <c r="T13" s="321"/>
      <c r="U13" s="323" t="s">
        <v>29</v>
      </c>
      <c r="V13" s="90">
        <f>1/(2*3.14*SQRT((V11/1000000)*(V12/1000000)))</f>
        <v>79419.533129588599</v>
      </c>
      <c r="W13" s="323" t="s">
        <v>30</v>
      </c>
      <c r="X13" s="321"/>
      <c r="Y13" s="325" t="s">
        <v>257</v>
      </c>
      <c r="Z13" s="326">
        <v>2000</v>
      </c>
      <c r="AA13" s="325" t="s">
        <v>227</v>
      </c>
      <c r="AB13" s="321"/>
      <c r="AC13" s="323" t="s">
        <v>109</v>
      </c>
      <c r="AD13" s="324">
        <v>4300</v>
      </c>
      <c r="AE13" s="323" t="s">
        <v>2</v>
      </c>
      <c r="AF13" s="79"/>
    </row>
    <row r="14" spans="2:32" ht="17.399999999999999" x14ac:dyDescent="0.25">
      <c r="B14" s="327" t="s">
        <v>77</v>
      </c>
      <c r="C14" s="328">
        <f t="shared" ref="C14" si="12">C15+C16</f>
        <v>0.69</v>
      </c>
      <c r="D14" s="328"/>
      <c r="E14" s="328">
        <f t="shared" ref="E14" si="13">E15+E16</f>
        <v>1.19</v>
      </c>
      <c r="F14" s="353"/>
      <c r="G14" s="387">
        <f t="shared" ref="G14:J14" si="14">G15+G16</f>
        <v>1.19</v>
      </c>
      <c r="H14" s="328">
        <f t="shared" si="14"/>
        <v>1.19</v>
      </c>
      <c r="I14" s="328">
        <f t="shared" si="14"/>
        <v>1.19</v>
      </c>
      <c r="J14" s="388">
        <f t="shared" si="14"/>
        <v>1.19</v>
      </c>
      <c r="K14" s="368"/>
      <c r="L14" s="328"/>
      <c r="M14" s="327" t="s">
        <v>15</v>
      </c>
      <c r="N14" s="214">
        <v>3</v>
      </c>
      <c r="O14" s="345" t="s">
        <v>342</v>
      </c>
      <c r="Q14" s="71" t="s">
        <v>286</v>
      </c>
      <c r="R14" s="95">
        <f>R9/R12*R13*R11^2+R10</f>
        <v>0.64909499948870031</v>
      </c>
      <c r="S14" s="323" t="s">
        <v>15</v>
      </c>
      <c r="T14" s="321"/>
      <c r="U14" s="321"/>
      <c r="V14" s="321"/>
      <c r="W14" s="321"/>
      <c r="X14" s="321"/>
      <c r="Y14" s="325" t="s">
        <v>283</v>
      </c>
      <c r="Z14" s="326">
        <v>2</v>
      </c>
      <c r="AA14" s="325" t="s">
        <v>227</v>
      </c>
      <c r="AB14" s="321"/>
      <c r="AC14" s="323" t="s">
        <v>114</v>
      </c>
      <c r="AD14" s="324">
        <v>800</v>
      </c>
      <c r="AE14" s="323" t="s">
        <v>24</v>
      </c>
      <c r="AF14" s="79"/>
    </row>
    <row r="15" spans="2:32" ht="17.399999999999999" x14ac:dyDescent="0.25">
      <c r="B15" s="327" t="s">
        <v>726</v>
      </c>
      <c r="C15" s="328">
        <v>0.69</v>
      </c>
      <c r="D15" s="328"/>
      <c r="E15" s="328">
        <v>0.69</v>
      </c>
      <c r="F15" s="353"/>
      <c r="G15" s="387">
        <v>0.69</v>
      </c>
      <c r="H15" s="328">
        <v>0.69</v>
      </c>
      <c r="I15" s="328">
        <v>0.69</v>
      </c>
      <c r="J15" s="388">
        <v>0.69</v>
      </c>
      <c r="K15" s="368"/>
      <c r="L15" s="328"/>
      <c r="M15" s="327"/>
      <c r="N15" s="214"/>
      <c r="O15" s="345"/>
      <c r="Q15" s="320"/>
      <c r="R15" s="319"/>
      <c r="S15" s="346"/>
      <c r="T15" s="321"/>
      <c r="U15" s="321"/>
      <c r="V15" s="321"/>
      <c r="W15" s="321"/>
      <c r="X15" s="321"/>
      <c r="Y15" s="325"/>
      <c r="Z15" s="326"/>
      <c r="AA15" s="325"/>
      <c r="AB15" s="321"/>
      <c r="AC15" s="323"/>
      <c r="AD15" s="324"/>
      <c r="AE15" s="323"/>
      <c r="AF15" s="79"/>
    </row>
    <row r="16" spans="2:32" ht="17.399999999999999" x14ac:dyDescent="0.25">
      <c r="B16" s="327" t="s">
        <v>727</v>
      </c>
      <c r="C16" s="328"/>
      <c r="D16" s="328"/>
      <c r="E16" s="328">
        <v>0.5</v>
      </c>
      <c r="F16" s="353"/>
      <c r="G16" s="387">
        <v>0.5</v>
      </c>
      <c r="H16" s="328">
        <v>0.5</v>
      </c>
      <c r="I16" s="328">
        <v>0.5</v>
      </c>
      <c r="J16" s="388">
        <v>0.5</v>
      </c>
      <c r="K16" s="368"/>
      <c r="L16" s="328"/>
      <c r="M16" s="327"/>
      <c r="N16" s="214"/>
      <c r="O16" s="345"/>
      <c r="Q16" s="320"/>
      <c r="R16" s="319"/>
      <c r="S16" s="346"/>
      <c r="T16" s="321"/>
      <c r="U16" s="321"/>
      <c r="V16" s="321"/>
      <c r="W16" s="321"/>
      <c r="X16" s="321"/>
      <c r="Y16" s="325"/>
      <c r="Z16" s="326"/>
      <c r="AA16" s="325"/>
      <c r="AB16" s="321"/>
      <c r="AC16" s="323"/>
      <c r="AD16" s="324"/>
      <c r="AE16" s="323"/>
      <c r="AF16" s="79"/>
    </row>
    <row r="17" spans="2:32" ht="17.399999999999999" x14ac:dyDescent="0.25">
      <c r="B17" s="327" t="s">
        <v>78</v>
      </c>
      <c r="C17" s="313">
        <v>0.56000000000000005</v>
      </c>
      <c r="D17" s="313"/>
      <c r="E17" s="313">
        <v>0.33</v>
      </c>
      <c r="F17" s="358"/>
      <c r="G17" s="397">
        <v>0.33</v>
      </c>
      <c r="H17" s="313">
        <v>0.33</v>
      </c>
      <c r="I17" s="313">
        <v>0.33</v>
      </c>
      <c r="J17" s="398">
        <v>0.33</v>
      </c>
      <c r="K17" s="373"/>
      <c r="L17" s="313"/>
      <c r="M17" s="327" t="s">
        <v>27</v>
      </c>
      <c r="N17" s="214">
        <v>4</v>
      </c>
      <c r="O17" s="345" t="s">
        <v>347</v>
      </c>
      <c r="P17" s="3"/>
      <c r="Q17" s="321"/>
      <c r="R17" s="321"/>
      <c r="S17" s="321"/>
      <c r="T17" s="321"/>
      <c r="U17" s="431" t="s">
        <v>250</v>
      </c>
      <c r="V17" s="431"/>
      <c r="W17" s="431"/>
      <c r="X17" s="321"/>
      <c r="Y17" s="325" t="s">
        <v>281</v>
      </c>
      <c r="Z17" s="92">
        <f>MIN(Z12,Z14)</f>
        <v>0.1102854510017357</v>
      </c>
      <c r="AA17" s="325" t="s">
        <v>227</v>
      </c>
      <c r="AB17" s="321"/>
      <c r="AC17" s="323" t="s">
        <v>115</v>
      </c>
      <c r="AD17" s="73">
        <f>(1.414*AD13*0.421)/(2*3.14159*AD14*AD12*2*AD11*0.000001)*2*100</f>
        <v>8.1262759844751162</v>
      </c>
      <c r="AE17" s="323" t="s">
        <v>7</v>
      </c>
      <c r="AF17" s="79"/>
    </row>
    <row r="18" spans="2:32" ht="17.399999999999999" x14ac:dyDescent="0.25">
      <c r="B18" s="327" t="s">
        <v>79</v>
      </c>
      <c r="C18" s="225">
        <f>1000/(2*PI()*(C14*C17)^0.5)</f>
        <v>256.03631781816659</v>
      </c>
      <c r="D18" s="225"/>
      <c r="E18" s="225">
        <f>1000/(2*PI()*(E14*E17)^0.5)</f>
        <v>253.97424678600402</v>
      </c>
      <c r="F18" s="359"/>
      <c r="G18" s="399">
        <f>1000/(2*PI()*(G14*G17)^0.5)</f>
        <v>253.97424678600402</v>
      </c>
      <c r="H18" s="225">
        <f>1000/(2*PI()*(H14*H17)^0.5)</f>
        <v>253.97424678600402</v>
      </c>
      <c r="I18" s="225">
        <f>1000/(2*PI()*(I14*I17)^0.5)</f>
        <v>253.97424678600402</v>
      </c>
      <c r="J18" s="400">
        <f>1000/(2*PI()*(J14*J17)^0.5)</f>
        <v>253.97424678600402</v>
      </c>
      <c r="K18" s="374"/>
      <c r="L18" s="225"/>
      <c r="M18" s="327" t="s">
        <v>4</v>
      </c>
      <c r="N18" s="214"/>
      <c r="O18" s="327" t="s">
        <v>249</v>
      </c>
      <c r="Q18" s="430" t="s">
        <v>228</v>
      </c>
      <c r="R18" s="430"/>
      <c r="S18" s="430"/>
      <c r="T18" s="321"/>
      <c r="U18" s="323" t="s">
        <v>31</v>
      </c>
      <c r="V18" s="324">
        <v>1.34</v>
      </c>
      <c r="W18" s="323" t="s">
        <v>32</v>
      </c>
      <c r="X18" s="321"/>
      <c r="Y18" s="325" t="s">
        <v>279</v>
      </c>
      <c r="Z18" s="326">
        <v>200</v>
      </c>
      <c r="AA18" s="325" t="s">
        <v>227</v>
      </c>
      <c r="AB18" s="321"/>
      <c r="AC18" s="323" t="s">
        <v>111</v>
      </c>
      <c r="AD18" s="90">
        <f>AD12*AD17/100</f>
        <v>54.852362895207037</v>
      </c>
      <c r="AE18" s="323" t="s">
        <v>0</v>
      </c>
      <c r="AF18" s="79"/>
    </row>
    <row r="19" spans="2:32" ht="17.399999999999999" x14ac:dyDescent="0.25">
      <c r="B19" s="327" t="s">
        <v>80</v>
      </c>
      <c r="C19" s="328">
        <v>30</v>
      </c>
      <c r="D19" s="328"/>
      <c r="E19" s="328">
        <v>30</v>
      </c>
      <c r="F19" s="353"/>
      <c r="G19" s="387">
        <v>30</v>
      </c>
      <c r="H19" s="328">
        <v>30</v>
      </c>
      <c r="I19" s="328">
        <v>30</v>
      </c>
      <c r="J19" s="388">
        <v>30</v>
      </c>
      <c r="K19" s="368"/>
      <c r="L19" s="328"/>
      <c r="M19" s="327" t="s">
        <v>81</v>
      </c>
      <c r="N19" s="214">
        <v>6</v>
      </c>
      <c r="O19" s="345" t="s">
        <v>276</v>
      </c>
      <c r="Q19" s="86" t="s">
        <v>233</v>
      </c>
      <c r="R19" s="87">
        <v>0.66</v>
      </c>
      <c r="S19" s="86" t="s">
        <v>27</v>
      </c>
      <c r="T19" s="321"/>
      <c r="U19" s="323" t="s">
        <v>33</v>
      </c>
      <c r="V19" s="324">
        <v>80</v>
      </c>
      <c r="W19" s="323" t="s">
        <v>4</v>
      </c>
      <c r="X19" s="321"/>
      <c r="Y19" s="325" t="s">
        <v>278</v>
      </c>
      <c r="Z19" s="92">
        <f>Z17*Z18</f>
        <v>22.05709020034714</v>
      </c>
      <c r="AA19" s="325" t="s">
        <v>253</v>
      </c>
      <c r="AB19" s="321"/>
      <c r="AC19" s="323" t="s">
        <v>113</v>
      </c>
      <c r="AD19" s="90">
        <f>2*3.14159*AD14*AD11*0.000001*AD18</f>
        <v>2559.7641999999996</v>
      </c>
      <c r="AE19" s="323" t="s">
        <v>2</v>
      </c>
      <c r="AF19" s="79"/>
    </row>
    <row r="20" spans="2:32" ht="17.399999999999999" x14ac:dyDescent="0.25">
      <c r="B20" s="327" t="s">
        <v>82</v>
      </c>
      <c r="C20" s="223">
        <f t="shared" ref="C20" si="15">ROUNDUP(TAN(PI()*C19/180),3)</f>
        <v>0.57799999999999996</v>
      </c>
      <c r="D20" s="223"/>
      <c r="E20" s="223">
        <f t="shared" ref="E20" si="16">ROUNDUP(TAN(PI()*E19/180),3)</f>
        <v>0.57799999999999996</v>
      </c>
      <c r="F20" s="356"/>
      <c r="G20" s="393">
        <f t="shared" ref="G20:J20" si="17">ROUNDUP(TAN(PI()*G19/180),3)</f>
        <v>0.57799999999999996</v>
      </c>
      <c r="H20" s="223">
        <f t="shared" si="17"/>
        <v>0.57799999999999996</v>
      </c>
      <c r="I20" s="223">
        <f t="shared" si="17"/>
        <v>0.57799999999999996</v>
      </c>
      <c r="J20" s="394">
        <f t="shared" si="17"/>
        <v>0.57799999999999996</v>
      </c>
      <c r="K20" s="371"/>
      <c r="L20" s="223"/>
      <c r="M20" s="327"/>
      <c r="N20" s="214"/>
      <c r="O20" s="327"/>
      <c r="Q20" s="86" t="s">
        <v>229</v>
      </c>
      <c r="R20" s="87">
        <v>1</v>
      </c>
      <c r="S20" s="86" t="s">
        <v>236</v>
      </c>
      <c r="T20" s="321"/>
      <c r="U20" s="323" t="s">
        <v>34</v>
      </c>
      <c r="V20" s="324">
        <v>650</v>
      </c>
      <c r="W20" s="323" t="s">
        <v>2</v>
      </c>
      <c r="X20" s="321"/>
      <c r="Y20" s="325" t="s">
        <v>258</v>
      </c>
      <c r="Z20" s="326">
        <v>850</v>
      </c>
      <c r="AA20" s="69" t="s">
        <v>254</v>
      </c>
      <c r="AB20" s="321"/>
      <c r="AC20" s="321"/>
      <c r="AD20" s="321"/>
      <c r="AE20" s="321"/>
      <c r="AF20" s="79"/>
    </row>
    <row r="21" spans="2:32" ht="17.399999999999999" x14ac:dyDescent="0.25">
      <c r="B21" s="327"/>
      <c r="C21" s="327"/>
      <c r="D21" s="327"/>
      <c r="E21" s="327"/>
      <c r="F21" s="357"/>
      <c r="G21" s="395"/>
      <c r="H21" s="327"/>
      <c r="I21" s="327"/>
      <c r="J21" s="396"/>
      <c r="K21" s="372"/>
      <c r="L21" s="327"/>
      <c r="M21" s="327"/>
      <c r="N21" s="214"/>
      <c r="O21" s="327"/>
      <c r="Q21" s="86" t="s">
        <v>231</v>
      </c>
      <c r="R21" s="87">
        <v>700</v>
      </c>
      <c r="S21" s="86" t="s">
        <v>0</v>
      </c>
      <c r="T21" s="321"/>
      <c r="U21" s="323" t="s">
        <v>35</v>
      </c>
      <c r="V21" s="90">
        <f>(V20)/(2*3.14*V19*1000*(V18/1000000))</f>
        <v>965.51478277402771</v>
      </c>
      <c r="W21" s="323" t="s">
        <v>0</v>
      </c>
      <c r="X21" s="321"/>
      <c r="Y21" s="325" t="s">
        <v>649</v>
      </c>
      <c r="Z21" s="93">
        <f>Z20/Z19</f>
        <v>38.536361427520596</v>
      </c>
      <c r="AA21" s="69" t="s">
        <v>254</v>
      </c>
      <c r="AB21" s="321"/>
      <c r="AC21" s="430" t="s">
        <v>644</v>
      </c>
      <c r="AD21" s="430"/>
      <c r="AE21" s="430"/>
      <c r="AF21" s="79"/>
    </row>
    <row r="22" spans="2:32" ht="17.399999999999999" x14ac:dyDescent="0.25">
      <c r="B22" s="327" t="s">
        <v>41</v>
      </c>
      <c r="C22" s="330">
        <v>3.5</v>
      </c>
      <c r="D22" s="330"/>
      <c r="E22" s="330">
        <f>SQRT(E18/C18)*C22*E14/E15</f>
        <v>6.0118753743804794</v>
      </c>
      <c r="F22" s="360"/>
      <c r="G22" s="401">
        <v>5</v>
      </c>
      <c r="H22" s="330">
        <v>6</v>
      </c>
      <c r="I22" s="330">
        <v>8</v>
      </c>
      <c r="J22" s="402">
        <v>10</v>
      </c>
      <c r="K22" s="375"/>
      <c r="L22" s="330"/>
      <c r="M22" s="327"/>
      <c r="N22" s="214">
        <v>5</v>
      </c>
      <c r="O22" s="345" t="s">
        <v>343</v>
      </c>
      <c r="Q22" s="86" t="s">
        <v>232</v>
      </c>
      <c r="R22" s="87">
        <v>550</v>
      </c>
      <c r="S22" s="86" t="s">
        <v>2</v>
      </c>
      <c r="T22" s="321"/>
      <c r="U22" s="321"/>
      <c r="V22" s="321"/>
      <c r="W22" s="321"/>
      <c r="X22" s="321"/>
      <c r="Y22" s="325" t="s">
        <v>259</v>
      </c>
      <c r="Z22" s="314">
        <f>Z8/100000000/(Z19/1000000)*Z13/1000</f>
        <v>1.7415035098054523E-3</v>
      </c>
      <c r="AA22" s="69" t="s">
        <v>255</v>
      </c>
      <c r="AB22" s="321"/>
      <c r="AC22" s="278" t="s">
        <v>638</v>
      </c>
      <c r="AD22" s="327">
        <v>0.9133</v>
      </c>
      <c r="AE22" s="327" t="s">
        <v>637</v>
      </c>
      <c r="AF22" s="79"/>
    </row>
    <row r="23" spans="2:32" ht="17.399999999999999" x14ac:dyDescent="0.25">
      <c r="B23" s="327" t="s">
        <v>83</v>
      </c>
      <c r="C23" s="226">
        <f t="shared" ref="C23" si="18">C18*((C20/C22)+(((C20/C22)^2+4)^0.5))/2</f>
        <v>278.04895267671338</v>
      </c>
      <c r="D23" s="226"/>
      <c r="E23" s="226">
        <f t="shared" ref="E23" si="19">E18*((E20/E22)+(((E20/E22)^2+4)^0.5))/2</f>
        <v>266.4764569613771</v>
      </c>
      <c r="F23" s="361"/>
      <c r="G23" s="403">
        <f t="shared" ref="G23:J23" si="20">G18*((G20/G22)+(((G20/G22)^2+4)^0.5))/2</f>
        <v>269.07784816965415</v>
      </c>
      <c r="H23" s="226">
        <f t="shared" si="20"/>
        <v>266.50178264652385</v>
      </c>
      <c r="I23" s="226">
        <f t="shared" si="20"/>
        <v>263.31473259974422</v>
      </c>
      <c r="J23" s="404">
        <f t="shared" si="20"/>
        <v>261.42014129690767</v>
      </c>
      <c r="K23" s="376"/>
      <c r="L23" s="226"/>
      <c r="M23" s="327" t="s">
        <v>4</v>
      </c>
      <c r="N23" s="214"/>
      <c r="O23" s="216" t="s">
        <v>274</v>
      </c>
      <c r="Q23" s="86" t="s">
        <v>230</v>
      </c>
      <c r="R23" s="87">
        <v>1</v>
      </c>
      <c r="S23" s="86" t="s">
        <v>236</v>
      </c>
      <c r="T23" s="321"/>
      <c r="U23" s="431" t="s">
        <v>251</v>
      </c>
      <c r="V23" s="431"/>
      <c r="W23" s="431"/>
      <c r="X23" s="321"/>
      <c r="Y23" s="321"/>
      <c r="Z23" s="321"/>
      <c r="AA23" s="321"/>
      <c r="AB23" s="321"/>
      <c r="AC23" s="86" t="s">
        <v>639</v>
      </c>
      <c r="AD23" s="328">
        <v>3</v>
      </c>
      <c r="AE23" s="327" t="s">
        <v>380</v>
      </c>
      <c r="AF23" s="79"/>
    </row>
    <row r="24" spans="2:32" ht="17.399999999999999" x14ac:dyDescent="0.25">
      <c r="B24" s="327" t="s">
        <v>364</v>
      </c>
      <c r="C24" s="227">
        <f>2*PI()*C18*C14</f>
        <v>1110.0193048514323</v>
      </c>
      <c r="D24" s="227"/>
      <c r="E24" s="227">
        <f>2*PI()*E18*E14</f>
        <v>1898.9630344113089</v>
      </c>
      <c r="F24" s="362"/>
      <c r="G24" s="405">
        <f>2*PI()*G18*G14</f>
        <v>1898.9630344113089</v>
      </c>
      <c r="H24" s="227">
        <f>2*PI()*H18*H14</f>
        <v>1898.9630344113089</v>
      </c>
      <c r="I24" s="227">
        <f>2*PI()*I18*I14</f>
        <v>1898.9630344113089</v>
      </c>
      <c r="J24" s="406">
        <f>2*PI()*J18*J14</f>
        <v>1898.9630344113089</v>
      </c>
      <c r="K24" s="377"/>
      <c r="L24" s="227"/>
      <c r="M24" s="327" t="s">
        <v>85</v>
      </c>
      <c r="N24" s="214"/>
      <c r="O24" s="327"/>
      <c r="Q24" s="86" t="s">
        <v>237</v>
      </c>
      <c r="R24" s="87">
        <v>8</v>
      </c>
      <c r="S24" s="86" t="s">
        <v>69</v>
      </c>
      <c r="T24" s="321"/>
      <c r="U24" s="71" t="s">
        <v>154</v>
      </c>
      <c r="V24" s="324">
        <v>500</v>
      </c>
      <c r="W24" s="323" t="s">
        <v>155</v>
      </c>
      <c r="X24" s="321"/>
      <c r="Y24" s="431" t="s">
        <v>647</v>
      </c>
      <c r="Z24" s="431"/>
      <c r="AA24" s="431"/>
      <c r="AB24" s="321"/>
      <c r="AC24" s="86" t="s">
        <v>640</v>
      </c>
      <c r="AD24" s="277">
        <f>AD22*AD23</f>
        <v>2.7399</v>
      </c>
      <c r="AE24" s="327" t="s">
        <v>637</v>
      </c>
      <c r="AF24" s="79"/>
    </row>
    <row r="25" spans="2:32" ht="17.399999999999999" x14ac:dyDescent="0.25">
      <c r="B25" s="327" t="s">
        <v>84</v>
      </c>
      <c r="C25" s="227">
        <f>2*PI()*C23*C14</f>
        <v>1205.4528349531481</v>
      </c>
      <c r="D25" s="227"/>
      <c r="E25" s="227">
        <f>2*PI()*E23*E14</f>
        <v>1992.4419413159076</v>
      </c>
      <c r="F25" s="362"/>
      <c r="G25" s="405">
        <f>2*PI()*G23*G14</f>
        <v>2011.8925187074137</v>
      </c>
      <c r="H25" s="227">
        <f>2*PI()*H23*H14</f>
        <v>1992.6313012235494</v>
      </c>
      <c r="I25" s="227">
        <f>2*PI()*I23*I14</f>
        <v>1968.801758251215</v>
      </c>
      <c r="J25" s="406">
        <f>2*PI()*J23*J14</f>
        <v>1954.6359170490746</v>
      </c>
      <c r="K25" s="377"/>
      <c r="L25" s="227"/>
      <c r="M25" s="327" t="s">
        <v>85</v>
      </c>
      <c r="N25" s="214"/>
      <c r="O25" s="327"/>
      <c r="Q25" s="86" t="s">
        <v>238</v>
      </c>
      <c r="R25" s="87">
        <v>4</v>
      </c>
      <c r="S25" s="86" t="s">
        <v>68</v>
      </c>
      <c r="T25" s="321"/>
      <c r="U25" s="71" t="s">
        <v>289</v>
      </c>
      <c r="V25" s="324">
        <v>2.2000000000000002</v>
      </c>
      <c r="W25" s="323" t="s">
        <v>156</v>
      </c>
      <c r="X25" s="321"/>
      <c r="Y25" s="323" t="s">
        <v>213</v>
      </c>
      <c r="Z25" s="68" t="s">
        <v>214</v>
      </c>
      <c r="AA25" s="68"/>
      <c r="AB25" s="321"/>
      <c r="AC25" s="86"/>
      <c r="AD25" s="327"/>
      <c r="AE25" s="327"/>
      <c r="AF25" s="79"/>
    </row>
    <row r="26" spans="2:32" ht="17.399999999999999" x14ac:dyDescent="0.25">
      <c r="B26" s="327" t="s">
        <v>86</v>
      </c>
      <c r="C26" s="227">
        <f t="shared" ref="C26" si="21">1000000/(2*PI()*C23*C17)</f>
        <v>1022.1410754662551</v>
      </c>
      <c r="D26" s="227"/>
      <c r="E26" s="227">
        <f t="shared" ref="E26" si="22">1000000/(2*PI()*E23*E17)</f>
        <v>1809.8698543150444</v>
      </c>
      <c r="F26" s="362"/>
      <c r="G26" s="405">
        <f t="shared" ref="G26:J26" si="23">1000000/(2*PI()*G23*G17)</f>
        <v>1792.3723919294662</v>
      </c>
      <c r="H26" s="227">
        <f t="shared" si="23"/>
        <v>1809.6978622419267</v>
      </c>
      <c r="I26" s="227">
        <f t="shared" si="23"/>
        <v>1831.6016790149981</v>
      </c>
      <c r="J26" s="406">
        <f t="shared" si="23"/>
        <v>1844.8758536601008</v>
      </c>
      <c r="K26" s="377"/>
      <c r="L26" s="227"/>
      <c r="M26" s="327" t="s">
        <v>85</v>
      </c>
      <c r="N26" s="214"/>
      <c r="O26" s="327"/>
      <c r="Q26" s="86" t="s">
        <v>265</v>
      </c>
      <c r="R26" s="94">
        <f>R19*(R23/R20)*R25/R24</f>
        <v>0.33</v>
      </c>
      <c r="S26" s="86" t="s">
        <v>27</v>
      </c>
      <c r="T26" s="321"/>
      <c r="U26" s="71" t="s">
        <v>159</v>
      </c>
      <c r="V26" s="324">
        <v>22</v>
      </c>
      <c r="W26" s="323" t="s">
        <v>160</v>
      </c>
      <c r="X26" s="321"/>
      <c r="Y26" s="325" t="s">
        <v>215</v>
      </c>
      <c r="Z26" s="80">
        <v>1.75</v>
      </c>
      <c r="AA26" s="325" t="s">
        <v>216</v>
      </c>
      <c r="AB26" s="321"/>
      <c r="AC26" s="278" t="s">
        <v>641</v>
      </c>
      <c r="AD26" s="327">
        <v>0.48</v>
      </c>
      <c r="AE26" s="327" t="s">
        <v>637</v>
      </c>
      <c r="AF26" s="79"/>
    </row>
    <row r="27" spans="2:32" ht="17.399999999999999" x14ac:dyDescent="0.25">
      <c r="B27" s="327" t="s">
        <v>70</v>
      </c>
      <c r="C27" s="228">
        <f t="shared" ref="C27" si="24">C24/C22</f>
        <v>317.14837281469494</v>
      </c>
      <c r="D27" s="228"/>
      <c r="E27" s="228">
        <f t="shared" ref="E27" si="25">E24/E22</f>
        <v>315.86866263125023</v>
      </c>
      <c r="F27" s="363"/>
      <c r="G27" s="407">
        <f t="shared" ref="G27:J27" si="26">G24/G22</f>
        <v>379.79260688226179</v>
      </c>
      <c r="H27" s="228">
        <f t="shared" si="26"/>
        <v>316.49383906855149</v>
      </c>
      <c r="I27" s="228">
        <f t="shared" si="26"/>
        <v>237.37037930141361</v>
      </c>
      <c r="J27" s="408">
        <f t="shared" si="26"/>
        <v>189.8963034411309</v>
      </c>
      <c r="K27" s="378"/>
      <c r="L27" s="228"/>
      <c r="M27" s="327" t="s">
        <v>85</v>
      </c>
      <c r="N27" s="214"/>
      <c r="O27" s="327"/>
      <c r="Q27" s="86" t="s">
        <v>234</v>
      </c>
      <c r="R27" s="88">
        <f>R21*R24</f>
        <v>5600</v>
      </c>
      <c r="S27" s="86" t="s">
        <v>0</v>
      </c>
      <c r="T27" s="321"/>
      <c r="U27" s="71" t="s">
        <v>163</v>
      </c>
      <c r="V27" s="324">
        <v>4</v>
      </c>
      <c r="W27" s="323"/>
      <c r="X27" s="321"/>
      <c r="Y27" s="325" t="s">
        <v>217</v>
      </c>
      <c r="Z27" s="81">
        <v>3.8999999999999998E-3</v>
      </c>
      <c r="AA27" s="325" t="s">
        <v>218</v>
      </c>
      <c r="AB27" s="321"/>
      <c r="AC27" s="86" t="s">
        <v>642</v>
      </c>
      <c r="AD27" s="328">
        <v>5</v>
      </c>
      <c r="AE27" s="327" t="s">
        <v>380</v>
      </c>
      <c r="AF27" s="79"/>
    </row>
    <row r="28" spans="2:32" ht="17.399999999999999" x14ac:dyDescent="0.25">
      <c r="B28" s="327" t="s">
        <v>87</v>
      </c>
      <c r="C28" s="227">
        <f t="shared" ref="C28" si="27">(C27^2+(C25-C26)^2)^0.5</f>
        <v>366.31447083781615</v>
      </c>
      <c r="D28" s="227"/>
      <c r="E28" s="227">
        <f t="shared" ref="E28" si="28">(E27^2+(E25-E26)^2)^0.5</f>
        <v>364.83637289106099</v>
      </c>
      <c r="F28" s="362"/>
      <c r="G28" s="405">
        <f t="shared" ref="G28:J28" si="29">(G27^2+(G25-G26)^2)^0.5</f>
        <v>438.67016117241258</v>
      </c>
      <c r="H28" s="227">
        <f t="shared" si="29"/>
        <v>365.55846764367698</v>
      </c>
      <c r="I28" s="227">
        <f t="shared" si="29"/>
        <v>274.16885073275768</v>
      </c>
      <c r="J28" s="406">
        <f t="shared" si="29"/>
        <v>219.33508058620629</v>
      </c>
      <c r="K28" s="377"/>
      <c r="L28" s="227"/>
      <c r="M28" s="327" t="s">
        <v>85</v>
      </c>
      <c r="N28" s="214"/>
      <c r="O28" s="327"/>
      <c r="Q28" s="86" t="s">
        <v>235</v>
      </c>
      <c r="R28" s="88">
        <f>R22*(R23/R20)*R25</f>
        <v>2200</v>
      </c>
      <c r="S28" s="86" t="s">
        <v>2</v>
      </c>
      <c r="T28" s="321"/>
      <c r="U28" s="71" t="s">
        <v>166</v>
      </c>
      <c r="V28" s="73">
        <f>V25*V26*V27*2</f>
        <v>387.20000000000005</v>
      </c>
      <c r="W28" s="323" t="s">
        <v>156</v>
      </c>
      <c r="X28" s="321"/>
      <c r="Y28" s="325" t="s">
        <v>219</v>
      </c>
      <c r="Z28" s="82">
        <v>45</v>
      </c>
      <c r="AA28" s="325" t="s">
        <v>48</v>
      </c>
      <c r="AB28" s="321"/>
      <c r="AC28" s="86" t="s">
        <v>643</v>
      </c>
      <c r="AD28" s="277">
        <f>AD26*AD27</f>
        <v>2.4</v>
      </c>
      <c r="AE28" s="327" t="s">
        <v>637</v>
      </c>
      <c r="AF28" s="79"/>
    </row>
    <row r="29" spans="2:32" ht="17.399999999999999" x14ac:dyDescent="0.25">
      <c r="B29" s="327"/>
      <c r="C29" s="229"/>
      <c r="D29" s="229"/>
      <c r="E29" s="229"/>
      <c r="F29" s="364"/>
      <c r="G29" s="409"/>
      <c r="H29" s="229"/>
      <c r="I29" s="229"/>
      <c r="J29" s="410"/>
      <c r="K29" s="379"/>
      <c r="L29" s="229"/>
      <c r="M29" s="327"/>
      <c r="N29" s="214"/>
      <c r="O29" s="327"/>
      <c r="Q29" s="86" t="s">
        <v>47</v>
      </c>
      <c r="R29" s="88">
        <f>R27*R28/1000</f>
        <v>12320</v>
      </c>
      <c r="S29" s="86" t="s">
        <v>47</v>
      </c>
      <c r="T29" s="321"/>
      <c r="U29" s="71" t="s">
        <v>169</v>
      </c>
      <c r="V29" s="324">
        <v>1.5</v>
      </c>
      <c r="W29" s="323" t="s">
        <v>170</v>
      </c>
      <c r="X29" s="321"/>
      <c r="Y29" s="325" t="s">
        <v>220</v>
      </c>
      <c r="Z29" s="81">
        <f>Z26*(1+Z27*(Z28-20))</f>
        <v>1.9206249999999998</v>
      </c>
      <c r="AA29" s="325" t="s">
        <v>216</v>
      </c>
      <c r="AB29" s="321"/>
      <c r="AC29" s="86"/>
      <c r="AD29" s="327"/>
      <c r="AE29" s="327"/>
      <c r="AF29" s="79"/>
    </row>
    <row r="30" spans="2:32" ht="17.399999999999999" x14ac:dyDescent="0.25">
      <c r="B30" s="327" t="s">
        <v>107</v>
      </c>
      <c r="C30" s="230">
        <f>(C3*1000000/C27)^0.5</f>
        <v>532.70897155080286</v>
      </c>
      <c r="D30" s="230"/>
      <c r="E30" s="230">
        <f>(E3*1000000/E27)^0.5</f>
        <v>533.78698924990931</v>
      </c>
      <c r="F30" s="365"/>
      <c r="G30" s="411">
        <f>(G3*1000000/G27)^0.5</f>
        <v>725.67430326323495</v>
      </c>
      <c r="H30" s="230">
        <f>(H3*1000000/H27)^0.5</f>
        <v>794.93637059823709</v>
      </c>
      <c r="I30" s="230">
        <f>(I3*1000000/I27)^0.5</f>
        <v>917.91345510703263</v>
      </c>
      <c r="J30" s="412">
        <f>(J3*1000000/J27)^0.5</f>
        <v>1026.2584415405131</v>
      </c>
      <c r="K30" s="380"/>
      <c r="L30" s="230"/>
      <c r="M30" s="327" t="s">
        <v>2</v>
      </c>
      <c r="N30" s="214"/>
      <c r="O30" s="216" t="s">
        <v>273</v>
      </c>
      <c r="Q30" s="321"/>
      <c r="R30" s="321"/>
      <c r="S30" s="321"/>
      <c r="T30" s="321"/>
      <c r="U30" s="71" t="s">
        <v>171</v>
      </c>
      <c r="V30" s="324">
        <v>250</v>
      </c>
      <c r="W30" s="323" t="s">
        <v>172</v>
      </c>
      <c r="X30" s="321"/>
      <c r="Y30" s="325" t="s">
        <v>221</v>
      </c>
      <c r="Z30" s="83">
        <f>1/(Z29/100000000)</f>
        <v>52066384.64041654</v>
      </c>
      <c r="AA30" s="325" t="s">
        <v>222</v>
      </c>
      <c r="AB30" s="321"/>
      <c r="AC30" s="278" t="s">
        <v>641</v>
      </c>
      <c r="AD30" s="327">
        <v>0.4133</v>
      </c>
      <c r="AE30" s="327" t="s">
        <v>637</v>
      </c>
      <c r="AF30" s="79"/>
    </row>
    <row r="31" spans="2:32" ht="17.399999999999999" x14ac:dyDescent="0.25">
      <c r="B31" s="327" t="s">
        <v>105</v>
      </c>
      <c r="C31" s="227">
        <f t="shared" ref="C31" si="30">C30*C27/1000</f>
        <v>168.94778351112674</v>
      </c>
      <c r="D31" s="227"/>
      <c r="E31" s="227">
        <f t="shared" ref="E31" si="31">E30*E27/1000</f>
        <v>168.60658242433041</v>
      </c>
      <c r="F31" s="362"/>
      <c r="G31" s="405">
        <f t="shared" ref="G31:J31" si="32">G30*G27/1000</f>
        <v>275.60573538381306</v>
      </c>
      <c r="H31" s="227">
        <f t="shared" si="32"/>
        <v>251.59246374585686</v>
      </c>
      <c r="I31" s="227">
        <f t="shared" si="32"/>
        <v>217.88546500462741</v>
      </c>
      <c r="J31" s="406">
        <f t="shared" si="32"/>
        <v>194.88268442379936</v>
      </c>
      <c r="K31" s="377"/>
      <c r="L31" s="227"/>
      <c r="M31" s="327" t="s">
        <v>0</v>
      </c>
      <c r="N31" s="214"/>
      <c r="O31" s="327"/>
      <c r="Q31" s="430" t="s">
        <v>239</v>
      </c>
      <c r="R31" s="430"/>
      <c r="S31" s="430"/>
      <c r="T31" s="321"/>
      <c r="U31" s="71" t="s">
        <v>173</v>
      </c>
      <c r="V31" s="324">
        <v>1</v>
      </c>
      <c r="W31" s="323" t="s">
        <v>174</v>
      </c>
      <c r="X31" s="321"/>
      <c r="Y31" s="325" t="s">
        <v>223</v>
      </c>
      <c r="Z31" s="68">
        <v>1</v>
      </c>
      <c r="AA31" s="325" t="s">
        <v>224</v>
      </c>
      <c r="AB31" s="321"/>
      <c r="AC31" s="86" t="s">
        <v>642</v>
      </c>
      <c r="AD31" s="328">
        <v>1.25</v>
      </c>
      <c r="AE31" s="327" t="s">
        <v>380</v>
      </c>
      <c r="AF31" s="79"/>
    </row>
    <row r="32" spans="2:32" ht="17.399999999999999" x14ac:dyDescent="0.25">
      <c r="B32" s="327" t="s">
        <v>360</v>
      </c>
      <c r="C32" s="230">
        <f t="shared" ref="C32" si="33">C30/(2*3.14159*C23*1000*C17/1000000)</f>
        <v>544.50418101446633</v>
      </c>
      <c r="D32" s="230"/>
      <c r="E32" s="230">
        <f t="shared" ref="E32" si="34">E30/(2*3.14159*E23*1000*E17/1000000)</f>
        <v>966.08579648676232</v>
      </c>
      <c r="F32" s="365"/>
      <c r="G32" s="411">
        <f t="shared" ref="G32:J32" si="35">G30/(2*3.14159*G23*1000*G17/1000000)</f>
        <v>1300.6796853388037</v>
      </c>
      <c r="H32" s="230">
        <f t="shared" si="35"/>
        <v>1438.5958656199298</v>
      </c>
      <c r="I32" s="230">
        <f t="shared" si="35"/>
        <v>1681.2532456583638</v>
      </c>
      <c r="J32" s="412">
        <f t="shared" si="35"/>
        <v>1893.3210176327875</v>
      </c>
      <c r="K32" s="380"/>
      <c r="L32" s="230"/>
      <c r="M32" s="327" t="s">
        <v>0</v>
      </c>
      <c r="N32" s="214"/>
      <c r="O32" s="216" t="s">
        <v>73</v>
      </c>
      <c r="Q32" s="71" t="s">
        <v>37</v>
      </c>
      <c r="R32" s="324">
        <v>19970</v>
      </c>
      <c r="S32" s="71" t="s">
        <v>24</v>
      </c>
      <c r="T32" s="321"/>
      <c r="U32" s="71" t="s">
        <v>175</v>
      </c>
      <c r="V32" s="73">
        <f>V30*V31</f>
        <v>250</v>
      </c>
      <c r="W32" s="323" t="s">
        <v>172</v>
      </c>
      <c r="X32" s="321"/>
      <c r="Y32" s="325" t="s">
        <v>37</v>
      </c>
      <c r="Z32" s="84">
        <v>3000</v>
      </c>
      <c r="AA32" s="325" t="s">
        <v>225</v>
      </c>
      <c r="AB32" s="321"/>
      <c r="AC32" s="86" t="s">
        <v>643</v>
      </c>
      <c r="AD32" s="277">
        <f>AD30*AD31</f>
        <v>0.516625</v>
      </c>
      <c r="AE32" s="327" t="s">
        <v>637</v>
      </c>
      <c r="AF32" s="79"/>
    </row>
    <row r="33" spans="2:32" ht="17.399999999999999" x14ac:dyDescent="0.25">
      <c r="B33" s="327" t="s">
        <v>106</v>
      </c>
      <c r="C33" s="227">
        <f t="shared" ref="C33" si="36">C30*C28/1000</f>
        <v>195.1390050241896</v>
      </c>
      <c r="D33" s="227"/>
      <c r="E33" s="227">
        <f t="shared" ref="E33" si="37">E30*E28/1000</f>
        <v>194.74490905437668</v>
      </c>
      <c r="F33" s="362"/>
      <c r="G33" s="405">
        <f t="shared" ref="G33:J33" si="38">G30*G28/1000</f>
        <v>318.33166357116147</v>
      </c>
      <c r="H33" s="227">
        <f t="shared" si="38"/>
        <v>290.59572151011764</v>
      </c>
      <c r="I33" s="227">
        <f t="shared" si="38"/>
        <v>251.66327705882989</v>
      </c>
      <c r="J33" s="406">
        <f t="shared" si="38"/>
        <v>225.09447797756292</v>
      </c>
      <c r="K33" s="377"/>
      <c r="L33" s="227"/>
      <c r="M33" s="327" t="s">
        <v>0</v>
      </c>
      <c r="N33" s="214"/>
      <c r="O33" s="327"/>
      <c r="Q33" s="71" t="s">
        <v>54</v>
      </c>
      <c r="R33" s="324">
        <v>50</v>
      </c>
      <c r="S33" s="71" t="s">
        <v>27</v>
      </c>
      <c r="T33" s="321"/>
      <c r="U33" s="323"/>
      <c r="V33" s="323"/>
      <c r="W33" s="323"/>
      <c r="X33" s="321"/>
      <c r="Y33" s="325" t="s">
        <v>256</v>
      </c>
      <c r="Z33" s="96">
        <f>503.3*SQRT((Z29/100000000)/(Z31*Z32))*1000</f>
        <v>1.2734666964710277</v>
      </c>
      <c r="AA33" s="325" t="s">
        <v>227</v>
      </c>
      <c r="AB33" s="321"/>
      <c r="AC33" s="321"/>
      <c r="AD33" s="321"/>
      <c r="AE33" s="321"/>
      <c r="AF33" s="79"/>
    </row>
    <row r="34" spans="2:32" ht="17.399999999999999" x14ac:dyDescent="0.25">
      <c r="B34" s="327" t="s">
        <v>104</v>
      </c>
      <c r="C34" s="231">
        <f t="shared" ref="C34" si="39">ROUNDUP(COS(PI()*C19/180),3)</f>
        <v>0.86699999999999999</v>
      </c>
      <c r="D34" s="231"/>
      <c r="E34" s="231">
        <f t="shared" ref="E34" si="40">ROUNDUP(COS(PI()*E19/180),3)</f>
        <v>0.86699999999999999</v>
      </c>
      <c r="F34" s="366"/>
      <c r="G34" s="413">
        <f t="shared" ref="G34:J34" si="41">ROUNDUP(COS(PI()*G19/180),3)</f>
        <v>0.86699999999999999</v>
      </c>
      <c r="H34" s="231">
        <f t="shared" si="41"/>
        <v>0.86699999999999999</v>
      </c>
      <c r="I34" s="231">
        <f t="shared" si="41"/>
        <v>0.86699999999999999</v>
      </c>
      <c r="J34" s="414">
        <f t="shared" si="41"/>
        <v>0.86699999999999999</v>
      </c>
      <c r="K34" s="381"/>
      <c r="L34" s="231"/>
      <c r="M34" s="327"/>
      <c r="N34" s="214"/>
      <c r="O34" s="327"/>
      <c r="Q34" s="71" t="s">
        <v>55</v>
      </c>
      <c r="R34" s="324">
        <v>1864</v>
      </c>
      <c r="S34" s="71" t="s">
        <v>2</v>
      </c>
      <c r="T34" s="321"/>
      <c r="U34" s="74" t="s">
        <v>176</v>
      </c>
      <c r="V34" s="432" t="s">
        <v>177</v>
      </c>
      <c r="W34" s="432"/>
      <c r="X34" s="321"/>
      <c r="Y34" s="325" t="s">
        <v>257</v>
      </c>
      <c r="Z34" s="326">
        <v>6126</v>
      </c>
      <c r="AA34" s="325" t="s">
        <v>227</v>
      </c>
      <c r="AB34" s="321"/>
      <c r="AC34" s="431" t="s">
        <v>662</v>
      </c>
      <c r="AD34" s="431"/>
      <c r="AE34" s="431"/>
      <c r="AF34" s="79"/>
    </row>
    <row r="35" spans="2:32" ht="17.399999999999999" x14ac:dyDescent="0.25">
      <c r="B35" s="327" t="s">
        <v>103</v>
      </c>
      <c r="C35" s="232">
        <f t="shared" ref="C35" si="42">C32/(C27*C30/1000)</f>
        <v>3.2229140252592057</v>
      </c>
      <c r="D35" s="232"/>
      <c r="E35" s="232">
        <f t="shared" ref="E35" si="43">E32/(E27*E30/1000)</f>
        <v>5.7298225407085495</v>
      </c>
      <c r="F35" s="367"/>
      <c r="G35" s="415">
        <f t="shared" ref="G35:J35" si="44">G32/(G27*G30/1000)</f>
        <v>4.7193491221343988</v>
      </c>
      <c r="H35" s="232">
        <f t="shared" si="44"/>
        <v>5.7179608808676807</v>
      </c>
      <c r="I35" s="232">
        <f t="shared" si="44"/>
        <v>7.7162248781609071</v>
      </c>
      <c r="J35" s="416">
        <f t="shared" si="44"/>
        <v>9.7151833844586157</v>
      </c>
      <c r="K35" s="382"/>
      <c r="L35" s="232"/>
      <c r="M35" s="327"/>
      <c r="N35" s="214"/>
      <c r="O35" s="216" t="s">
        <v>270</v>
      </c>
      <c r="Q35" s="71" t="s">
        <v>56</v>
      </c>
      <c r="R35" s="324">
        <v>754</v>
      </c>
      <c r="S35" s="71" t="s">
        <v>1</v>
      </c>
      <c r="T35" s="321"/>
      <c r="U35" s="71" t="s">
        <v>178</v>
      </c>
      <c r="V35" s="324">
        <v>30</v>
      </c>
      <c r="W35" s="323" t="s">
        <v>179</v>
      </c>
      <c r="X35" s="321"/>
      <c r="Y35" s="325" t="s">
        <v>282</v>
      </c>
      <c r="Z35" s="326">
        <v>2</v>
      </c>
      <c r="AA35" s="325" t="s">
        <v>227</v>
      </c>
      <c r="AB35" s="321"/>
      <c r="AC35" s="323" t="s">
        <v>663</v>
      </c>
      <c r="AD35" s="324">
        <v>440</v>
      </c>
      <c r="AE35" s="323" t="s">
        <v>0</v>
      </c>
      <c r="AF35" s="79"/>
    </row>
    <row r="36" spans="2:32" ht="17.399999999999999" x14ac:dyDescent="0.25">
      <c r="B36" s="327" t="s">
        <v>361</v>
      </c>
      <c r="C36" s="230">
        <f t="shared" ref="C36" si="45">C32+C30*C20*C27/1000</f>
        <v>642.15599988389761</v>
      </c>
      <c r="D36" s="230"/>
      <c r="E36" s="230">
        <f t="shared" ref="E36" si="46">E32+E30*E20*E27/1000</f>
        <v>1063.5404011280252</v>
      </c>
      <c r="F36" s="365"/>
      <c r="G36" s="411">
        <f t="shared" ref="G36:J36" si="47">G32+G30*G20*G27/1000</f>
        <v>1459.9798003906476</v>
      </c>
      <c r="H36" s="230">
        <f t="shared" si="47"/>
        <v>1584.0163096650351</v>
      </c>
      <c r="I36" s="230">
        <f t="shared" si="47"/>
        <v>1807.1910444310383</v>
      </c>
      <c r="J36" s="412">
        <f t="shared" si="47"/>
        <v>2005.9632092297436</v>
      </c>
      <c r="K36" s="380"/>
      <c r="L36" s="230"/>
      <c r="M36" s="327" t="s">
        <v>0</v>
      </c>
      <c r="N36" s="214"/>
      <c r="O36" s="216" t="s">
        <v>269</v>
      </c>
      <c r="Q36" s="71" t="s">
        <v>290</v>
      </c>
      <c r="R36" s="324">
        <v>5</v>
      </c>
      <c r="S36" s="71" t="s">
        <v>42</v>
      </c>
      <c r="T36" s="321"/>
      <c r="U36" s="71" t="s">
        <v>180</v>
      </c>
      <c r="V36" s="75">
        <f>V30*SQRT(2)*SIN(V35*PI()/180)</f>
        <v>176.77669529663686</v>
      </c>
      <c r="W36" s="323" t="s">
        <v>181</v>
      </c>
      <c r="X36" s="321"/>
      <c r="Y36" s="325" t="s">
        <v>281</v>
      </c>
      <c r="Z36" s="92">
        <f>MIN(Z33,Z35)</f>
        <v>1.2734666964710277</v>
      </c>
      <c r="AA36" s="325" t="s">
        <v>227</v>
      </c>
      <c r="AB36" s="321"/>
      <c r="AC36" s="323" t="s">
        <v>66</v>
      </c>
      <c r="AD36" s="324">
        <v>567</v>
      </c>
      <c r="AE36" s="323" t="s">
        <v>2</v>
      </c>
      <c r="AF36" s="79"/>
    </row>
    <row r="37" spans="2:32" ht="17.399999999999999" x14ac:dyDescent="0.25">
      <c r="B37" s="327"/>
      <c r="C37" s="327"/>
      <c r="D37" s="327"/>
      <c r="E37" s="327"/>
      <c r="F37" s="357"/>
      <c r="G37" s="395"/>
      <c r="H37" s="327"/>
      <c r="I37" s="327"/>
      <c r="J37" s="396"/>
      <c r="K37" s="372"/>
      <c r="L37" s="327"/>
      <c r="M37" s="327"/>
      <c r="N37" s="214"/>
      <c r="O37" s="327"/>
      <c r="Q37" s="71" t="s">
        <v>57</v>
      </c>
      <c r="R37" s="73">
        <f>(R34*R36)/(2*3.1415*R32*(R33/1000000))</f>
        <v>1485.5962122397345</v>
      </c>
      <c r="S37" s="71" t="s">
        <v>58</v>
      </c>
      <c r="T37" s="321"/>
      <c r="U37" s="71" t="s">
        <v>182</v>
      </c>
      <c r="V37" s="89">
        <f>V24*V28/V36</f>
        <v>1095.1669827017251</v>
      </c>
      <c r="W37" s="323" t="s">
        <v>183</v>
      </c>
      <c r="X37" s="321"/>
      <c r="Y37" s="325" t="s">
        <v>260</v>
      </c>
      <c r="Z37" s="326">
        <v>22</v>
      </c>
      <c r="AA37" s="325" t="s">
        <v>227</v>
      </c>
      <c r="AB37" s="321"/>
      <c r="AC37" s="323" t="s">
        <v>666</v>
      </c>
      <c r="AD37" s="90">
        <f>AD35</f>
        <v>440</v>
      </c>
      <c r="AE37" s="323" t="s">
        <v>664</v>
      </c>
      <c r="AF37" s="79"/>
    </row>
    <row r="38" spans="2:32" ht="17.399999999999999" x14ac:dyDescent="0.25">
      <c r="B38" s="327" t="s">
        <v>88</v>
      </c>
      <c r="C38" s="223">
        <v>1</v>
      </c>
      <c r="D38" s="223"/>
      <c r="E38" s="223">
        <v>1</v>
      </c>
      <c r="F38" s="356"/>
      <c r="G38" s="393">
        <v>1</v>
      </c>
      <c r="H38" s="223">
        <v>1</v>
      </c>
      <c r="I38" s="223">
        <v>1</v>
      </c>
      <c r="J38" s="394">
        <v>1</v>
      </c>
      <c r="K38" s="371"/>
      <c r="L38" s="223"/>
      <c r="M38" s="327"/>
      <c r="N38" s="214"/>
      <c r="O38" s="327" t="s">
        <v>89</v>
      </c>
      <c r="Q38" s="71" t="s">
        <v>59</v>
      </c>
      <c r="R38" s="73">
        <f>R34*R36</f>
        <v>9320</v>
      </c>
      <c r="S38" s="71"/>
      <c r="T38" s="321"/>
      <c r="U38" s="323"/>
      <c r="V38" s="323"/>
      <c r="W38" s="323"/>
      <c r="X38" s="321"/>
      <c r="Y38" s="325" t="s">
        <v>280</v>
      </c>
      <c r="Z38" s="92">
        <f>(PI()*(Z37/2)^2)-(PI()*(Z37/2-Z36)^2)</f>
        <v>82.920924046014932</v>
      </c>
      <c r="AA38" s="325" t="s">
        <v>253</v>
      </c>
      <c r="AB38" s="321"/>
      <c r="AC38" s="323" t="s">
        <v>667</v>
      </c>
      <c r="AD38" s="90">
        <f>AD36*1.25</f>
        <v>708.75</v>
      </c>
      <c r="AE38" s="323" t="s">
        <v>665</v>
      </c>
      <c r="AF38" s="79"/>
    </row>
    <row r="39" spans="2:32" ht="17.399999999999999" x14ac:dyDescent="0.25">
      <c r="B39" s="327" t="s">
        <v>362</v>
      </c>
      <c r="C39" s="227">
        <f>C10/C38*4/PI()/2^0.5</f>
        <v>449.97809481532158</v>
      </c>
      <c r="D39" s="227"/>
      <c r="E39" s="227">
        <f>E10/E38*4/PI()/2^0.5</f>
        <v>449.97809481532158</v>
      </c>
      <c r="F39" s="362"/>
      <c r="G39" s="405">
        <f>G10/G38*4/PI()/2^0.5</f>
        <v>449.97809481532158</v>
      </c>
      <c r="H39" s="227">
        <f>H10/H38*4/PI()/2^0.5</f>
        <v>449.97809481532158</v>
      </c>
      <c r="I39" s="227">
        <f>I10/I38*4/PI()/2^0.5</f>
        <v>449.97809481532158</v>
      </c>
      <c r="J39" s="406">
        <f>J10/J38*4/PI()/2^0.5</f>
        <v>449.97809481532158</v>
      </c>
      <c r="K39" s="377"/>
      <c r="L39" s="227"/>
      <c r="M39" s="327" t="s">
        <v>0</v>
      </c>
      <c r="N39" s="214"/>
      <c r="O39" s="327" t="s">
        <v>248</v>
      </c>
      <c r="Q39" s="71" t="s">
        <v>47</v>
      </c>
      <c r="R39" s="73">
        <f>R37*R38/1000</f>
        <v>13845.756698074327</v>
      </c>
      <c r="S39" s="71" t="s">
        <v>47</v>
      </c>
      <c r="T39" s="321"/>
      <c r="U39" s="74" t="s">
        <v>184</v>
      </c>
      <c r="V39" s="71"/>
      <c r="W39" s="71"/>
      <c r="X39" s="321"/>
      <c r="Y39" s="325" t="s">
        <v>258</v>
      </c>
      <c r="Z39" s="326">
        <v>2200</v>
      </c>
      <c r="AA39" s="69" t="s">
        <v>254</v>
      </c>
      <c r="AB39" s="321"/>
      <c r="AC39" s="321"/>
      <c r="AD39" s="321"/>
      <c r="AE39" s="321"/>
      <c r="AF39" s="79"/>
    </row>
    <row r="40" spans="2:32" ht="17.399999999999999" x14ac:dyDescent="0.25">
      <c r="B40" s="327" t="s">
        <v>90</v>
      </c>
      <c r="C40" s="328">
        <v>1.5</v>
      </c>
      <c r="D40" s="328"/>
      <c r="E40" s="328">
        <v>1.5</v>
      </c>
      <c r="F40" s="353"/>
      <c r="G40" s="387">
        <v>1.5</v>
      </c>
      <c r="H40" s="328">
        <v>1.5</v>
      </c>
      <c r="I40" s="328">
        <v>1.5</v>
      </c>
      <c r="J40" s="388">
        <v>1.5</v>
      </c>
      <c r="K40" s="368"/>
      <c r="L40" s="328"/>
      <c r="M40" s="327" t="s">
        <v>42</v>
      </c>
      <c r="N40" s="214"/>
      <c r="O40" s="327" t="s">
        <v>271</v>
      </c>
      <c r="Q40" s="71" t="s">
        <v>41</v>
      </c>
      <c r="R40" s="90">
        <f>R39/R35</f>
        <v>18.363072543865155</v>
      </c>
      <c r="S40" s="71"/>
      <c r="T40" s="321"/>
      <c r="U40" s="71" t="s">
        <v>185</v>
      </c>
      <c r="V40" s="75">
        <f>V24*V28/V29/1000</f>
        <v>129.06666666666669</v>
      </c>
      <c r="W40" s="323" t="s">
        <v>181</v>
      </c>
      <c r="X40" s="321"/>
      <c r="Y40" s="325" t="s">
        <v>649</v>
      </c>
      <c r="Z40" s="93">
        <f>Z39/Z38</f>
        <v>26.531301059539135</v>
      </c>
      <c r="AA40" s="69" t="s">
        <v>254</v>
      </c>
      <c r="AB40" s="321"/>
      <c r="AC40" s="431" t="s">
        <v>669</v>
      </c>
      <c r="AD40" s="431"/>
      <c r="AE40" s="431"/>
      <c r="AF40" s="79"/>
    </row>
    <row r="41" spans="2:32" ht="17.399999999999999" x14ac:dyDescent="0.25">
      <c r="B41" s="327" t="s">
        <v>91</v>
      </c>
      <c r="C41" s="223">
        <f t="shared" ref="C41" si="48">ROUND(C39/C40,1)</f>
        <v>300</v>
      </c>
      <c r="D41" s="223"/>
      <c r="E41" s="223">
        <f t="shared" ref="E41" si="49">ROUND(E39/E40,1)</f>
        <v>300</v>
      </c>
      <c r="F41" s="356"/>
      <c r="G41" s="393">
        <f t="shared" ref="G41:J41" si="50">ROUND(G39/G40,1)</f>
        <v>300</v>
      </c>
      <c r="H41" s="223">
        <f t="shared" si="50"/>
        <v>300</v>
      </c>
      <c r="I41" s="223">
        <f t="shared" si="50"/>
        <v>300</v>
      </c>
      <c r="J41" s="394">
        <f t="shared" si="50"/>
        <v>300</v>
      </c>
      <c r="K41" s="371"/>
      <c r="L41" s="223"/>
      <c r="M41" s="327" t="s">
        <v>0</v>
      </c>
      <c r="N41" s="214"/>
      <c r="O41" s="327" t="s">
        <v>363</v>
      </c>
      <c r="Q41" s="321"/>
      <c r="R41" s="321"/>
      <c r="S41" s="321"/>
      <c r="T41" s="321"/>
      <c r="U41" s="71" t="s">
        <v>186</v>
      </c>
      <c r="V41" s="75">
        <f>V40/SIN(V35*PI()/180)/SQRT(2)</f>
        <v>182.52783045028752</v>
      </c>
      <c r="W41" s="323" t="s">
        <v>172</v>
      </c>
      <c r="X41" s="321"/>
      <c r="Y41" s="325" t="s">
        <v>259</v>
      </c>
      <c r="Z41" s="93">
        <f>Z29/100000000*(Z39^2)/(Z38/1000000)*Z34/1000</f>
        <v>6867.5336900972161</v>
      </c>
      <c r="AA41" s="69" t="s">
        <v>255</v>
      </c>
      <c r="AB41" s="321"/>
      <c r="AC41" s="323" t="s">
        <v>26</v>
      </c>
      <c r="AD41" s="324">
        <v>3400</v>
      </c>
      <c r="AE41" s="323" t="s">
        <v>27</v>
      </c>
      <c r="AF41" s="79"/>
    </row>
    <row r="42" spans="2:32" ht="17.399999999999999" x14ac:dyDescent="0.25">
      <c r="B42" s="327"/>
      <c r="C42" s="327"/>
      <c r="D42" s="327"/>
      <c r="E42" s="327"/>
      <c r="F42" s="357"/>
      <c r="G42" s="395"/>
      <c r="H42" s="327"/>
      <c r="I42" s="327"/>
      <c r="J42" s="396"/>
      <c r="K42" s="372"/>
      <c r="L42" s="327"/>
      <c r="M42" s="327"/>
      <c r="N42" s="214"/>
      <c r="O42" s="327"/>
      <c r="Q42" s="430" t="s">
        <v>240</v>
      </c>
      <c r="R42" s="430"/>
      <c r="S42" s="430"/>
      <c r="T42" s="321"/>
      <c r="U42" s="71" t="s">
        <v>175</v>
      </c>
      <c r="V42" s="89">
        <f>V41*V31</f>
        <v>182.52783045028752</v>
      </c>
      <c r="W42" s="323" t="s">
        <v>172</v>
      </c>
      <c r="X42" s="321"/>
      <c r="Y42" s="321"/>
      <c r="Z42" s="321"/>
      <c r="AA42" s="321"/>
      <c r="AB42" s="321"/>
      <c r="AC42" s="323" t="s">
        <v>28</v>
      </c>
      <c r="AD42" s="324">
        <v>3800</v>
      </c>
      <c r="AE42" s="323" t="s">
        <v>15</v>
      </c>
      <c r="AF42" s="79"/>
    </row>
    <row r="43" spans="2:32" ht="17.399999999999999" x14ac:dyDescent="0.25">
      <c r="B43" s="327" t="s">
        <v>74</v>
      </c>
      <c r="C43" s="232">
        <f t="shared" ref="C43" si="51">C33/C41*100</f>
        <v>65.04633500806321</v>
      </c>
      <c r="D43" s="232"/>
      <c r="E43" s="232">
        <f t="shared" ref="E43" si="52">E33/E41*100</f>
        <v>64.914969684792226</v>
      </c>
      <c r="F43" s="367"/>
      <c r="G43" s="415">
        <f t="shared" ref="G43:J43" si="53">G33/G41*100</f>
        <v>106.1105545237205</v>
      </c>
      <c r="H43" s="232">
        <f t="shared" si="53"/>
        <v>96.865240503372547</v>
      </c>
      <c r="I43" s="232">
        <f t="shared" si="53"/>
        <v>83.887759019609959</v>
      </c>
      <c r="J43" s="416">
        <f t="shared" si="53"/>
        <v>75.031492659187634</v>
      </c>
      <c r="K43" s="382"/>
      <c r="L43" s="232"/>
      <c r="M43" s="327" t="s">
        <v>7</v>
      </c>
      <c r="N43" s="214"/>
      <c r="O43" s="217" t="s">
        <v>277</v>
      </c>
      <c r="Q43" s="86" t="s">
        <v>18</v>
      </c>
      <c r="R43" s="87">
        <v>40</v>
      </c>
      <c r="S43" s="86" t="s">
        <v>266</v>
      </c>
      <c r="T43" s="321"/>
      <c r="U43" s="71" t="s">
        <v>187</v>
      </c>
      <c r="V43" s="75">
        <f>V42/V32*100</f>
        <v>73.011132180115013</v>
      </c>
      <c r="W43" s="76" t="s">
        <v>188</v>
      </c>
      <c r="X43" s="321"/>
      <c r="Y43" s="431" t="s">
        <v>648</v>
      </c>
      <c r="Z43" s="431"/>
      <c r="AA43" s="431"/>
      <c r="AB43" s="321"/>
      <c r="AC43" s="323" t="s">
        <v>29</v>
      </c>
      <c r="AD43" s="90">
        <f>1/(2*3.14*SQRT((AD41/1000000)*(AD42/1000000)))</f>
        <v>44.300548095116021</v>
      </c>
      <c r="AE43" s="323" t="s">
        <v>30</v>
      </c>
      <c r="AF43" s="79"/>
    </row>
    <row r="44" spans="2:32" ht="17.399999999999999" x14ac:dyDescent="0.25">
      <c r="B44" s="327"/>
      <c r="C44" s="327"/>
      <c r="D44" s="327"/>
      <c r="E44" s="327"/>
      <c r="F44" s="357"/>
      <c r="G44" s="395"/>
      <c r="H44" s="327"/>
      <c r="I44" s="327"/>
      <c r="J44" s="396"/>
      <c r="K44" s="372"/>
      <c r="L44" s="327"/>
      <c r="M44" s="327"/>
      <c r="N44" s="214"/>
      <c r="O44" s="327"/>
      <c r="Q44" s="86" t="s">
        <v>102</v>
      </c>
      <c r="R44" s="87">
        <v>127</v>
      </c>
      <c r="S44" s="86" t="s">
        <v>2</v>
      </c>
      <c r="T44" s="321"/>
      <c r="U44" s="71" t="s">
        <v>189</v>
      </c>
      <c r="V44" s="75">
        <f>V43*V43/100</f>
        <v>53.306254222222258</v>
      </c>
      <c r="W44" s="76" t="s">
        <v>188</v>
      </c>
      <c r="X44" s="321"/>
      <c r="Y44" s="323" t="s">
        <v>213</v>
      </c>
      <c r="Z44" s="68" t="s">
        <v>214</v>
      </c>
      <c r="AA44" s="68"/>
      <c r="AB44" s="321"/>
      <c r="AC44" s="321"/>
      <c r="AD44" s="321"/>
      <c r="AE44" s="321"/>
      <c r="AF44" s="79"/>
    </row>
    <row r="45" spans="2:32" ht="17.399999999999999" x14ac:dyDescent="0.25">
      <c r="B45" s="327" t="s">
        <v>92</v>
      </c>
      <c r="C45" s="230">
        <f t="shared" ref="C45" si="54">C30/C40</f>
        <v>355.13931436720191</v>
      </c>
      <c r="D45" s="230"/>
      <c r="E45" s="230">
        <f t="shared" ref="E45" si="55">E30/E40</f>
        <v>355.85799283327287</v>
      </c>
      <c r="F45" s="365"/>
      <c r="G45" s="411">
        <f t="shared" ref="G45:J45" si="56">G30/G40</f>
        <v>483.78286884215663</v>
      </c>
      <c r="H45" s="230">
        <f t="shared" si="56"/>
        <v>529.95758039882469</v>
      </c>
      <c r="I45" s="230">
        <f t="shared" si="56"/>
        <v>611.94230340468846</v>
      </c>
      <c r="J45" s="412">
        <f t="shared" si="56"/>
        <v>684.17229436034211</v>
      </c>
      <c r="K45" s="380"/>
      <c r="L45" s="230"/>
      <c r="M45" s="327" t="s">
        <v>2</v>
      </c>
      <c r="N45" s="214"/>
      <c r="O45" s="216" t="s">
        <v>272</v>
      </c>
      <c r="Q45" s="86" t="s">
        <v>44</v>
      </c>
      <c r="R45" s="87">
        <v>401</v>
      </c>
      <c r="S45" s="86" t="s">
        <v>0</v>
      </c>
      <c r="T45" s="321"/>
      <c r="U45" s="321"/>
      <c r="V45" s="321"/>
      <c r="W45" s="321"/>
      <c r="X45" s="321"/>
      <c r="Y45" s="325" t="s">
        <v>215</v>
      </c>
      <c r="Z45" s="80">
        <v>1.75</v>
      </c>
      <c r="AA45" s="325" t="s">
        <v>216</v>
      </c>
      <c r="AB45" s="321"/>
      <c r="AC45" s="431" t="s">
        <v>700</v>
      </c>
      <c r="AD45" s="431"/>
      <c r="AE45" s="431"/>
      <c r="AF45" s="79"/>
    </row>
    <row r="46" spans="2:32" ht="17.399999999999999" x14ac:dyDescent="0.25">
      <c r="B46" s="327" t="s">
        <v>93</v>
      </c>
      <c r="C46" s="227">
        <f t="shared" ref="C46" si="57">ROUND(C45*2^0.5*2/PI(),0)</f>
        <v>320</v>
      </c>
      <c r="D46" s="227"/>
      <c r="E46" s="227">
        <f t="shared" ref="E46" si="58">ROUND(E45*2^0.5*2/PI(),0)</f>
        <v>320</v>
      </c>
      <c r="F46" s="362"/>
      <c r="G46" s="405">
        <f t="shared" ref="G46:J46" si="59">ROUND(G45*2^0.5*2/PI(),0)</f>
        <v>436</v>
      </c>
      <c r="H46" s="227">
        <f t="shared" si="59"/>
        <v>477</v>
      </c>
      <c r="I46" s="227">
        <f t="shared" si="59"/>
        <v>551</v>
      </c>
      <c r="J46" s="406">
        <f t="shared" si="59"/>
        <v>616</v>
      </c>
      <c r="K46" s="377"/>
      <c r="L46" s="227"/>
      <c r="M46" s="327" t="s">
        <v>2</v>
      </c>
      <c r="N46" s="214"/>
      <c r="O46" s="327"/>
      <c r="Q46" s="86" t="s">
        <v>625</v>
      </c>
      <c r="R46" s="87">
        <v>1</v>
      </c>
      <c r="S46" s="86"/>
      <c r="T46" s="321"/>
      <c r="U46" s="431" t="s">
        <v>252</v>
      </c>
      <c r="V46" s="431"/>
      <c r="W46" s="431"/>
      <c r="X46" s="321"/>
      <c r="Y46" s="325" t="s">
        <v>217</v>
      </c>
      <c r="Z46" s="81">
        <v>3.8999999999999998E-3</v>
      </c>
      <c r="AA46" s="325" t="s">
        <v>218</v>
      </c>
      <c r="AB46" s="321"/>
      <c r="AC46" s="323" t="s">
        <v>702</v>
      </c>
      <c r="AD46" s="324">
        <v>852</v>
      </c>
      <c r="AE46" s="323" t="s">
        <v>49</v>
      </c>
      <c r="AF46" s="79"/>
    </row>
    <row r="47" spans="2:32" ht="17.399999999999999" x14ac:dyDescent="0.25">
      <c r="B47" s="327" t="s">
        <v>94</v>
      </c>
      <c r="C47" s="227">
        <f t="shared" ref="C47" si="60">C46/C38</f>
        <v>320</v>
      </c>
      <c r="D47" s="227"/>
      <c r="E47" s="227">
        <f t="shared" ref="E47" si="61">E46/E38</f>
        <v>320</v>
      </c>
      <c r="F47" s="362"/>
      <c r="G47" s="405">
        <f t="shared" ref="G47:J47" si="62">G46/G38</f>
        <v>436</v>
      </c>
      <c r="H47" s="227">
        <f t="shared" si="62"/>
        <v>477</v>
      </c>
      <c r="I47" s="227">
        <f t="shared" si="62"/>
        <v>551</v>
      </c>
      <c r="J47" s="406">
        <f t="shared" si="62"/>
        <v>616</v>
      </c>
      <c r="K47" s="377"/>
      <c r="L47" s="227"/>
      <c r="M47" s="327" t="s">
        <v>2</v>
      </c>
      <c r="N47" s="214"/>
      <c r="O47" s="327"/>
      <c r="Q47" s="86" t="s">
        <v>58</v>
      </c>
      <c r="R47" s="88">
        <f>R45*0.9/R46</f>
        <v>360.90000000000003</v>
      </c>
      <c r="S47" s="86" t="s">
        <v>0</v>
      </c>
      <c r="T47" s="321"/>
      <c r="U47" s="71" t="s">
        <v>157</v>
      </c>
      <c r="V47" s="324">
        <v>3.2</v>
      </c>
      <c r="W47" s="71" t="s">
        <v>158</v>
      </c>
      <c r="X47" s="321"/>
      <c r="Y47" s="325" t="s">
        <v>219</v>
      </c>
      <c r="Z47" s="82">
        <v>45</v>
      </c>
      <c r="AA47" s="325" t="s">
        <v>48</v>
      </c>
      <c r="AB47" s="321"/>
      <c r="AC47" s="323" t="s">
        <v>37</v>
      </c>
      <c r="AD47" s="324">
        <v>28.43</v>
      </c>
      <c r="AE47" s="323" t="s">
        <v>4</v>
      </c>
      <c r="AF47" s="79"/>
    </row>
    <row r="48" spans="2:32" ht="18" thickBot="1" x14ac:dyDescent="0.3">
      <c r="B48" s="327" t="s">
        <v>95</v>
      </c>
      <c r="C48" s="228">
        <f>ROUND(C47/C11,3)</f>
        <v>1.7769999999999999</v>
      </c>
      <c r="D48" s="228"/>
      <c r="E48" s="228">
        <f>ROUND(E47/E11,3)</f>
        <v>1.7769999999999999</v>
      </c>
      <c r="F48" s="363"/>
      <c r="G48" s="417">
        <f>ROUND(G47/G11,3)</f>
        <v>1.089</v>
      </c>
      <c r="H48" s="418">
        <f>ROUND(H47/H11,3)</f>
        <v>1.1919999999999999</v>
      </c>
      <c r="I48" s="418">
        <f>ROUND(I47/I11,3)</f>
        <v>1.377</v>
      </c>
      <c r="J48" s="419">
        <f>ROUND(J47/J11,3)</f>
        <v>1.5389999999999999</v>
      </c>
      <c r="K48" s="378"/>
      <c r="L48" s="228"/>
      <c r="M48" s="327"/>
      <c r="N48" s="214"/>
      <c r="O48" s="327"/>
      <c r="Q48" s="86" t="s">
        <v>267</v>
      </c>
      <c r="R48" s="88">
        <f>(R43*1000)/(R44*R45*0.9/R46)</f>
        <v>0.87270886650390644</v>
      </c>
      <c r="S48" s="86"/>
      <c r="T48" s="321"/>
      <c r="U48" s="71" t="s">
        <v>161</v>
      </c>
      <c r="V48" s="324">
        <v>100</v>
      </c>
      <c r="W48" s="71" t="s">
        <v>162</v>
      </c>
      <c r="X48" s="321"/>
      <c r="Y48" s="325" t="s">
        <v>220</v>
      </c>
      <c r="Z48" s="81">
        <f>Z45*(1+Z46*(Z47-20))</f>
        <v>1.9206249999999998</v>
      </c>
      <c r="AA48" s="325" t="s">
        <v>216</v>
      </c>
      <c r="AB48" s="321"/>
      <c r="AC48" s="323" t="s">
        <v>703</v>
      </c>
      <c r="AD48" s="324">
        <v>5511</v>
      </c>
      <c r="AE48" s="323" t="s">
        <v>2</v>
      </c>
      <c r="AF48" s="79"/>
    </row>
    <row r="49" spans="2:32" ht="17.399999999999999" x14ac:dyDescent="0.25"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Q49" s="86" t="s">
        <v>268</v>
      </c>
      <c r="R49" s="237">
        <f>DEGREES(ACOS(R48))</f>
        <v>29.225030363895115</v>
      </c>
      <c r="S49" s="86"/>
      <c r="T49" s="321"/>
      <c r="U49" s="71" t="s">
        <v>164</v>
      </c>
      <c r="V49" s="324">
        <v>100</v>
      </c>
      <c r="W49" s="71" t="s">
        <v>165</v>
      </c>
      <c r="X49" s="321"/>
      <c r="Y49" s="325" t="s">
        <v>221</v>
      </c>
      <c r="Z49" s="83">
        <f>1/(Z48/100000000)</f>
        <v>52066384.64041654</v>
      </c>
      <c r="AA49" s="325" t="s">
        <v>222</v>
      </c>
      <c r="AB49" s="321"/>
      <c r="AC49" s="323" t="s">
        <v>701</v>
      </c>
      <c r="AD49" s="90">
        <f>(AD46)/(2*3.14*AD47*1000*AD48)*1000000</f>
        <v>0.8659098508059645</v>
      </c>
      <c r="AE49" s="323" t="s">
        <v>704</v>
      </c>
      <c r="AF49" s="79"/>
    </row>
    <row r="50" spans="2:32" ht="17.399999999999999" x14ac:dyDescent="0.25">
      <c r="B50" s="211" t="s">
        <v>366</v>
      </c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Q50" s="321"/>
      <c r="R50" s="321"/>
      <c r="S50" s="321"/>
      <c r="T50" s="321"/>
      <c r="U50" s="71" t="s">
        <v>167</v>
      </c>
      <c r="V50" s="90">
        <f>V47*V48/V49</f>
        <v>3.2</v>
      </c>
      <c r="W50" s="71" t="s">
        <v>168</v>
      </c>
      <c r="X50" s="321"/>
      <c r="Y50" s="325" t="s">
        <v>223</v>
      </c>
      <c r="Z50" s="68">
        <v>1</v>
      </c>
      <c r="AA50" s="325" t="s">
        <v>224</v>
      </c>
      <c r="AB50" s="321"/>
      <c r="AC50" s="321"/>
      <c r="AD50" s="321"/>
      <c r="AE50" s="321"/>
      <c r="AF50" s="79"/>
    </row>
    <row r="51" spans="2:32" ht="17.399999999999999" x14ac:dyDescent="0.4">
      <c r="B51" s="97" t="s">
        <v>350</v>
      </c>
      <c r="C51" s="331">
        <v>1</v>
      </c>
      <c r="D51" s="331"/>
      <c r="E51" s="331">
        <v>1</v>
      </c>
      <c r="F51" s="331"/>
      <c r="G51" s="331">
        <v>1</v>
      </c>
      <c r="H51" s="331">
        <v>1</v>
      </c>
      <c r="I51" s="331">
        <v>1</v>
      </c>
      <c r="J51" s="331">
        <v>1</v>
      </c>
      <c r="K51" s="331"/>
      <c r="L51" s="331"/>
      <c r="M51" s="97" t="s">
        <v>51</v>
      </c>
      <c r="N51" s="214">
        <v>6</v>
      </c>
      <c r="O51" s="100" t="s">
        <v>354</v>
      </c>
      <c r="Q51" s="430" t="s">
        <v>292</v>
      </c>
      <c r="R51" s="430"/>
      <c r="S51" s="430"/>
      <c r="T51" s="321"/>
      <c r="U51" s="321"/>
      <c r="V51" s="321"/>
      <c r="W51" s="321"/>
      <c r="X51" s="321"/>
      <c r="Y51" s="325" t="s">
        <v>37</v>
      </c>
      <c r="Z51" s="84">
        <v>200</v>
      </c>
      <c r="AA51" s="325" t="s">
        <v>225</v>
      </c>
      <c r="AB51" s="321"/>
      <c r="AC51" s="321"/>
      <c r="AD51" s="321"/>
      <c r="AE51" s="321" t="s">
        <v>261</v>
      </c>
      <c r="AF51" s="79"/>
    </row>
    <row r="52" spans="2:32" ht="17.399999999999999" x14ac:dyDescent="0.4">
      <c r="B52" s="97" t="s">
        <v>116</v>
      </c>
      <c r="C52" s="332">
        <f t="shared" ref="C52" si="63">C45/C51</f>
        <v>355.13931436720191</v>
      </c>
      <c r="D52" s="332"/>
      <c r="E52" s="332">
        <f t="shared" ref="E52" si="64">E45/E51</f>
        <v>355.85799283327287</v>
      </c>
      <c r="F52" s="332"/>
      <c r="G52" s="332">
        <f t="shared" ref="G52:J52" si="65">G45/G51</f>
        <v>483.78286884215663</v>
      </c>
      <c r="H52" s="332">
        <f t="shared" si="65"/>
        <v>529.95758039882469</v>
      </c>
      <c r="I52" s="332">
        <f t="shared" si="65"/>
        <v>611.94230340468846</v>
      </c>
      <c r="J52" s="332">
        <f t="shared" si="65"/>
        <v>684.17229436034211</v>
      </c>
      <c r="K52" s="332"/>
      <c r="L52" s="332"/>
      <c r="M52" s="97" t="s">
        <v>2</v>
      </c>
      <c r="N52" s="214"/>
      <c r="O52" s="97" t="s">
        <v>353</v>
      </c>
      <c r="Q52" s="97" t="s">
        <v>36</v>
      </c>
      <c r="R52" s="98">
        <v>200</v>
      </c>
      <c r="S52" s="97" t="s">
        <v>13</v>
      </c>
      <c r="T52" s="321"/>
      <c r="U52" s="431" t="s">
        <v>381</v>
      </c>
      <c r="V52" s="431"/>
      <c r="W52" s="431"/>
      <c r="X52" s="321"/>
      <c r="Y52" s="325" t="s">
        <v>256</v>
      </c>
      <c r="Z52" s="96">
        <f>503.3*SQRT((Z48/100000000)/(Z50*Z51))*1000</f>
        <v>4.9321153073820669</v>
      </c>
      <c r="AA52" s="325" t="s">
        <v>227</v>
      </c>
      <c r="AB52" s="321"/>
      <c r="AC52" s="321"/>
      <c r="AD52" s="321"/>
      <c r="AE52" s="321"/>
      <c r="AF52" s="79"/>
    </row>
    <row r="53" spans="2:32" ht="17.399999999999999" x14ac:dyDescent="0.4">
      <c r="B53" s="97" t="s">
        <v>8</v>
      </c>
      <c r="C53" s="333">
        <v>3.2</v>
      </c>
      <c r="D53" s="333"/>
      <c r="E53" s="333">
        <v>3.2</v>
      </c>
      <c r="F53" s="333"/>
      <c r="G53" s="333">
        <v>3.2</v>
      </c>
      <c r="H53" s="333">
        <v>3.2</v>
      </c>
      <c r="I53" s="333">
        <v>3.2</v>
      </c>
      <c r="J53" s="333">
        <v>3.2</v>
      </c>
      <c r="K53" s="333"/>
      <c r="L53" s="333"/>
      <c r="M53" s="97" t="s">
        <v>45</v>
      </c>
      <c r="N53" s="214">
        <v>7</v>
      </c>
      <c r="O53" s="100" t="s">
        <v>119</v>
      </c>
      <c r="Q53" s="97" t="s">
        <v>38</v>
      </c>
      <c r="R53" s="98">
        <v>3</v>
      </c>
      <c r="S53" s="97" t="s">
        <v>13</v>
      </c>
      <c r="T53" s="321"/>
      <c r="U53" s="86" t="s">
        <v>371</v>
      </c>
      <c r="V53" s="87">
        <v>15.4</v>
      </c>
      <c r="W53" s="86" t="s">
        <v>13</v>
      </c>
      <c r="X53" s="321"/>
      <c r="Y53" s="325" t="s">
        <v>257</v>
      </c>
      <c r="Z53" s="326">
        <v>16000</v>
      </c>
      <c r="AA53" s="325" t="s">
        <v>227</v>
      </c>
      <c r="AB53" s="321"/>
      <c r="AC53" s="321"/>
      <c r="AD53" s="321"/>
      <c r="AE53" s="321"/>
      <c r="AF53" s="79"/>
    </row>
    <row r="54" spans="2:32" ht="17.399999999999999" x14ac:dyDescent="0.4">
      <c r="B54" s="97" t="s">
        <v>120</v>
      </c>
      <c r="C54" s="333">
        <v>25</v>
      </c>
      <c r="D54" s="333"/>
      <c r="E54" s="333">
        <v>25</v>
      </c>
      <c r="F54" s="333"/>
      <c r="G54" s="333">
        <v>25</v>
      </c>
      <c r="H54" s="333">
        <v>25</v>
      </c>
      <c r="I54" s="333">
        <v>25</v>
      </c>
      <c r="J54" s="333">
        <v>25</v>
      </c>
      <c r="K54" s="333"/>
      <c r="L54" s="333"/>
      <c r="M54" s="97" t="s">
        <v>0</v>
      </c>
      <c r="N54" s="214">
        <v>8</v>
      </c>
      <c r="O54" s="100" t="s">
        <v>121</v>
      </c>
      <c r="Q54" s="97" t="s">
        <v>39</v>
      </c>
      <c r="R54" s="98">
        <v>2000</v>
      </c>
      <c r="S54" s="97" t="s">
        <v>13</v>
      </c>
      <c r="T54" s="321"/>
      <c r="U54" s="86" t="s">
        <v>372</v>
      </c>
      <c r="V54" s="87">
        <v>2</v>
      </c>
      <c r="W54" s="86" t="s">
        <v>13</v>
      </c>
      <c r="X54" s="321"/>
      <c r="Y54" s="325" t="s">
        <v>282</v>
      </c>
      <c r="Z54" s="326">
        <v>6</v>
      </c>
      <c r="AA54" s="325" t="s">
        <v>227</v>
      </c>
      <c r="AB54" s="321"/>
      <c r="AC54" s="321"/>
      <c r="AD54" s="321"/>
      <c r="AE54" s="321"/>
      <c r="AF54" s="79"/>
    </row>
    <row r="55" spans="2:32" ht="17.399999999999999" x14ac:dyDescent="0.4">
      <c r="B55" s="97" t="s">
        <v>9</v>
      </c>
      <c r="C55" s="334">
        <f t="shared" ref="C55" si="66">C54*C53/1000000*C56*1000</f>
        <v>22.243916214137073</v>
      </c>
      <c r="D55" s="334"/>
      <c r="E55" s="334">
        <f t="shared" ref="E55" si="67">E54*E53/1000000*E56*1000</f>
        <v>21.318116556910169</v>
      </c>
      <c r="F55" s="334"/>
      <c r="G55" s="334">
        <f t="shared" ref="G55:J55" si="68">G54*G53/1000000*G56*1000</f>
        <v>21.526227853572333</v>
      </c>
      <c r="H55" s="334">
        <f t="shared" si="68"/>
        <v>21.320142611721909</v>
      </c>
      <c r="I55" s="334">
        <f t="shared" si="68"/>
        <v>21.06517860797954</v>
      </c>
      <c r="J55" s="334">
        <f t="shared" si="68"/>
        <v>20.913611303752614</v>
      </c>
      <c r="K55" s="334"/>
      <c r="L55" s="334"/>
      <c r="M55" s="97" t="s">
        <v>6</v>
      </c>
      <c r="N55" s="214"/>
      <c r="O55" s="97"/>
      <c r="Q55" s="97" t="s">
        <v>77</v>
      </c>
      <c r="R55" s="238">
        <f>12.5*(R53/10)*(R54/10)/(R52/10)</f>
        <v>37.5</v>
      </c>
      <c r="S55" s="97" t="s">
        <v>40</v>
      </c>
      <c r="T55" s="321"/>
      <c r="U55" s="86" t="s">
        <v>374</v>
      </c>
      <c r="V55" s="88">
        <f>V53+V54*2</f>
        <v>19.399999999999999</v>
      </c>
      <c r="W55" s="86" t="s">
        <v>13</v>
      </c>
      <c r="X55" s="321"/>
      <c r="Y55" s="325" t="s">
        <v>281</v>
      </c>
      <c r="Z55" s="92">
        <f>MIN(Z52,Z54)</f>
        <v>4.9321153073820669</v>
      </c>
      <c r="AA55" s="325" t="s">
        <v>227</v>
      </c>
      <c r="AB55" s="321"/>
      <c r="AC55" s="321"/>
      <c r="AD55" s="321"/>
      <c r="AE55" s="321"/>
      <c r="AF55" s="79"/>
    </row>
    <row r="56" spans="2:32" ht="18" customHeight="1" x14ac:dyDescent="0.4">
      <c r="B56" s="97" t="s">
        <v>118</v>
      </c>
      <c r="C56" s="332">
        <f t="shared" ref="C56" si="69">C23</f>
        <v>278.04895267671338</v>
      </c>
      <c r="D56" s="332"/>
      <c r="E56" s="332">
        <f t="shared" ref="E56" si="70">E23</f>
        <v>266.4764569613771</v>
      </c>
      <c r="F56" s="332"/>
      <c r="G56" s="332">
        <f t="shared" ref="G56:J56" si="71">G23</f>
        <v>269.07784816965415</v>
      </c>
      <c r="H56" s="332">
        <f t="shared" si="71"/>
        <v>266.50178264652385</v>
      </c>
      <c r="I56" s="332">
        <f t="shared" si="71"/>
        <v>263.31473259974422</v>
      </c>
      <c r="J56" s="332">
        <f t="shared" si="71"/>
        <v>261.42014129690767</v>
      </c>
      <c r="K56" s="332"/>
      <c r="L56" s="332"/>
      <c r="M56" s="97" t="s">
        <v>4</v>
      </c>
      <c r="N56" s="214"/>
      <c r="O56" s="97" t="s">
        <v>117</v>
      </c>
      <c r="U56" s="234" t="s">
        <v>375</v>
      </c>
      <c r="V56" s="235">
        <v>8.8539999999999992E-12</v>
      </c>
      <c r="W56" s="327"/>
      <c r="Y56" s="325" t="s">
        <v>262</v>
      </c>
      <c r="Z56" s="326">
        <v>38</v>
      </c>
      <c r="AA56" s="325" t="s">
        <v>227</v>
      </c>
    </row>
    <row r="57" spans="2:32" ht="17.399999999999999" x14ac:dyDescent="0.4">
      <c r="B57" s="97" t="s">
        <v>349</v>
      </c>
      <c r="C57" s="335">
        <f t="shared" ref="C57" si="72">C52*1.414</f>
        <v>502.16699051522346</v>
      </c>
      <c r="D57" s="335"/>
      <c r="E57" s="335">
        <f t="shared" ref="E57" si="73">E52*1.414</f>
        <v>503.18320186624783</v>
      </c>
      <c r="F57" s="335"/>
      <c r="G57" s="335">
        <f t="shared" ref="G57:J57" si="74">G52*1.414</f>
        <v>684.06897654280942</v>
      </c>
      <c r="H57" s="335">
        <f t="shared" si="74"/>
        <v>749.36001868393805</v>
      </c>
      <c r="I57" s="335">
        <f t="shared" si="74"/>
        <v>865.28641701422941</v>
      </c>
      <c r="J57" s="335">
        <f t="shared" si="74"/>
        <v>967.41962422552365</v>
      </c>
      <c r="K57" s="335"/>
      <c r="L57" s="335"/>
      <c r="M57" s="97" t="s">
        <v>2</v>
      </c>
      <c r="N57" s="214"/>
      <c r="O57" s="97" t="s">
        <v>355</v>
      </c>
      <c r="Q57" s="430" t="s">
        <v>367</v>
      </c>
      <c r="R57" s="430"/>
      <c r="S57" s="430"/>
      <c r="U57" s="234" t="s">
        <v>376</v>
      </c>
      <c r="V57" s="328">
        <v>2.1</v>
      </c>
      <c r="W57" s="327" t="s">
        <v>370</v>
      </c>
      <c r="Y57" s="325" t="s">
        <v>263</v>
      </c>
      <c r="Z57" s="326">
        <v>30</v>
      </c>
      <c r="AA57" s="325" t="s">
        <v>227</v>
      </c>
    </row>
    <row r="58" spans="2:32" ht="17.399999999999999" x14ac:dyDescent="0.4">
      <c r="B58" s="97" t="s">
        <v>122</v>
      </c>
      <c r="C58" s="333">
        <v>5</v>
      </c>
      <c r="D58" s="333"/>
      <c r="E58" s="333">
        <v>5</v>
      </c>
      <c r="F58" s="333"/>
      <c r="G58" s="333">
        <v>5</v>
      </c>
      <c r="H58" s="333">
        <v>5</v>
      </c>
      <c r="I58" s="333">
        <v>5</v>
      </c>
      <c r="J58" s="333">
        <v>5</v>
      </c>
      <c r="K58" s="333"/>
      <c r="L58" s="333"/>
      <c r="M58" s="97" t="s">
        <v>5</v>
      </c>
      <c r="N58" s="214">
        <v>9</v>
      </c>
      <c r="O58" s="100" t="s">
        <v>123</v>
      </c>
      <c r="Q58" s="97" t="s">
        <v>368</v>
      </c>
      <c r="R58" s="98">
        <v>3000</v>
      </c>
      <c r="S58" s="97" t="s">
        <v>52</v>
      </c>
      <c r="U58" s="327" t="s">
        <v>377</v>
      </c>
      <c r="V58" s="235">
        <f>2*PI()*V56*V57/(LN(V55/V53))*1000000000</f>
        <v>0.50594615125588516</v>
      </c>
      <c r="W58" s="327" t="s">
        <v>369</v>
      </c>
      <c r="Y58" s="325" t="s">
        <v>278</v>
      </c>
      <c r="Z58" s="92">
        <f>(Z56*Z57)-((Z56-2*Z55)*(Z57-2*Z55))</f>
        <v>573.46463618271105</v>
      </c>
      <c r="AA58" s="325" t="s">
        <v>253</v>
      </c>
    </row>
    <row r="59" spans="2:32" ht="17.399999999999999" x14ac:dyDescent="0.4">
      <c r="B59" s="97" t="s">
        <v>124</v>
      </c>
      <c r="C59" s="334">
        <v>0</v>
      </c>
      <c r="D59" s="334"/>
      <c r="E59" s="334">
        <v>0</v>
      </c>
      <c r="F59" s="334"/>
      <c r="G59" s="334">
        <v>0</v>
      </c>
      <c r="H59" s="334">
        <v>0</v>
      </c>
      <c r="I59" s="334">
        <v>0</v>
      </c>
      <c r="J59" s="334">
        <v>0</v>
      </c>
      <c r="K59" s="334"/>
      <c r="L59" s="334"/>
      <c r="M59" s="97" t="s">
        <v>5</v>
      </c>
      <c r="N59" s="214"/>
      <c r="O59" s="97"/>
      <c r="Q59" s="97" t="s">
        <v>373</v>
      </c>
      <c r="R59" s="98">
        <v>1</v>
      </c>
      <c r="S59" s="97" t="s">
        <v>13</v>
      </c>
      <c r="U59" s="327" t="s">
        <v>378</v>
      </c>
      <c r="V59" s="328">
        <v>10</v>
      </c>
      <c r="W59" s="327" t="s">
        <v>380</v>
      </c>
      <c r="Y59" s="325" t="s">
        <v>258</v>
      </c>
      <c r="Z59" s="326">
        <v>7200</v>
      </c>
      <c r="AA59" s="69" t="s">
        <v>254</v>
      </c>
    </row>
    <row r="60" spans="2:32" ht="17.399999999999999" x14ac:dyDescent="0.4">
      <c r="B60" s="97" t="s">
        <v>125</v>
      </c>
      <c r="C60" s="334">
        <v>0</v>
      </c>
      <c r="D60" s="334"/>
      <c r="E60" s="334">
        <v>0</v>
      </c>
      <c r="F60" s="334"/>
      <c r="G60" s="334">
        <v>0</v>
      </c>
      <c r="H60" s="334">
        <v>0</v>
      </c>
      <c r="I60" s="334">
        <v>0</v>
      </c>
      <c r="J60" s="334">
        <v>0</v>
      </c>
      <c r="K60" s="334"/>
      <c r="L60" s="334"/>
      <c r="M60" s="97" t="s">
        <v>5</v>
      </c>
      <c r="N60" s="214"/>
      <c r="O60" s="97"/>
      <c r="Q60" s="97" t="s">
        <v>376</v>
      </c>
      <c r="R60" s="98">
        <v>2.1</v>
      </c>
      <c r="S60" s="97" t="s">
        <v>370</v>
      </c>
      <c r="T60" s="3"/>
      <c r="U60" s="327" t="s">
        <v>379</v>
      </c>
      <c r="V60" s="236">
        <f>V58*V59</f>
        <v>5.0594615125588511</v>
      </c>
      <c r="W60" s="327" t="s">
        <v>369</v>
      </c>
      <c r="Y60" s="325" t="s">
        <v>649</v>
      </c>
      <c r="Z60" s="93">
        <f>Z59/Z58</f>
        <v>12.555264170999402</v>
      </c>
      <c r="AA60" s="69" t="s">
        <v>254</v>
      </c>
    </row>
    <row r="61" spans="2:32" ht="17.399999999999999" x14ac:dyDescent="0.4">
      <c r="B61" s="97" t="s">
        <v>126</v>
      </c>
      <c r="C61" s="336">
        <f t="shared" ref="C61" si="75">C58*C56+C59*C56</f>
        <v>1390.2447633835668</v>
      </c>
      <c r="D61" s="336"/>
      <c r="E61" s="336">
        <f t="shared" ref="E61" si="76">E58*E56+E59*E56</f>
        <v>1332.3822848068855</v>
      </c>
      <c r="F61" s="336"/>
      <c r="G61" s="336">
        <f t="shared" ref="G61:J61" si="77">G58*G56+G59*G56</f>
        <v>1345.3892408482707</v>
      </c>
      <c r="H61" s="336">
        <f t="shared" si="77"/>
        <v>1332.5089132326193</v>
      </c>
      <c r="I61" s="336">
        <f t="shared" si="77"/>
        <v>1316.5736629987211</v>
      </c>
      <c r="J61" s="336">
        <f t="shared" si="77"/>
        <v>1307.1007064845385</v>
      </c>
      <c r="K61" s="336"/>
      <c r="L61" s="336"/>
      <c r="M61" s="97" t="s">
        <v>6</v>
      </c>
      <c r="N61" s="214"/>
      <c r="O61" s="97"/>
      <c r="Q61" s="97" t="s">
        <v>78</v>
      </c>
      <c r="R61" s="238">
        <f>8.854/1000000000000*R60*(R58/1000000)/(R59/1000)*1000000000</f>
        <v>5.5780200000000002E-2</v>
      </c>
      <c r="S61" s="97" t="s">
        <v>369</v>
      </c>
      <c r="Y61" s="325" t="s">
        <v>259</v>
      </c>
      <c r="Z61" s="93">
        <f>Z48/100000000*(Z59^2)/(Z58/1000000)*Z53/1000</f>
        <v>27779.275294186435</v>
      </c>
      <c r="AA61" s="69" t="s">
        <v>255</v>
      </c>
    </row>
    <row r="62" spans="2:32" ht="17.399999999999999" x14ac:dyDescent="0.4">
      <c r="B62" s="97" t="s">
        <v>127</v>
      </c>
      <c r="C62" s="334">
        <f t="shared" ref="C62" si="78">C56*C60</f>
        <v>0</v>
      </c>
      <c r="D62" s="334"/>
      <c r="E62" s="334">
        <f t="shared" ref="E62" si="79">E56*E60</f>
        <v>0</v>
      </c>
      <c r="F62" s="334"/>
      <c r="G62" s="334">
        <f t="shared" ref="G62:J62" si="80">G56*G60</f>
        <v>0</v>
      </c>
      <c r="H62" s="334">
        <f t="shared" si="80"/>
        <v>0</v>
      </c>
      <c r="I62" s="334">
        <f t="shared" si="80"/>
        <v>0</v>
      </c>
      <c r="J62" s="334">
        <f t="shared" si="80"/>
        <v>0</v>
      </c>
      <c r="K62" s="334"/>
      <c r="L62" s="334"/>
      <c r="M62" s="97" t="s">
        <v>6</v>
      </c>
      <c r="N62" s="214"/>
      <c r="O62" s="97"/>
    </row>
    <row r="63" spans="2:32" ht="17.399999999999999" x14ac:dyDescent="0.4">
      <c r="B63" s="97" t="s">
        <v>128</v>
      </c>
      <c r="C63" s="333">
        <v>100</v>
      </c>
      <c r="D63" s="333"/>
      <c r="E63" s="333">
        <v>100</v>
      </c>
      <c r="F63" s="333"/>
      <c r="G63" s="333">
        <v>100</v>
      </c>
      <c r="H63" s="333">
        <v>100</v>
      </c>
      <c r="I63" s="333">
        <v>100</v>
      </c>
      <c r="J63" s="333">
        <v>100</v>
      </c>
      <c r="K63" s="333"/>
      <c r="L63" s="333"/>
      <c r="M63" s="97" t="s">
        <v>7</v>
      </c>
      <c r="N63" s="214">
        <v>10</v>
      </c>
      <c r="O63" s="100" t="s">
        <v>129</v>
      </c>
      <c r="Q63" s="433" t="s">
        <v>626</v>
      </c>
      <c r="R63" s="433"/>
      <c r="S63" s="433"/>
      <c r="T63"/>
      <c r="Y63" s="431" t="s">
        <v>645</v>
      </c>
      <c r="Z63" s="431"/>
      <c r="AA63" s="431"/>
    </row>
    <row r="64" spans="2:32" ht="17.399999999999999" x14ac:dyDescent="0.4">
      <c r="B64" s="97" t="s">
        <v>130</v>
      </c>
      <c r="C64" s="337">
        <f t="shared" ref="C64" si="81">C61*C63/100</f>
        <v>1390.2447633835668</v>
      </c>
      <c r="D64" s="337"/>
      <c r="E64" s="337">
        <f t="shared" ref="E64" si="82">E61*E63/100</f>
        <v>1332.3822848068855</v>
      </c>
      <c r="F64" s="337"/>
      <c r="G64" s="337">
        <f t="shared" ref="G64:J64" si="83">G61*G63/100</f>
        <v>1345.3892408482707</v>
      </c>
      <c r="H64" s="337">
        <f t="shared" si="83"/>
        <v>1332.5089132326193</v>
      </c>
      <c r="I64" s="337">
        <f t="shared" si="83"/>
        <v>1316.5736629987211</v>
      </c>
      <c r="J64" s="337">
        <f t="shared" si="83"/>
        <v>1307.1007064845385</v>
      </c>
      <c r="K64" s="337"/>
      <c r="L64" s="337"/>
      <c r="M64" s="97" t="s">
        <v>6</v>
      </c>
      <c r="N64" s="214"/>
      <c r="O64" s="97"/>
      <c r="Q64" s="273"/>
      <c r="R64" s="274" t="s">
        <v>618</v>
      </c>
      <c r="S64" s="274" t="s">
        <v>619</v>
      </c>
      <c r="T64" s="274" t="s">
        <v>620</v>
      </c>
      <c r="Y64" s="323" t="s">
        <v>213</v>
      </c>
      <c r="Z64" s="68" t="s">
        <v>214</v>
      </c>
      <c r="AA64" s="68"/>
    </row>
    <row r="65" spans="2:27" ht="17.399999999999999" x14ac:dyDescent="0.4">
      <c r="B65" s="97" t="s">
        <v>131</v>
      </c>
      <c r="C65" s="335">
        <f t="shared" ref="C65" si="84">C52*0.9</f>
        <v>319.62538293048175</v>
      </c>
      <c r="D65" s="335"/>
      <c r="E65" s="335">
        <f t="shared" ref="E65" si="85">E52*0.9</f>
        <v>320.2721935499456</v>
      </c>
      <c r="F65" s="335"/>
      <c r="G65" s="335">
        <f t="shared" ref="G65:J65" si="86">G52*0.9</f>
        <v>435.40458195794099</v>
      </c>
      <c r="H65" s="335">
        <f t="shared" si="86"/>
        <v>476.96182235894224</v>
      </c>
      <c r="I65" s="335">
        <f t="shared" si="86"/>
        <v>550.74807306421962</v>
      </c>
      <c r="J65" s="335">
        <f t="shared" si="86"/>
        <v>615.75506492430793</v>
      </c>
      <c r="K65" s="335"/>
      <c r="L65" s="335"/>
      <c r="M65" s="97" t="s">
        <v>2</v>
      </c>
      <c r="N65" s="214"/>
      <c r="O65" s="97"/>
      <c r="Q65" s="274" t="s">
        <v>617</v>
      </c>
      <c r="R65" s="274" t="s">
        <v>623</v>
      </c>
      <c r="S65" s="274" t="s">
        <v>621</v>
      </c>
      <c r="T65" s="274" t="s">
        <v>622</v>
      </c>
      <c r="Y65" s="325" t="s">
        <v>215</v>
      </c>
      <c r="Z65" s="80">
        <v>1.75</v>
      </c>
      <c r="AA65" s="325" t="s">
        <v>216</v>
      </c>
    </row>
    <row r="66" spans="2:27" ht="17.399999999999999" x14ac:dyDescent="0.4">
      <c r="B66" s="97" t="s">
        <v>132</v>
      </c>
      <c r="C66" s="333">
        <v>2</v>
      </c>
      <c r="D66" s="333"/>
      <c r="E66" s="333">
        <v>2</v>
      </c>
      <c r="F66" s="333"/>
      <c r="G66" s="333">
        <v>2</v>
      </c>
      <c r="H66" s="333">
        <v>2</v>
      </c>
      <c r="I66" s="333">
        <v>2</v>
      </c>
      <c r="J66" s="333">
        <v>2</v>
      </c>
      <c r="K66" s="333"/>
      <c r="L66" s="333"/>
      <c r="M66" s="97" t="s">
        <v>44</v>
      </c>
      <c r="N66" s="214">
        <v>11</v>
      </c>
      <c r="O66" s="100" t="s">
        <v>133</v>
      </c>
      <c r="Q66" s="272">
        <v>0.5</v>
      </c>
      <c r="R66" s="272"/>
      <c r="S66" s="272">
        <v>2.5</v>
      </c>
      <c r="T66" s="272"/>
      <c r="Y66" s="325" t="s">
        <v>217</v>
      </c>
      <c r="Z66" s="81">
        <v>3.8999999999999998E-3</v>
      </c>
      <c r="AA66" s="325" t="s">
        <v>218</v>
      </c>
    </row>
    <row r="67" spans="2:27" ht="17.399999999999999" x14ac:dyDescent="0.4">
      <c r="B67" s="97" t="s">
        <v>134</v>
      </c>
      <c r="C67" s="333">
        <v>1</v>
      </c>
      <c r="D67" s="333"/>
      <c r="E67" s="333">
        <v>1</v>
      </c>
      <c r="F67" s="333"/>
      <c r="G67" s="333">
        <v>1</v>
      </c>
      <c r="H67" s="333">
        <v>1</v>
      </c>
      <c r="I67" s="333">
        <v>1</v>
      </c>
      <c r="J67" s="333">
        <v>1</v>
      </c>
      <c r="K67" s="333"/>
      <c r="L67" s="333"/>
      <c r="M67" s="97" t="s">
        <v>44</v>
      </c>
      <c r="N67" s="214">
        <v>12</v>
      </c>
      <c r="O67" s="100" t="s">
        <v>135</v>
      </c>
      <c r="Q67" s="272">
        <v>0.8</v>
      </c>
      <c r="R67" s="272"/>
      <c r="S67" s="272">
        <v>1.42</v>
      </c>
      <c r="T67" s="272"/>
      <c r="Y67" s="325" t="s">
        <v>219</v>
      </c>
      <c r="Z67" s="82">
        <v>45</v>
      </c>
      <c r="AA67" s="325" t="s">
        <v>48</v>
      </c>
    </row>
    <row r="68" spans="2:27" ht="17.399999999999999" x14ac:dyDescent="0.4">
      <c r="B68" s="97" t="s">
        <v>74</v>
      </c>
      <c r="C68" s="334">
        <v>100</v>
      </c>
      <c r="D68" s="334"/>
      <c r="E68" s="334">
        <v>100</v>
      </c>
      <c r="F68" s="334"/>
      <c r="G68" s="334">
        <v>100</v>
      </c>
      <c r="H68" s="334">
        <v>100</v>
      </c>
      <c r="I68" s="334">
        <v>100</v>
      </c>
      <c r="J68" s="334">
        <v>100</v>
      </c>
      <c r="K68" s="334"/>
      <c r="L68" s="334"/>
      <c r="M68" s="97" t="s">
        <v>7</v>
      </c>
      <c r="N68" s="214"/>
      <c r="O68" s="100"/>
      <c r="Q68" s="272">
        <v>1</v>
      </c>
      <c r="R68" s="272">
        <v>2</v>
      </c>
      <c r="S68" s="311">
        <v>1.1000000000000001</v>
      </c>
      <c r="T68" s="272"/>
      <c r="Y68" s="325" t="s">
        <v>220</v>
      </c>
      <c r="Z68" s="81">
        <f>Z65*(1+Z66*(Z67-20))</f>
        <v>1.9206249999999998</v>
      </c>
      <c r="AA68" s="325" t="s">
        <v>216</v>
      </c>
    </row>
    <row r="69" spans="2:27" ht="17.399999999999999" x14ac:dyDescent="0.4">
      <c r="B69" s="97" t="s">
        <v>136</v>
      </c>
      <c r="C69" s="334">
        <f t="shared" ref="C69" si="87">C19</f>
        <v>30</v>
      </c>
      <c r="D69" s="334"/>
      <c r="E69" s="334">
        <f t="shared" ref="E69" si="88">E19</f>
        <v>30</v>
      </c>
      <c r="F69" s="334"/>
      <c r="G69" s="334">
        <f t="shared" ref="G69:J69" si="89">G19</f>
        <v>30</v>
      </c>
      <c r="H69" s="334">
        <f t="shared" si="89"/>
        <v>30</v>
      </c>
      <c r="I69" s="334">
        <f t="shared" si="89"/>
        <v>30</v>
      </c>
      <c r="J69" s="334">
        <f t="shared" si="89"/>
        <v>30</v>
      </c>
      <c r="K69" s="334"/>
      <c r="L69" s="334"/>
      <c r="M69" s="97" t="s">
        <v>81</v>
      </c>
      <c r="N69" s="214"/>
      <c r="O69" s="97"/>
      <c r="Q69" s="272">
        <v>1.2</v>
      </c>
      <c r="R69" s="272"/>
      <c r="S69" s="272">
        <v>1.04</v>
      </c>
      <c r="T69" s="272"/>
      <c r="Y69" s="325" t="s">
        <v>221</v>
      </c>
      <c r="Z69" s="83">
        <f>1/(Z68/100000000)</f>
        <v>52066384.64041654</v>
      </c>
      <c r="AA69" s="325" t="s">
        <v>222</v>
      </c>
    </row>
    <row r="70" spans="2:27" ht="17.399999999999999" x14ac:dyDescent="0.4">
      <c r="B70" s="97" t="s">
        <v>137</v>
      </c>
      <c r="C70" s="334">
        <f t="shared" ref="C70" si="90">ROUNDUP((C65*C66*((C68*180/100-C69)/180))/2,0)</f>
        <v>267</v>
      </c>
      <c r="D70" s="334"/>
      <c r="E70" s="334">
        <f t="shared" ref="E70" si="91">ROUNDUP((E65*E66*((E68*180/100-E69)/180))/2,0)</f>
        <v>267</v>
      </c>
      <c r="F70" s="334"/>
      <c r="G70" s="334">
        <f t="shared" ref="G70:J70" si="92">ROUNDUP((G65*G66*((G68*180/100-G69)/180))/2,0)</f>
        <v>363</v>
      </c>
      <c r="H70" s="334">
        <f t="shared" si="92"/>
        <v>398</v>
      </c>
      <c r="I70" s="334">
        <f t="shared" si="92"/>
        <v>459</v>
      </c>
      <c r="J70" s="334">
        <f t="shared" si="92"/>
        <v>514</v>
      </c>
      <c r="K70" s="334"/>
      <c r="L70" s="334"/>
      <c r="M70" s="97" t="s">
        <v>6</v>
      </c>
      <c r="N70" s="214"/>
      <c r="O70" s="97"/>
      <c r="Q70" s="272">
        <v>2</v>
      </c>
      <c r="R70" s="272">
        <v>1.1200000000000001</v>
      </c>
      <c r="S70" s="272">
        <v>0.75</v>
      </c>
      <c r="T70" s="272"/>
      <c r="Y70" s="325" t="s">
        <v>223</v>
      </c>
      <c r="Z70" s="68">
        <v>1</v>
      </c>
      <c r="AA70" s="325" t="s">
        <v>224</v>
      </c>
    </row>
    <row r="71" spans="2:27" ht="17.399999999999999" x14ac:dyDescent="0.4">
      <c r="B71" s="97" t="s">
        <v>138</v>
      </c>
      <c r="C71" s="334">
        <f t="shared" ref="C71" si="93">ROUNDUP((C65*C67*(1-(C68*180/100-C69)/180))/2,0)</f>
        <v>27</v>
      </c>
      <c r="D71" s="334"/>
      <c r="E71" s="334">
        <f t="shared" ref="E71" si="94">ROUNDUP((E65*E67*(1-(E68*180/100-E69)/180))/2,0)</f>
        <v>27</v>
      </c>
      <c r="F71" s="334"/>
      <c r="G71" s="334">
        <f t="shared" ref="G71:J71" si="95">ROUNDUP((G65*G67*(1-(G68*180/100-G69)/180))/2,0)</f>
        <v>37</v>
      </c>
      <c r="H71" s="334">
        <f t="shared" si="95"/>
        <v>40</v>
      </c>
      <c r="I71" s="334">
        <f t="shared" si="95"/>
        <v>46</v>
      </c>
      <c r="J71" s="334">
        <f t="shared" si="95"/>
        <v>52</v>
      </c>
      <c r="K71" s="334"/>
      <c r="L71" s="334"/>
      <c r="M71" s="97" t="s">
        <v>6</v>
      </c>
      <c r="N71" s="214"/>
      <c r="O71" s="97"/>
      <c r="Q71" s="272">
        <v>3</v>
      </c>
      <c r="R71" s="272">
        <v>0.71</v>
      </c>
      <c r="S71" s="272">
        <v>0.57999999999999996</v>
      </c>
      <c r="T71" s="272"/>
      <c r="Y71" s="325" t="s">
        <v>257</v>
      </c>
      <c r="Z71" s="326">
        <v>6126</v>
      </c>
      <c r="AA71" s="325" t="s">
        <v>227</v>
      </c>
    </row>
    <row r="72" spans="2:27" ht="17.399999999999999" x14ac:dyDescent="0.4">
      <c r="B72" s="97" t="s">
        <v>71</v>
      </c>
      <c r="C72" s="337">
        <f t="shared" ref="C72" si="96">ROUNDUP(((C65*C66*(((C68*180/100-C69)/180))+(C65*C67*(1-(C68*180/100-C69)/180))))/2,0)</f>
        <v>293</v>
      </c>
      <c r="D72" s="337"/>
      <c r="E72" s="337">
        <f t="shared" ref="E72" si="97">ROUNDUP(((E65*E66*(((E68*180/100-E69)/180))+(E65*E67*(1-(E68*180/100-E69)/180))))/2,0)</f>
        <v>294</v>
      </c>
      <c r="F72" s="337"/>
      <c r="G72" s="337">
        <f t="shared" ref="G72:J72" si="98">ROUNDUP(((G65*G66*(((G68*180/100-G69)/180))+(G65*G67*(1-(G68*180/100-G69)/180))))/2,0)</f>
        <v>400</v>
      </c>
      <c r="H72" s="337">
        <f t="shared" si="98"/>
        <v>438</v>
      </c>
      <c r="I72" s="337">
        <f t="shared" si="98"/>
        <v>505</v>
      </c>
      <c r="J72" s="337">
        <f t="shared" si="98"/>
        <v>565</v>
      </c>
      <c r="K72" s="337"/>
      <c r="L72" s="337"/>
      <c r="M72" s="97" t="s">
        <v>6</v>
      </c>
      <c r="N72" s="214"/>
      <c r="O72" s="97"/>
      <c r="Q72" s="272">
        <v>5</v>
      </c>
      <c r="R72" s="272">
        <v>0.43</v>
      </c>
      <c r="S72" s="272">
        <v>0.36</v>
      </c>
      <c r="T72" s="272"/>
      <c r="Y72" s="325" t="s">
        <v>283</v>
      </c>
      <c r="Z72" s="326">
        <v>2</v>
      </c>
      <c r="AA72" s="325" t="s">
        <v>227</v>
      </c>
    </row>
    <row r="73" spans="2:27" ht="17.399999999999999" x14ac:dyDescent="0.4">
      <c r="B73" s="97" t="s">
        <v>351</v>
      </c>
      <c r="C73" s="334">
        <f t="shared" ref="C73" si="99">C64+C70</f>
        <v>1657.2447633835668</v>
      </c>
      <c r="D73" s="334"/>
      <c r="E73" s="334">
        <f t="shared" ref="E73" si="100">E64+E70</f>
        <v>1599.3822848068855</v>
      </c>
      <c r="F73" s="334"/>
      <c r="G73" s="334">
        <f t="shared" ref="G73:J73" si="101">G64+G70</f>
        <v>1708.3892408482707</v>
      </c>
      <c r="H73" s="334">
        <f t="shared" si="101"/>
        <v>1730.5089132326193</v>
      </c>
      <c r="I73" s="334">
        <f t="shared" si="101"/>
        <v>1775.5736629987211</v>
      </c>
      <c r="J73" s="334">
        <f t="shared" si="101"/>
        <v>1821.1007064845385</v>
      </c>
      <c r="K73" s="334"/>
      <c r="L73" s="334"/>
      <c r="M73" s="97" t="s">
        <v>6</v>
      </c>
      <c r="N73" s="214"/>
      <c r="O73" s="97"/>
      <c r="Q73" s="272">
        <v>6</v>
      </c>
      <c r="R73" s="272"/>
      <c r="S73" s="272">
        <v>0.34</v>
      </c>
      <c r="T73" s="272">
        <v>0.62</v>
      </c>
      <c r="Y73" s="325" t="s">
        <v>279</v>
      </c>
      <c r="Z73" s="326">
        <v>60</v>
      </c>
      <c r="AA73" s="325" t="s">
        <v>227</v>
      </c>
    </row>
    <row r="74" spans="2:27" ht="17.399999999999999" x14ac:dyDescent="0.4">
      <c r="B74" s="97" t="s">
        <v>352</v>
      </c>
      <c r="C74" s="334">
        <f t="shared" ref="C74" si="102">C71+C62</f>
        <v>27</v>
      </c>
      <c r="D74" s="334"/>
      <c r="E74" s="334">
        <f t="shared" ref="E74" si="103">E71+E62</f>
        <v>27</v>
      </c>
      <c r="F74" s="334"/>
      <c r="G74" s="334">
        <f t="shared" ref="G74:J74" si="104">G71+G62</f>
        <v>37</v>
      </c>
      <c r="H74" s="334">
        <f t="shared" si="104"/>
        <v>40</v>
      </c>
      <c r="I74" s="334">
        <f t="shared" si="104"/>
        <v>46</v>
      </c>
      <c r="J74" s="334">
        <f t="shared" si="104"/>
        <v>52</v>
      </c>
      <c r="K74" s="334"/>
      <c r="L74" s="334"/>
      <c r="M74" s="97" t="s">
        <v>6</v>
      </c>
      <c r="N74" s="214"/>
      <c r="O74" s="97"/>
      <c r="Q74" s="272">
        <v>8</v>
      </c>
      <c r="R74" s="272">
        <v>0.3</v>
      </c>
      <c r="S74" s="272">
        <v>0.25</v>
      </c>
      <c r="T74" s="272"/>
      <c r="Y74" s="325" t="s">
        <v>278</v>
      </c>
      <c r="Z74" s="92">
        <f>Z72*Z73</f>
        <v>120</v>
      </c>
      <c r="AA74" s="325" t="s">
        <v>253</v>
      </c>
    </row>
    <row r="75" spans="2:27" ht="17.399999999999999" x14ac:dyDescent="0.4">
      <c r="B75" s="97" t="s">
        <v>359</v>
      </c>
      <c r="C75" s="337">
        <f t="shared" ref="C75" si="105">ROUNDUP((C55+C64+C72),0)</f>
        <v>1706</v>
      </c>
      <c r="D75" s="337"/>
      <c r="E75" s="337">
        <f t="shared" ref="E75" si="106">ROUNDUP((E55+E64+E72),0)</f>
        <v>1648</v>
      </c>
      <c r="F75" s="337"/>
      <c r="G75" s="337">
        <f t="shared" ref="G75:J75" si="107">ROUNDUP((G55+G64+G72),0)</f>
        <v>1767</v>
      </c>
      <c r="H75" s="337">
        <f t="shared" si="107"/>
        <v>1792</v>
      </c>
      <c r="I75" s="337">
        <f t="shared" si="107"/>
        <v>1843</v>
      </c>
      <c r="J75" s="337">
        <f t="shared" si="107"/>
        <v>1894</v>
      </c>
      <c r="K75" s="337"/>
      <c r="L75" s="337"/>
      <c r="M75" s="97" t="s">
        <v>6</v>
      </c>
      <c r="N75" s="214"/>
      <c r="O75" s="97"/>
      <c r="Q75" s="272">
        <v>10</v>
      </c>
      <c r="R75" s="272"/>
      <c r="S75" s="272"/>
      <c r="T75" s="272">
        <v>0.45</v>
      </c>
      <c r="Y75" s="325" t="s">
        <v>258</v>
      </c>
      <c r="Z75" s="326">
        <v>850</v>
      </c>
      <c r="AA75" s="69" t="s">
        <v>254</v>
      </c>
    </row>
    <row r="76" spans="2:27" ht="17.399999999999999" x14ac:dyDescent="0.4">
      <c r="B76" s="97" t="s">
        <v>139</v>
      </c>
      <c r="C76" s="333">
        <v>2</v>
      </c>
      <c r="D76" s="333"/>
      <c r="E76" s="333">
        <v>2</v>
      </c>
      <c r="F76" s="333"/>
      <c r="G76" s="333">
        <v>2</v>
      </c>
      <c r="H76" s="333">
        <v>2</v>
      </c>
      <c r="I76" s="333">
        <v>2</v>
      </c>
      <c r="J76" s="333">
        <v>2</v>
      </c>
      <c r="K76" s="333"/>
      <c r="L76" s="333"/>
      <c r="M76" s="97"/>
      <c r="N76" s="214">
        <v>13</v>
      </c>
      <c r="O76" s="100" t="s">
        <v>358</v>
      </c>
      <c r="Q76" s="272">
        <v>15</v>
      </c>
      <c r="R76" s="272"/>
      <c r="S76" s="272"/>
      <c r="T76" s="272">
        <v>0.4</v>
      </c>
      <c r="Y76" s="325" t="s">
        <v>649</v>
      </c>
      <c r="Z76" s="93">
        <f>Z75/Z74</f>
        <v>7.083333333333333</v>
      </c>
      <c r="AA76" s="69" t="s">
        <v>254</v>
      </c>
    </row>
    <row r="77" spans="2:27" ht="17.399999999999999" x14ac:dyDescent="0.4">
      <c r="B77" s="97" t="s">
        <v>72</v>
      </c>
      <c r="C77" s="338">
        <f t="shared" ref="C77" si="108">C75*C76</f>
        <v>3412</v>
      </c>
      <c r="D77" s="338"/>
      <c r="E77" s="338">
        <f t="shared" ref="E77" si="109">E75*E76</f>
        <v>3296</v>
      </c>
      <c r="F77" s="338"/>
      <c r="G77" s="338">
        <f t="shared" ref="G77:J77" si="110">G75*G76</f>
        <v>3534</v>
      </c>
      <c r="H77" s="338">
        <f t="shared" si="110"/>
        <v>3584</v>
      </c>
      <c r="I77" s="338">
        <f t="shared" si="110"/>
        <v>3686</v>
      </c>
      <c r="J77" s="338">
        <f t="shared" si="110"/>
        <v>3788</v>
      </c>
      <c r="K77" s="338"/>
      <c r="L77" s="338"/>
      <c r="M77" s="97" t="s">
        <v>46</v>
      </c>
      <c r="N77" s="214"/>
      <c r="O77" s="97"/>
      <c r="Q77" s="272">
        <v>20</v>
      </c>
      <c r="R77" s="272"/>
      <c r="S77" s="272"/>
      <c r="T77" s="272">
        <v>0.35</v>
      </c>
      <c r="Y77" s="325" t="s">
        <v>259</v>
      </c>
      <c r="Z77" s="93">
        <f>Z68/100000000*(Z75^2)/(Z74/1000000)*Z71/1000</f>
        <v>708.39612265624987</v>
      </c>
      <c r="AA77" s="69" t="s">
        <v>255</v>
      </c>
    </row>
    <row r="78" spans="2:27" ht="17.399999999999999" x14ac:dyDescent="0.4">
      <c r="B78" s="97" t="s">
        <v>43</v>
      </c>
      <c r="C78" s="339">
        <v>1950</v>
      </c>
      <c r="D78" s="339"/>
      <c r="E78" s="339">
        <v>1950</v>
      </c>
      <c r="F78" s="339"/>
      <c r="G78" s="339">
        <v>1950</v>
      </c>
      <c r="H78" s="339">
        <v>1950</v>
      </c>
      <c r="I78" s="339">
        <v>1950</v>
      </c>
      <c r="J78" s="339">
        <v>1950</v>
      </c>
      <c r="K78" s="339"/>
      <c r="L78" s="339"/>
      <c r="M78" s="97" t="s">
        <v>6</v>
      </c>
      <c r="N78" s="214">
        <v>14</v>
      </c>
      <c r="O78" s="100" t="s">
        <v>119</v>
      </c>
      <c r="Q78" s="272">
        <v>30</v>
      </c>
      <c r="R78" s="272"/>
      <c r="S78" s="272"/>
      <c r="T78" s="272">
        <v>0.28939999999999999</v>
      </c>
    </row>
    <row r="79" spans="2:27" ht="17.399999999999999" x14ac:dyDescent="0.4">
      <c r="B79" s="97" t="s">
        <v>356</v>
      </c>
      <c r="C79" s="338">
        <f t="shared" ref="C79" si="111">ROUNDUP(C77/C78*100,0)</f>
        <v>175</v>
      </c>
      <c r="D79" s="338"/>
      <c r="E79" s="338">
        <f t="shared" ref="E79" si="112">ROUNDUP(E77/E78*100,0)</f>
        <v>170</v>
      </c>
      <c r="F79" s="338"/>
      <c r="G79" s="338">
        <f t="shared" ref="G79:J79" si="113">ROUNDUP(G77/G78*100,0)</f>
        <v>182</v>
      </c>
      <c r="H79" s="338">
        <f t="shared" si="113"/>
        <v>184</v>
      </c>
      <c r="I79" s="338">
        <f t="shared" si="113"/>
        <v>190</v>
      </c>
      <c r="J79" s="338">
        <f t="shared" si="113"/>
        <v>195</v>
      </c>
      <c r="K79" s="338"/>
      <c r="L79" s="338"/>
      <c r="M79" s="97" t="s">
        <v>7</v>
      </c>
      <c r="N79" s="214"/>
      <c r="O79" s="100" t="s">
        <v>357</v>
      </c>
      <c r="Q79" s="272">
        <v>50</v>
      </c>
      <c r="R79" s="272"/>
      <c r="S79" s="272"/>
      <c r="T79" s="272">
        <v>0.224</v>
      </c>
    </row>
    <row r="80" spans="2:27" ht="17.399999999999999" x14ac:dyDescent="0.4">
      <c r="B80" s="97" t="s">
        <v>140</v>
      </c>
      <c r="C80" s="340">
        <v>6.4000000000000001E-2</v>
      </c>
      <c r="D80" s="340"/>
      <c r="E80" s="340">
        <v>6.4000000000000001E-2</v>
      </c>
      <c r="F80" s="340"/>
      <c r="G80" s="340">
        <v>6.4000000000000001E-2</v>
      </c>
      <c r="H80" s="340">
        <v>6.4000000000000001E-2</v>
      </c>
      <c r="I80" s="340">
        <v>6.4000000000000001E-2</v>
      </c>
      <c r="J80" s="340">
        <v>6.4000000000000001E-2</v>
      </c>
      <c r="K80" s="340"/>
      <c r="L80" s="340"/>
      <c r="M80" s="97" t="s">
        <v>60</v>
      </c>
      <c r="N80" s="214">
        <v>15</v>
      </c>
      <c r="O80" s="218" t="s">
        <v>119</v>
      </c>
      <c r="Q80" s="272">
        <v>100</v>
      </c>
      <c r="R80" s="272"/>
      <c r="S80" s="272"/>
      <c r="T80" s="272">
        <v>0.161</v>
      </c>
    </row>
    <row r="81" spans="2:23" ht="17.399999999999999" x14ac:dyDescent="0.4">
      <c r="B81" s="97" t="s">
        <v>291</v>
      </c>
      <c r="C81" s="340">
        <v>0.1</v>
      </c>
      <c r="D81" s="340"/>
      <c r="E81" s="340">
        <v>0.1</v>
      </c>
      <c r="F81" s="340"/>
      <c r="G81" s="340">
        <v>0.1</v>
      </c>
      <c r="H81" s="340">
        <v>0.1</v>
      </c>
      <c r="I81" s="340">
        <v>0.1</v>
      </c>
      <c r="J81" s="340">
        <v>0.1</v>
      </c>
      <c r="K81" s="340"/>
      <c r="L81" s="340"/>
      <c r="M81" s="97" t="s">
        <v>60</v>
      </c>
      <c r="N81" s="214">
        <v>16</v>
      </c>
      <c r="O81" s="218" t="s">
        <v>119</v>
      </c>
      <c r="Q81" s="272">
        <v>200</v>
      </c>
      <c r="R81" s="272"/>
      <c r="S81" s="272"/>
      <c r="T81" s="272">
        <v>7.7600000000000002E-2</v>
      </c>
    </row>
    <row r="82" spans="2:23" ht="17.399999999999999" x14ac:dyDescent="0.4">
      <c r="B82" s="97" t="s">
        <v>141</v>
      </c>
      <c r="C82" s="341">
        <f t="shared" ref="C82:C83" si="114">125-C80*C73</f>
        <v>18.936335143451728</v>
      </c>
      <c r="D82" s="341"/>
      <c r="E82" s="341">
        <f t="shared" ref="E82:E83" si="115">125-E80*E73</f>
        <v>22.639533772359329</v>
      </c>
      <c r="F82" s="341"/>
      <c r="G82" s="341">
        <f t="shared" ref="G82:J83" si="116">125-G80*G73</f>
        <v>15.663088585710668</v>
      </c>
      <c r="H82" s="341">
        <f t="shared" si="116"/>
        <v>14.247429553112369</v>
      </c>
      <c r="I82" s="341">
        <f t="shared" si="116"/>
        <v>11.363285568081849</v>
      </c>
      <c r="J82" s="341">
        <f t="shared" si="116"/>
        <v>8.4495547849895303</v>
      </c>
      <c r="K82" s="341"/>
      <c r="L82" s="341"/>
      <c r="M82" s="102" t="s">
        <v>61</v>
      </c>
      <c r="N82" s="214"/>
      <c r="O82" s="100" t="s">
        <v>142</v>
      </c>
      <c r="Q82" s="272">
        <v>300</v>
      </c>
      <c r="R82" s="272"/>
      <c r="S82" s="272"/>
      <c r="T82" s="272">
        <v>5.2400000000000002E-2</v>
      </c>
    </row>
    <row r="83" spans="2:23" ht="17.399999999999999" x14ac:dyDescent="0.4">
      <c r="B83" s="97" t="s">
        <v>143</v>
      </c>
      <c r="C83" s="332">
        <f t="shared" si="114"/>
        <v>122.3</v>
      </c>
      <c r="D83" s="332"/>
      <c r="E83" s="332">
        <f t="shared" si="115"/>
        <v>122.3</v>
      </c>
      <c r="F83" s="332"/>
      <c r="G83" s="332">
        <f t="shared" si="116"/>
        <v>121.3</v>
      </c>
      <c r="H83" s="332">
        <f t="shared" si="116"/>
        <v>121</v>
      </c>
      <c r="I83" s="332">
        <f t="shared" si="116"/>
        <v>120.4</v>
      </c>
      <c r="J83" s="332">
        <f t="shared" si="116"/>
        <v>119.8</v>
      </c>
      <c r="K83" s="332"/>
      <c r="L83" s="332"/>
      <c r="M83" s="102" t="s">
        <v>61</v>
      </c>
      <c r="N83" s="214"/>
      <c r="O83" s="97"/>
    </row>
    <row r="84" spans="2:23" ht="17.399999999999999" x14ac:dyDescent="0.4">
      <c r="B84" s="97" t="s">
        <v>144</v>
      </c>
      <c r="C84" s="332">
        <f t="shared" ref="C84:C85" si="117">C80*C73</f>
        <v>106.06366485654827</v>
      </c>
      <c r="D84" s="332"/>
      <c r="E84" s="332">
        <f t="shared" ref="E84:E85" si="118">E80*E73</f>
        <v>102.36046622764067</v>
      </c>
      <c r="F84" s="332"/>
      <c r="G84" s="332">
        <f t="shared" ref="G84:J85" si="119">G80*G73</f>
        <v>109.33691141428933</v>
      </c>
      <c r="H84" s="332">
        <f t="shared" si="119"/>
        <v>110.75257044688763</v>
      </c>
      <c r="I84" s="332">
        <f t="shared" si="119"/>
        <v>113.63671443191815</v>
      </c>
      <c r="J84" s="332">
        <f t="shared" si="119"/>
        <v>116.55044521501047</v>
      </c>
      <c r="K84" s="332"/>
      <c r="L84" s="332"/>
      <c r="M84" s="102" t="s">
        <v>61</v>
      </c>
      <c r="N84" s="214"/>
      <c r="O84" s="97"/>
      <c r="Q84" s="433" t="s">
        <v>630</v>
      </c>
      <c r="R84" s="433"/>
      <c r="S84" s="433"/>
      <c r="U84" s="433" t="s">
        <v>678</v>
      </c>
      <c r="V84" s="433"/>
      <c r="W84" s="433"/>
    </row>
    <row r="85" spans="2:23" ht="17.399999999999999" x14ac:dyDescent="0.4">
      <c r="B85" s="97" t="s">
        <v>145</v>
      </c>
      <c r="C85" s="332">
        <f t="shared" si="117"/>
        <v>2.7</v>
      </c>
      <c r="D85" s="332"/>
      <c r="E85" s="332">
        <f t="shared" si="118"/>
        <v>2.7</v>
      </c>
      <c r="F85" s="332"/>
      <c r="G85" s="332">
        <f t="shared" si="119"/>
        <v>3.7</v>
      </c>
      <c r="H85" s="332">
        <f t="shared" si="119"/>
        <v>4</v>
      </c>
      <c r="I85" s="332">
        <f t="shared" si="119"/>
        <v>4.6000000000000005</v>
      </c>
      <c r="J85" s="332">
        <f t="shared" si="119"/>
        <v>5.2</v>
      </c>
      <c r="K85" s="332"/>
      <c r="L85" s="332"/>
      <c r="M85" s="102" t="s">
        <v>61</v>
      </c>
      <c r="N85" s="214"/>
      <c r="O85" s="97"/>
      <c r="Q85" s="275" t="s">
        <v>629</v>
      </c>
      <c r="R85" s="275" t="s">
        <v>635</v>
      </c>
      <c r="S85" s="275"/>
      <c r="U85" s="275" t="s">
        <v>679</v>
      </c>
      <c r="V85" s="275" t="s">
        <v>680</v>
      </c>
      <c r="W85" s="275" t="s">
        <v>681</v>
      </c>
    </row>
    <row r="86" spans="2:23" ht="17.399999999999999" x14ac:dyDescent="0.4">
      <c r="B86" s="97" t="s">
        <v>146</v>
      </c>
      <c r="C86" s="340">
        <v>0.03</v>
      </c>
      <c r="D86" s="340"/>
      <c r="E86" s="340">
        <v>0.03</v>
      </c>
      <c r="F86" s="340"/>
      <c r="G86" s="340">
        <v>0.03</v>
      </c>
      <c r="H86" s="340">
        <v>0.03</v>
      </c>
      <c r="I86" s="340">
        <v>0.03</v>
      </c>
      <c r="J86" s="340">
        <v>0.03</v>
      </c>
      <c r="K86" s="340"/>
      <c r="L86" s="340"/>
      <c r="M86" s="97" t="s">
        <v>60</v>
      </c>
      <c r="N86" s="214">
        <v>17</v>
      </c>
      <c r="O86" s="97" t="s">
        <v>119</v>
      </c>
      <c r="Q86" s="327" t="s">
        <v>627</v>
      </c>
      <c r="R86" s="327">
        <v>183</v>
      </c>
      <c r="S86" s="327" t="s">
        <v>50</v>
      </c>
      <c r="U86" s="260" t="s">
        <v>682</v>
      </c>
      <c r="V86" s="260" t="s">
        <v>683</v>
      </c>
      <c r="W86" s="312" t="s">
        <v>684</v>
      </c>
    </row>
    <row r="87" spans="2:23" ht="17.399999999999999" x14ac:dyDescent="0.4">
      <c r="B87" s="97" t="s">
        <v>147</v>
      </c>
      <c r="C87" s="340">
        <v>0.06</v>
      </c>
      <c r="D87" s="340"/>
      <c r="E87" s="340">
        <v>0.06</v>
      </c>
      <c r="F87" s="340"/>
      <c r="G87" s="340">
        <v>0.06</v>
      </c>
      <c r="H87" s="340">
        <v>0.06</v>
      </c>
      <c r="I87" s="340">
        <v>0.06</v>
      </c>
      <c r="J87" s="340">
        <v>0.06</v>
      </c>
      <c r="K87" s="340"/>
      <c r="L87" s="340"/>
      <c r="M87" s="97" t="s">
        <v>60</v>
      </c>
      <c r="N87" s="214">
        <v>18</v>
      </c>
      <c r="O87" s="97" t="s">
        <v>119</v>
      </c>
      <c r="Q87" s="327" t="s">
        <v>628</v>
      </c>
      <c r="R87" s="327">
        <v>75</v>
      </c>
      <c r="S87" s="327" t="s">
        <v>50</v>
      </c>
      <c r="U87" s="260" t="s">
        <v>685</v>
      </c>
      <c r="V87" s="260" t="s">
        <v>686</v>
      </c>
      <c r="W87" s="312" t="s">
        <v>687</v>
      </c>
    </row>
    <row r="88" spans="2:23" ht="17.399999999999999" x14ac:dyDescent="0.4">
      <c r="B88" s="97" t="s">
        <v>148</v>
      </c>
      <c r="C88" s="342">
        <f t="shared" ref="C88:C89" si="120">C82-C86*C73</f>
        <v>-30.781007758055274</v>
      </c>
      <c r="D88" s="342"/>
      <c r="E88" s="342">
        <f t="shared" ref="E88:E89" si="121">E82-E86*E73</f>
        <v>-25.341934771847235</v>
      </c>
      <c r="F88" s="342"/>
      <c r="G88" s="342">
        <f t="shared" ref="G88:J89" si="122">G82-G86*G73</f>
        <v>-35.588588639737452</v>
      </c>
      <c r="H88" s="342">
        <f t="shared" si="122"/>
        <v>-37.667837843866209</v>
      </c>
      <c r="I88" s="342">
        <f t="shared" si="122"/>
        <v>-41.903924321879785</v>
      </c>
      <c r="J88" s="342">
        <f t="shared" si="122"/>
        <v>-46.183466409546625</v>
      </c>
      <c r="K88" s="342"/>
      <c r="L88" s="342"/>
      <c r="M88" s="102" t="s">
        <v>61</v>
      </c>
      <c r="N88" s="214"/>
      <c r="O88" s="97" t="s">
        <v>142</v>
      </c>
      <c r="Q88" s="327" t="s">
        <v>631</v>
      </c>
      <c r="R88" s="327">
        <v>9</v>
      </c>
      <c r="S88" s="327" t="s">
        <v>50</v>
      </c>
      <c r="U88" s="260" t="s">
        <v>688</v>
      </c>
      <c r="V88" s="260" t="s">
        <v>689</v>
      </c>
      <c r="W88" s="312" t="s">
        <v>690</v>
      </c>
    </row>
    <row r="89" spans="2:23" ht="17.399999999999999" x14ac:dyDescent="0.4">
      <c r="B89" s="97" t="s">
        <v>149</v>
      </c>
      <c r="C89" s="332">
        <f t="shared" si="120"/>
        <v>120.67999999999999</v>
      </c>
      <c r="D89" s="332"/>
      <c r="E89" s="332">
        <f t="shared" si="121"/>
        <v>120.67999999999999</v>
      </c>
      <c r="F89" s="332"/>
      <c r="G89" s="332">
        <f t="shared" si="122"/>
        <v>119.08</v>
      </c>
      <c r="H89" s="332">
        <f t="shared" si="122"/>
        <v>118.6</v>
      </c>
      <c r="I89" s="332">
        <f t="shared" si="122"/>
        <v>117.64</v>
      </c>
      <c r="J89" s="332">
        <f t="shared" si="122"/>
        <v>116.67999999999999</v>
      </c>
      <c r="K89" s="332"/>
      <c r="L89" s="332"/>
      <c r="M89" s="102" t="s">
        <v>61</v>
      </c>
      <c r="N89" s="214"/>
      <c r="O89" s="97"/>
      <c r="Q89" s="327" t="s">
        <v>632</v>
      </c>
      <c r="R89" s="327">
        <v>6</v>
      </c>
      <c r="S89" s="327" t="s">
        <v>50</v>
      </c>
      <c r="U89" s="260" t="s">
        <v>691</v>
      </c>
      <c r="V89" s="260" t="s">
        <v>692</v>
      </c>
      <c r="W89" s="312" t="s">
        <v>693</v>
      </c>
    </row>
    <row r="90" spans="2:23" ht="17.399999999999999" x14ac:dyDescent="0.4">
      <c r="B90" s="97" t="s">
        <v>150</v>
      </c>
      <c r="C90" s="332">
        <f t="shared" ref="C90:C91" si="123">C86*C73</f>
        <v>49.717342901507003</v>
      </c>
      <c r="D90" s="332"/>
      <c r="E90" s="332">
        <f t="shared" ref="E90:E91" si="124">E86*E73</f>
        <v>47.981468544206564</v>
      </c>
      <c r="F90" s="332"/>
      <c r="G90" s="332">
        <f t="shared" ref="G90:J91" si="125">G86*G73</f>
        <v>51.25167722544812</v>
      </c>
      <c r="H90" s="332">
        <f t="shared" si="125"/>
        <v>51.915267396978578</v>
      </c>
      <c r="I90" s="332">
        <f t="shared" si="125"/>
        <v>53.267209889961634</v>
      </c>
      <c r="J90" s="332">
        <f t="shared" si="125"/>
        <v>54.633021194536155</v>
      </c>
      <c r="K90" s="332"/>
      <c r="L90" s="332"/>
      <c r="M90" s="102" t="s">
        <v>61</v>
      </c>
      <c r="N90" s="214"/>
      <c r="O90" s="97"/>
      <c r="Q90" s="327" t="s">
        <v>633</v>
      </c>
      <c r="R90" s="327">
        <v>12</v>
      </c>
      <c r="S90" s="327" t="s">
        <v>50</v>
      </c>
      <c r="U90" s="260" t="s">
        <v>694</v>
      </c>
      <c r="V90" s="260" t="s">
        <v>695</v>
      </c>
      <c r="W90" s="312" t="s">
        <v>696</v>
      </c>
    </row>
    <row r="91" spans="2:23" ht="17.399999999999999" x14ac:dyDescent="0.4">
      <c r="B91" s="97" t="s">
        <v>151</v>
      </c>
      <c r="C91" s="332">
        <f t="shared" si="123"/>
        <v>1.6199999999999999</v>
      </c>
      <c r="D91" s="332"/>
      <c r="E91" s="332">
        <f t="shared" si="124"/>
        <v>1.6199999999999999</v>
      </c>
      <c r="F91" s="332"/>
      <c r="G91" s="332">
        <f t="shared" si="125"/>
        <v>2.2199999999999998</v>
      </c>
      <c r="H91" s="332">
        <f t="shared" si="125"/>
        <v>2.4</v>
      </c>
      <c r="I91" s="332">
        <f t="shared" si="125"/>
        <v>2.76</v>
      </c>
      <c r="J91" s="332">
        <f t="shared" si="125"/>
        <v>3.12</v>
      </c>
      <c r="K91" s="332"/>
      <c r="L91" s="332"/>
      <c r="M91" s="102" t="s">
        <v>61</v>
      </c>
      <c r="N91" s="214"/>
      <c r="O91" s="97"/>
      <c r="Q91" s="327" t="s">
        <v>634</v>
      </c>
      <c r="R91" s="327">
        <v>78.540000000000006</v>
      </c>
      <c r="S91" s="327" t="s">
        <v>50</v>
      </c>
      <c r="U91" s="260" t="s">
        <v>697</v>
      </c>
      <c r="V91" s="260" t="s">
        <v>698</v>
      </c>
      <c r="W91" s="312" t="s">
        <v>699</v>
      </c>
    </row>
    <row r="92" spans="2:23" ht="17.399999999999999" x14ac:dyDescent="0.4">
      <c r="B92" s="97" t="s">
        <v>62</v>
      </c>
      <c r="C92" s="332">
        <v>60</v>
      </c>
      <c r="D92" s="332"/>
      <c r="E92" s="332">
        <v>60</v>
      </c>
      <c r="F92" s="332"/>
      <c r="G92" s="332">
        <v>60</v>
      </c>
      <c r="H92" s="332">
        <v>60</v>
      </c>
      <c r="I92" s="332">
        <v>60</v>
      </c>
      <c r="J92" s="332">
        <v>60</v>
      </c>
      <c r="K92" s="332"/>
      <c r="L92" s="332"/>
      <c r="M92" s="102" t="s">
        <v>61</v>
      </c>
      <c r="N92" s="214"/>
      <c r="O92" s="97" t="s">
        <v>152</v>
      </c>
    </row>
    <row r="93" spans="2:23" ht="17.399999999999999" x14ac:dyDescent="0.4">
      <c r="B93" s="97" t="s">
        <v>63</v>
      </c>
      <c r="C93" s="343">
        <v>8</v>
      </c>
      <c r="D93" s="343"/>
      <c r="E93" s="343">
        <v>8</v>
      </c>
      <c r="F93" s="343"/>
      <c r="G93" s="343">
        <v>8</v>
      </c>
      <c r="H93" s="343">
        <v>8</v>
      </c>
      <c r="I93" s="343">
        <v>8</v>
      </c>
      <c r="J93" s="343">
        <v>8</v>
      </c>
      <c r="K93" s="343"/>
      <c r="L93" s="343"/>
      <c r="M93" s="102" t="s">
        <v>64</v>
      </c>
      <c r="N93" s="214"/>
      <c r="O93" s="97" t="s">
        <v>153</v>
      </c>
    </row>
    <row r="94" spans="2:23" ht="17.399999999999999" x14ac:dyDescent="0.4">
      <c r="B94" s="97" t="s">
        <v>65</v>
      </c>
      <c r="C94" s="344">
        <f t="shared" ref="C94" si="126">C92-(C77/1000*860/C93/60)</f>
        <v>53.886833333333335</v>
      </c>
      <c r="D94" s="344"/>
      <c r="E94" s="344">
        <f t="shared" ref="E94" si="127">E92-(E77/1000*860/E93/60)</f>
        <v>54.094666666666669</v>
      </c>
      <c r="F94" s="344"/>
      <c r="G94" s="344">
        <f t="shared" ref="G94:J94" si="128">G92-(G77/1000*860/G93/60)</f>
        <v>53.66825</v>
      </c>
      <c r="H94" s="344">
        <f t="shared" si="128"/>
        <v>53.578666666666663</v>
      </c>
      <c r="I94" s="344">
        <f t="shared" si="128"/>
        <v>53.395916666666665</v>
      </c>
      <c r="J94" s="344">
        <f t="shared" si="128"/>
        <v>53.213166666666666</v>
      </c>
      <c r="K94" s="344"/>
      <c r="L94" s="344"/>
      <c r="M94" s="102" t="s">
        <v>61</v>
      </c>
      <c r="N94" s="214"/>
      <c r="O94" s="97"/>
    </row>
  </sheetData>
  <mergeCells count="26">
    <mergeCell ref="Q31:S31"/>
    <mergeCell ref="Q3:S3"/>
    <mergeCell ref="U3:W3"/>
    <mergeCell ref="Y3:AA3"/>
    <mergeCell ref="AC3:AE3"/>
    <mergeCell ref="U10:W10"/>
    <mergeCell ref="AC10:AE10"/>
    <mergeCell ref="U17:W17"/>
    <mergeCell ref="Q18:S18"/>
    <mergeCell ref="AC21:AE21"/>
    <mergeCell ref="U23:W23"/>
    <mergeCell ref="Y24:AA24"/>
    <mergeCell ref="Y63:AA63"/>
    <mergeCell ref="V34:W34"/>
    <mergeCell ref="AC34:AE34"/>
    <mergeCell ref="AC40:AE40"/>
    <mergeCell ref="Q42:S42"/>
    <mergeCell ref="Y43:AA43"/>
    <mergeCell ref="AC45:AE45"/>
    <mergeCell ref="Q84:S84"/>
    <mergeCell ref="U84:W84"/>
    <mergeCell ref="U46:W46"/>
    <mergeCell ref="Q51:S51"/>
    <mergeCell ref="U52:W52"/>
    <mergeCell ref="Q57:S57"/>
    <mergeCell ref="Q63:S63"/>
  </mergeCells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4"/>
  <sheetViews>
    <sheetView zoomScale="70" zoomScaleNormal="70" workbookViewId="0">
      <selection activeCell="H35" sqref="H35:H36"/>
    </sheetView>
  </sheetViews>
  <sheetFormatPr defaultColWidth="8.8984375" defaultRowHeight="14.4" x14ac:dyDescent="0.25"/>
  <cols>
    <col min="1" max="1" width="8.8984375" style="2"/>
    <col min="2" max="2" width="40.796875" style="2" customWidth="1"/>
    <col min="3" max="7" width="14.19921875" style="2" customWidth="1"/>
    <col min="8" max="20" width="14.19921875" style="322" customWidth="1"/>
    <col min="21" max="21" width="6.296875" style="2" customWidth="1"/>
    <col min="22" max="22" width="8.19921875" style="2" bestFit="1" customWidth="1"/>
    <col min="23" max="23" width="67.296875" style="2" customWidth="1"/>
    <col min="24" max="24" width="4" style="2" customWidth="1"/>
    <col min="25" max="25" width="19.09765625" style="2" customWidth="1"/>
    <col min="26" max="27" width="12.796875" style="2" bestFit="1" customWidth="1"/>
    <col min="28" max="28" width="24.8984375" style="2" customWidth="1"/>
    <col min="29" max="29" width="20.8984375" style="2" bestFit="1" customWidth="1"/>
    <col min="30" max="30" width="10.09765625" style="2" bestFit="1" customWidth="1"/>
    <col min="31" max="31" width="8.8984375" style="2"/>
    <col min="32" max="32" width="4.3984375" style="2" customWidth="1"/>
    <col min="33" max="33" width="17.59765625" style="2" bestFit="1" customWidth="1"/>
    <col min="34" max="34" width="8.8984375" style="2"/>
    <col min="35" max="35" width="10.796875" style="2" bestFit="1" customWidth="1"/>
    <col min="36" max="36" width="4.59765625" style="2" customWidth="1"/>
    <col min="37" max="37" width="30.69921875" style="2" customWidth="1"/>
    <col min="38" max="38" width="13" style="2" bestFit="1" customWidth="1"/>
    <col min="39" max="39" width="7" style="2" customWidth="1"/>
    <col min="40" max="40" width="8.8984375" style="2"/>
    <col min="41" max="41" width="28" style="2" bestFit="1" customWidth="1"/>
    <col min="42" max="42" width="15" style="2" bestFit="1" customWidth="1"/>
    <col min="43" max="43" width="4.09765625" style="2" bestFit="1" customWidth="1"/>
    <col min="44" max="44" width="16.796875" style="2" customWidth="1"/>
    <col min="45" max="45" width="14.8984375" style="2" bestFit="1" customWidth="1"/>
    <col min="46" max="16384" width="8.8984375" style="2"/>
  </cols>
  <sheetData>
    <row r="1" spans="2:45" ht="35.4" customHeight="1" x14ac:dyDescent="0.25">
      <c r="B1" s="233" t="s">
        <v>365</v>
      </c>
      <c r="C1" s="434" t="s">
        <v>731</v>
      </c>
      <c r="D1" s="435"/>
      <c r="E1" s="435"/>
      <c r="F1" s="435"/>
      <c r="G1" s="435"/>
      <c r="I1" s="434" t="s">
        <v>732</v>
      </c>
      <c r="J1" s="435"/>
      <c r="K1" s="435"/>
      <c r="L1" s="435"/>
      <c r="M1" s="435"/>
      <c r="O1" s="434" t="s">
        <v>733</v>
      </c>
      <c r="P1" s="435"/>
      <c r="Q1" s="435"/>
      <c r="R1" s="435"/>
      <c r="S1" s="435"/>
    </row>
    <row r="2" spans="2:45" ht="28.8" x14ac:dyDescent="0.25">
      <c r="B2" s="211" t="s">
        <v>242</v>
      </c>
      <c r="C2" s="347" t="s">
        <v>725</v>
      </c>
      <c r="D2" s="348" t="s">
        <v>721</v>
      </c>
      <c r="E2" s="348" t="s">
        <v>722</v>
      </c>
      <c r="F2" s="348" t="s">
        <v>723</v>
      </c>
      <c r="G2" s="348" t="s">
        <v>724</v>
      </c>
      <c r="H2" s="348"/>
      <c r="I2" s="348" t="s">
        <v>725</v>
      </c>
      <c r="J2" s="348" t="s">
        <v>721</v>
      </c>
      <c r="K2" s="348" t="s">
        <v>722</v>
      </c>
      <c r="L2" s="348" t="s">
        <v>723</v>
      </c>
      <c r="M2" s="348" t="s">
        <v>724</v>
      </c>
      <c r="N2" s="348"/>
      <c r="O2" s="348" t="s">
        <v>725</v>
      </c>
      <c r="P2" s="348" t="s">
        <v>721</v>
      </c>
      <c r="Q2" s="348" t="s">
        <v>722</v>
      </c>
      <c r="R2" s="348" t="s">
        <v>723</v>
      </c>
      <c r="S2" s="348" t="s">
        <v>724</v>
      </c>
      <c r="T2" s="348"/>
      <c r="U2" s="212"/>
      <c r="V2" s="212" t="s">
        <v>348</v>
      </c>
      <c r="W2" s="212" t="s">
        <v>247</v>
      </c>
    </row>
    <row r="3" spans="2:45" ht="17.399999999999999" x14ac:dyDescent="0.25">
      <c r="B3" s="213" t="s">
        <v>18</v>
      </c>
      <c r="C3" s="222">
        <v>208</v>
      </c>
      <c r="D3" s="222">
        <v>71</v>
      </c>
      <c r="E3" s="222">
        <v>148</v>
      </c>
      <c r="F3" s="222">
        <v>90</v>
      </c>
      <c r="G3" s="222">
        <v>250</v>
      </c>
      <c r="H3" s="328"/>
      <c r="I3" s="328">
        <v>208</v>
      </c>
      <c r="J3" s="328">
        <v>71</v>
      </c>
      <c r="K3" s="328">
        <v>148</v>
      </c>
      <c r="L3" s="328">
        <v>90</v>
      </c>
      <c r="M3" s="328">
        <v>250</v>
      </c>
      <c r="N3" s="328"/>
      <c r="O3" s="328">
        <v>400</v>
      </c>
      <c r="P3" s="328">
        <v>400</v>
      </c>
      <c r="Q3" s="328">
        <v>400</v>
      </c>
      <c r="R3" s="328">
        <v>400</v>
      </c>
      <c r="S3" s="328">
        <v>400</v>
      </c>
      <c r="T3" s="328"/>
      <c r="U3" s="213" t="s">
        <v>1</v>
      </c>
      <c r="V3" s="214">
        <v>1</v>
      </c>
      <c r="W3" s="215" t="s">
        <v>245</v>
      </c>
      <c r="Y3" s="430" t="s">
        <v>284</v>
      </c>
      <c r="Z3" s="430"/>
      <c r="AA3" s="430"/>
      <c r="AB3" s="78"/>
      <c r="AC3" s="431" t="s">
        <v>243</v>
      </c>
      <c r="AD3" s="431"/>
      <c r="AE3" s="431"/>
      <c r="AF3" s="78"/>
      <c r="AG3" s="431" t="s">
        <v>646</v>
      </c>
      <c r="AH3" s="431"/>
      <c r="AI3" s="431"/>
      <c r="AJ3" s="78"/>
      <c r="AK3" s="430" t="s">
        <v>264</v>
      </c>
      <c r="AL3" s="430"/>
      <c r="AM3" s="430"/>
      <c r="AN3" s="79"/>
      <c r="AO3" s="430" t="s">
        <v>739</v>
      </c>
      <c r="AP3" s="430"/>
      <c r="AQ3" s="430"/>
    </row>
    <row r="4" spans="2:45" ht="17.399999999999999" x14ac:dyDescent="0.25">
      <c r="B4" s="213" t="s">
        <v>668</v>
      </c>
      <c r="C4" s="222">
        <v>380</v>
      </c>
      <c r="D4" s="222">
        <v>380</v>
      </c>
      <c r="E4" s="222">
        <v>380</v>
      </c>
      <c r="F4" s="222">
        <v>380</v>
      </c>
      <c r="G4" s="222">
        <v>380</v>
      </c>
      <c r="H4" s="328"/>
      <c r="I4" s="328">
        <v>380</v>
      </c>
      <c r="J4" s="328">
        <v>380</v>
      </c>
      <c r="K4" s="328">
        <v>380</v>
      </c>
      <c r="L4" s="328">
        <v>380</v>
      </c>
      <c r="M4" s="328">
        <v>380</v>
      </c>
      <c r="N4" s="328"/>
      <c r="O4" s="328">
        <v>380</v>
      </c>
      <c r="P4" s="328">
        <v>380</v>
      </c>
      <c r="Q4" s="328">
        <v>380</v>
      </c>
      <c r="R4" s="328">
        <v>380</v>
      </c>
      <c r="S4" s="328">
        <v>380</v>
      </c>
      <c r="T4" s="328"/>
      <c r="U4" s="213" t="s">
        <v>0</v>
      </c>
      <c r="V4" s="214">
        <v>2</v>
      </c>
      <c r="W4" s="215" t="s">
        <v>246</v>
      </c>
      <c r="Y4" s="70" t="s">
        <v>10</v>
      </c>
      <c r="Z4" s="72">
        <v>3</v>
      </c>
      <c r="AA4" s="70" t="s">
        <v>11</v>
      </c>
      <c r="AB4" s="78"/>
      <c r="AC4" s="70" t="s">
        <v>20</v>
      </c>
      <c r="AD4" s="72">
        <v>600</v>
      </c>
      <c r="AE4" s="70" t="s">
        <v>0</v>
      </c>
      <c r="AF4" s="78"/>
      <c r="AG4" s="70" t="s">
        <v>213</v>
      </c>
      <c r="AH4" s="68" t="s">
        <v>214</v>
      </c>
      <c r="AI4" s="68"/>
      <c r="AJ4" s="78"/>
      <c r="AK4" s="71" t="s">
        <v>108</v>
      </c>
      <c r="AL4" s="72">
        <v>160</v>
      </c>
      <c r="AM4" s="71" t="s">
        <v>15</v>
      </c>
      <c r="AN4" s="79"/>
      <c r="AO4" s="351" t="s">
        <v>728</v>
      </c>
      <c r="AP4" s="352">
        <v>44</v>
      </c>
      <c r="AQ4" s="71" t="s">
        <v>15</v>
      </c>
      <c r="AR4" s="3" t="s">
        <v>736</v>
      </c>
      <c r="AS4" s="3" t="s">
        <v>737</v>
      </c>
    </row>
    <row r="5" spans="2:45" ht="17.399999999999999" x14ac:dyDescent="0.25">
      <c r="B5" s="213" t="s">
        <v>75</v>
      </c>
      <c r="C5" s="276">
        <v>0.9</v>
      </c>
      <c r="D5" s="276">
        <v>0.9</v>
      </c>
      <c r="E5" s="276">
        <v>0.9</v>
      </c>
      <c r="F5" s="276">
        <v>0.9</v>
      </c>
      <c r="G5" s="276">
        <v>0.9</v>
      </c>
      <c r="H5" s="329"/>
      <c r="I5" s="329">
        <v>0.9</v>
      </c>
      <c r="J5" s="329">
        <v>0.9</v>
      </c>
      <c r="K5" s="329">
        <v>0.9</v>
      </c>
      <c r="L5" s="329">
        <v>0.9</v>
      </c>
      <c r="M5" s="329">
        <v>0.9</v>
      </c>
      <c r="N5" s="329"/>
      <c r="O5" s="329">
        <v>0.9</v>
      </c>
      <c r="P5" s="329">
        <v>0.9</v>
      </c>
      <c r="Q5" s="329">
        <v>0.9</v>
      </c>
      <c r="R5" s="329">
        <v>0.9</v>
      </c>
      <c r="S5" s="329">
        <v>0.9</v>
      </c>
      <c r="T5" s="329"/>
      <c r="U5" s="213"/>
      <c r="V5" s="214"/>
      <c r="W5" s="213" t="s">
        <v>636</v>
      </c>
      <c r="Y5" s="70" t="s">
        <v>12</v>
      </c>
      <c r="Z5" s="72">
        <v>36</v>
      </c>
      <c r="AA5" s="70" t="s">
        <v>13</v>
      </c>
      <c r="AB5" s="78"/>
      <c r="AC5" s="70" t="s">
        <v>624</v>
      </c>
      <c r="AD5" s="72">
        <v>0.66</v>
      </c>
      <c r="AE5" s="70" t="s">
        <v>19</v>
      </c>
      <c r="AF5" s="78"/>
      <c r="AG5" s="77" t="s">
        <v>215</v>
      </c>
      <c r="AH5" s="80">
        <v>1.75</v>
      </c>
      <c r="AI5" s="77" t="s">
        <v>216</v>
      </c>
      <c r="AJ5" s="78"/>
      <c r="AK5" s="71" t="s">
        <v>109</v>
      </c>
      <c r="AL5" s="72">
        <v>7200</v>
      </c>
      <c r="AM5" s="71" t="s">
        <v>2</v>
      </c>
      <c r="AN5" s="79"/>
      <c r="AO5" s="351" t="s">
        <v>729</v>
      </c>
      <c r="AP5" s="352">
        <v>750</v>
      </c>
      <c r="AQ5" s="351" t="s">
        <v>2</v>
      </c>
    </row>
    <row r="6" spans="2:45" ht="17.399999999999999" x14ac:dyDescent="0.25">
      <c r="B6" s="213" t="s">
        <v>66</v>
      </c>
      <c r="C6" s="224">
        <f t="shared" ref="C6:F6" si="0">ROUND(C3*1000/(C4*0.9)/1.732/C5,1)</f>
        <v>390.2</v>
      </c>
      <c r="D6" s="224">
        <f t="shared" si="0"/>
        <v>133.19999999999999</v>
      </c>
      <c r="E6" s="224">
        <f t="shared" si="0"/>
        <v>277.60000000000002</v>
      </c>
      <c r="F6" s="224">
        <f t="shared" si="0"/>
        <v>168.8</v>
      </c>
      <c r="G6" s="224">
        <f t="shared" ref="G6" si="1">ROUND(G3*1000/(G4*0.9)/1.732/G5,1)</f>
        <v>468.9</v>
      </c>
      <c r="H6" s="224"/>
      <c r="I6" s="224">
        <f t="shared" ref="I6:M6" si="2">ROUND(I3*1000/(I4*0.9)/1.732/I5,1)</f>
        <v>390.2</v>
      </c>
      <c r="J6" s="224">
        <f t="shared" si="2"/>
        <v>133.19999999999999</v>
      </c>
      <c r="K6" s="224">
        <f t="shared" si="2"/>
        <v>277.60000000000002</v>
      </c>
      <c r="L6" s="224">
        <f t="shared" si="2"/>
        <v>168.8</v>
      </c>
      <c r="M6" s="224">
        <f t="shared" si="2"/>
        <v>468.9</v>
      </c>
      <c r="N6" s="224"/>
      <c r="O6" s="224">
        <f t="shared" ref="O6:S6" si="3">ROUND(O3*1000/(O4*0.9)/1.732/O5,1)</f>
        <v>750.3</v>
      </c>
      <c r="P6" s="224">
        <f t="shared" si="3"/>
        <v>750.3</v>
      </c>
      <c r="Q6" s="224">
        <f t="shared" si="3"/>
        <v>750.3</v>
      </c>
      <c r="R6" s="224">
        <f t="shared" si="3"/>
        <v>750.3</v>
      </c>
      <c r="S6" s="224">
        <f t="shared" si="3"/>
        <v>750.3</v>
      </c>
      <c r="T6" s="224"/>
      <c r="U6" s="213" t="s">
        <v>2</v>
      </c>
      <c r="V6" s="214"/>
      <c r="W6" s="213" t="s">
        <v>345</v>
      </c>
      <c r="Y6" s="70" t="s">
        <v>14</v>
      </c>
      <c r="Z6" s="72">
        <v>30</v>
      </c>
      <c r="AA6" s="70" t="s">
        <v>13</v>
      </c>
      <c r="AB6" s="78"/>
      <c r="AC6" s="70" t="s">
        <v>21</v>
      </c>
      <c r="AD6" s="72">
        <v>48</v>
      </c>
      <c r="AE6" s="70" t="s">
        <v>22</v>
      </c>
      <c r="AF6" s="78"/>
      <c r="AG6" s="77" t="s">
        <v>217</v>
      </c>
      <c r="AH6" s="81">
        <v>3.8999999999999998E-3</v>
      </c>
      <c r="AI6" s="77" t="s">
        <v>218</v>
      </c>
      <c r="AJ6" s="78"/>
      <c r="AK6" s="71" t="s">
        <v>110</v>
      </c>
      <c r="AL6" s="72">
        <v>12800</v>
      </c>
      <c r="AM6" s="71" t="s">
        <v>27</v>
      </c>
      <c r="AN6" s="79"/>
      <c r="AO6" s="71" t="s">
        <v>108</v>
      </c>
      <c r="AP6" s="324">
        <v>1</v>
      </c>
      <c r="AQ6" s="71" t="s">
        <v>15</v>
      </c>
      <c r="AR6" s="3" t="s">
        <v>738</v>
      </c>
    </row>
    <row r="7" spans="2:45" ht="17.399999999999999" x14ac:dyDescent="0.25">
      <c r="B7" s="213" t="s">
        <v>53</v>
      </c>
      <c r="C7" s="223">
        <v>2</v>
      </c>
      <c r="D7" s="223">
        <v>2</v>
      </c>
      <c r="E7" s="223">
        <v>2</v>
      </c>
      <c r="F7" s="223">
        <v>2</v>
      </c>
      <c r="G7" s="223">
        <v>2</v>
      </c>
      <c r="H7" s="223"/>
      <c r="I7" s="223">
        <v>2</v>
      </c>
      <c r="J7" s="223">
        <v>2</v>
      </c>
      <c r="K7" s="223">
        <v>2</v>
      </c>
      <c r="L7" s="223">
        <v>2</v>
      </c>
      <c r="M7" s="223">
        <v>2</v>
      </c>
      <c r="N7" s="223"/>
      <c r="O7" s="223">
        <v>2</v>
      </c>
      <c r="P7" s="223">
        <v>2</v>
      </c>
      <c r="Q7" s="223">
        <v>2</v>
      </c>
      <c r="R7" s="223">
        <v>2</v>
      </c>
      <c r="S7" s="223">
        <v>2</v>
      </c>
      <c r="T7" s="223"/>
      <c r="U7" s="213" t="s">
        <v>76</v>
      </c>
      <c r="V7" s="214"/>
      <c r="W7" s="213"/>
      <c r="Y7" s="70" t="s">
        <v>99</v>
      </c>
      <c r="Z7" s="73">
        <f>(Z5*Z4)*(Z5*Z4)/(101.6*(4.5*Z5+10*Z6))</f>
        <v>0.24849166581450047</v>
      </c>
      <c r="AA7" s="70" t="s">
        <v>15</v>
      </c>
      <c r="AB7" s="78"/>
      <c r="AC7" s="70" t="s">
        <v>23</v>
      </c>
      <c r="AD7" s="72">
        <v>200000</v>
      </c>
      <c r="AE7" s="70" t="s">
        <v>24</v>
      </c>
      <c r="AF7" s="78"/>
      <c r="AG7" s="77" t="s">
        <v>219</v>
      </c>
      <c r="AH7" s="82">
        <v>45</v>
      </c>
      <c r="AI7" s="77" t="s">
        <v>48</v>
      </c>
      <c r="AJ7" s="78"/>
      <c r="AK7" s="71" t="s">
        <v>288</v>
      </c>
      <c r="AL7" s="72">
        <v>645</v>
      </c>
      <c r="AM7" s="71" t="s">
        <v>0</v>
      </c>
      <c r="AN7" s="79"/>
      <c r="AO7" s="71" t="s">
        <v>109</v>
      </c>
      <c r="AP7" s="324">
        <v>1800</v>
      </c>
      <c r="AQ7" s="71" t="s">
        <v>2</v>
      </c>
    </row>
    <row r="8" spans="2:45" ht="17.399999999999999" x14ac:dyDescent="0.25">
      <c r="B8" s="213" t="s">
        <v>67</v>
      </c>
      <c r="C8" s="223">
        <f t="shared" ref="C8:F8" si="4">ROUND(C6/C7,0)</f>
        <v>195</v>
      </c>
      <c r="D8" s="223">
        <f t="shared" si="4"/>
        <v>67</v>
      </c>
      <c r="E8" s="223">
        <f t="shared" si="4"/>
        <v>139</v>
      </c>
      <c r="F8" s="223">
        <f t="shared" si="4"/>
        <v>84</v>
      </c>
      <c r="G8" s="223">
        <f t="shared" ref="G8" si="5">ROUND(G6/G7,0)</f>
        <v>234</v>
      </c>
      <c r="H8" s="223"/>
      <c r="I8" s="223">
        <f t="shared" ref="I8:M8" si="6">ROUND(I6/I7,0)</f>
        <v>195</v>
      </c>
      <c r="J8" s="223">
        <f t="shared" si="6"/>
        <v>67</v>
      </c>
      <c r="K8" s="223">
        <f t="shared" si="6"/>
        <v>139</v>
      </c>
      <c r="L8" s="223">
        <f t="shared" si="6"/>
        <v>84</v>
      </c>
      <c r="M8" s="223">
        <f t="shared" si="6"/>
        <v>234</v>
      </c>
      <c r="N8" s="223"/>
      <c r="O8" s="223">
        <f t="shared" ref="O8:S8" si="7">ROUND(O6/O7,0)</f>
        <v>375</v>
      </c>
      <c r="P8" s="223">
        <f t="shared" si="7"/>
        <v>375</v>
      </c>
      <c r="Q8" s="223">
        <f t="shared" si="7"/>
        <v>375</v>
      </c>
      <c r="R8" s="223">
        <f t="shared" si="7"/>
        <v>375</v>
      </c>
      <c r="S8" s="223">
        <f t="shared" si="7"/>
        <v>375</v>
      </c>
      <c r="T8" s="223"/>
      <c r="U8" s="213" t="s">
        <v>3</v>
      </c>
      <c r="V8" s="214"/>
      <c r="W8" s="213"/>
      <c r="Y8" s="70" t="s">
        <v>100</v>
      </c>
      <c r="Z8" s="72">
        <v>60</v>
      </c>
      <c r="AA8" s="70" t="s">
        <v>7</v>
      </c>
      <c r="AB8" s="78"/>
      <c r="AC8" s="70" t="s">
        <v>25</v>
      </c>
      <c r="AD8" s="90">
        <f>(5000*AD4)/(AD5*AD6*AD7)</f>
        <v>0.47348484848484851</v>
      </c>
      <c r="AE8" s="70" t="s">
        <v>244</v>
      </c>
      <c r="AF8" s="78"/>
      <c r="AG8" s="77" t="s">
        <v>220</v>
      </c>
      <c r="AH8" s="81">
        <f>AH5*(1+AH6*(AH7-20))</f>
        <v>1.9206249999999998</v>
      </c>
      <c r="AI8" s="77" t="s">
        <v>216</v>
      </c>
      <c r="AJ8" s="78"/>
      <c r="AK8" s="71" t="s">
        <v>287</v>
      </c>
      <c r="AL8" s="90">
        <f>SQRT(AL7^2+AL4*AL5^2/AL6)</f>
        <v>1031.5158748172516</v>
      </c>
      <c r="AM8" s="71" t="s">
        <v>0</v>
      </c>
      <c r="AN8" s="79"/>
      <c r="AO8" s="71" t="s">
        <v>110</v>
      </c>
      <c r="AP8" s="324">
        <v>1236</v>
      </c>
      <c r="AQ8" s="71" t="s">
        <v>27</v>
      </c>
    </row>
    <row r="9" spans="2:45" ht="17.399999999999999" x14ac:dyDescent="0.25">
      <c r="B9" s="213"/>
      <c r="C9" s="213"/>
      <c r="D9" s="213"/>
      <c r="E9" s="213"/>
      <c r="F9" s="213"/>
      <c r="G9" s="213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327"/>
      <c r="S9" s="327"/>
      <c r="T9" s="327"/>
      <c r="U9" s="213"/>
      <c r="V9" s="214"/>
      <c r="W9" s="213"/>
      <c r="Y9" s="70" t="s">
        <v>97</v>
      </c>
      <c r="Z9" s="73">
        <f>Z7*Z8/100</f>
        <v>0.14909499948870028</v>
      </c>
      <c r="AA9" s="70" t="s">
        <v>15</v>
      </c>
      <c r="AB9" s="78"/>
      <c r="AC9" s="78"/>
      <c r="AD9" s="78"/>
      <c r="AE9" s="78"/>
      <c r="AF9" s="78"/>
      <c r="AG9" s="77" t="s">
        <v>221</v>
      </c>
      <c r="AH9" s="83">
        <f>1/(AH8/100000000)</f>
        <v>52066384.64041654</v>
      </c>
      <c r="AI9" s="77" t="s">
        <v>222</v>
      </c>
      <c r="AJ9" s="78"/>
      <c r="AK9" s="78"/>
      <c r="AL9" s="78"/>
      <c r="AM9" s="78"/>
      <c r="AN9" s="79"/>
      <c r="AO9" s="71" t="s">
        <v>288</v>
      </c>
      <c r="AP9" s="324">
        <v>500</v>
      </c>
      <c r="AQ9" s="71" t="s">
        <v>0</v>
      </c>
    </row>
    <row r="10" spans="2:45" ht="17.399999999999999" x14ac:dyDescent="0.25">
      <c r="B10" s="213" t="s">
        <v>16</v>
      </c>
      <c r="C10" s="224">
        <f t="shared" ref="C10:F10" si="8">ROUND(C4*2^0.5*0.93,1)</f>
        <v>499.8</v>
      </c>
      <c r="D10" s="224">
        <f t="shared" si="8"/>
        <v>499.8</v>
      </c>
      <c r="E10" s="224">
        <f t="shared" si="8"/>
        <v>499.8</v>
      </c>
      <c r="F10" s="224">
        <f t="shared" si="8"/>
        <v>499.8</v>
      </c>
      <c r="G10" s="224">
        <f t="shared" ref="G10" si="9">ROUND(G4*2^0.5*0.93,1)</f>
        <v>499.8</v>
      </c>
      <c r="H10" s="224"/>
      <c r="I10" s="224">
        <f t="shared" ref="I10:M10" si="10">ROUND(I4*2^0.5*0.93,1)</f>
        <v>499.8</v>
      </c>
      <c r="J10" s="224">
        <f t="shared" si="10"/>
        <v>499.8</v>
      </c>
      <c r="K10" s="224">
        <f t="shared" si="10"/>
        <v>499.8</v>
      </c>
      <c r="L10" s="224">
        <f t="shared" si="10"/>
        <v>499.8</v>
      </c>
      <c r="M10" s="224">
        <f t="shared" si="10"/>
        <v>499.8</v>
      </c>
      <c r="N10" s="224"/>
      <c r="O10" s="224">
        <f t="shared" ref="O10:S10" si="11">ROUND(O4*2^0.5*0.93,1)</f>
        <v>499.8</v>
      </c>
      <c r="P10" s="224">
        <f t="shared" si="11"/>
        <v>499.8</v>
      </c>
      <c r="Q10" s="224">
        <f t="shared" si="11"/>
        <v>499.8</v>
      </c>
      <c r="R10" s="224">
        <f t="shared" si="11"/>
        <v>499.8</v>
      </c>
      <c r="S10" s="224">
        <f t="shared" si="11"/>
        <v>499.8</v>
      </c>
      <c r="T10" s="224"/>
      <c r="U10" s="213" t="s">
        <v>0</v>
      </c>
      <c r="V10" s="214"/>
      <c r="W10" s="213" t="s">
        <v>344</v>
      </c>
      <c r="Y10" s="71" t="s">
        <v>96</v>
      </c>
      <c r="Z10" s="72">
        <v>0.5</v>
      </c>
      <c r="AA10" s="70" t="s">
        <v>15</v>
      </c>
      <c r="AB10" s="78"/>
      <c r="AC10" s="431" t="s">
        <v>670</v>
      </c>
      <c r="AD10" s="431"/>
      <c r="AE10" s="431"/>
      <c r="AF10" s="78"/>
      <c r="AG10" s="77" t="s">
        <v>223</v>
      </c>
      <c r="AH10" s="68">
        <v>1</v>
      </c>
      <c r="AI10" s="77" t="s">
        <v>224</v>
      </c>
      <c r="AJ10" s="78"/>
      <c r="AK10" s="430" t="s">
        <v>275</v>
      </c>
      <c r="AL10" s="430"/>
      <c r="AM10" s="430"/>
      <c r="AN10" s="79"/>
      <c r="AO10" s="71" t="s">
        <v>287</v>
      </c>
      <c r="AP10" s="90">
        <f>SQRT(AP9^2+(AP4*AP5^2+AP6*AP7^2)/AP8)</f>
        <v>522.1547960786736</v>
      </c>
      <c r="AQ10" s="71" t="s">
        <v>0</v>
      </c>
    </row>
    <row r="11" spans="2:45" ht="17.399999999999999" x14ac:dyDescent="0.25">
      <c r="B11" s="213" t="s">
        <v>17</v>
      </c>
      <c r="C11" s="224">
        <f t="shared" ref="C11:F11" si="12">ROUND(C3*1000/C10,1)</f>
        <v>416.2</v>
      </c>
      <c r="D11" s="224">
        <f t="shared" si="12"/>
        <v>142.1</v>
      </c>
      <c r="E11" s="224">
        <f t="shared" si="12"/>
        <v>296.10000000000002</v>
      </c>
      <c r="F11" s="224">
        <f t="shared" si="12"/>
        <v>180.1</v>
      </c>
      <c r="G11" s="224">
        <f t="shared" ref="G11" si="13">ROUND(G3*1000/G10,1)</f>
        <v>500.2</v>
      </c>
      <c r="H11" s="224"/>
      <c r="I11" s="224">
        <f t="shared" ref="I11:M11" si="14">ROUND(I3*1000/I10,1)</f>
        <v>416.2</v>
      </c>
      <c r="J11" s="224">
        <f t="shared" si="14"/>
        <v>142.1</v>
      </c>
      <c r="K11" s="224">
        <f t="shared" si="14"/>
        <v>296.10000000000002</v>
      </c>
      <c r="L11" s="224">
        <f t="shared" si="14"/>
        <v>180.1</v>
      </c>
      <c r="M11" s="224">
        <f t="shared" si="14"/>
        <v>500.2</v>
      </c>
      <c r="N11" s="224"/>
      <c r="O11" s="224">
        <f t="shared" ref="O11:S11" si="15">ROUND(O3*1000/O10,1)</f>
        <v>800.3</v>
      </c>
      <c r="P11" s="224">
        <f t="shared" si="15"/>
        <v>800.3</v>
      </c>
      <c r="Q11" s="224">
        <f t="shared" si="15"/>
        <v>800.3</v>
      </c>
      <c r="R11" s="224">
        <f t="shared" si="15"/>
        <v>800.3</v>
      </c>
      <c r="S11" s="224">
        <f t="shared" si="15"/>
        <v>800.3</v>
      </c>
      <c r="T11" s="224"/>
      <c r="U11" s="213" t="s">
        <v>2</v>
      </c>
      <c r="V11" s="214"/>
      <c r="W11" s="213" t="s">
        <v>346</v>
      </c>
      <c r="Y11" s="71" t="s">
        <v>285</v>
      </c>
      <c r="Z11" s="72">
        <v>1</v>
      </c>
      <c r="AA11" s="70" t="s">
        <v>42</v>
      </c>
      <c r="AB11" s="78"/>
      <c r="AC11" s="70" t="s">
        <v>26</v>
      </c>
      <c r="AD11" s="72">
        <v>1.34</v>
      </c>
      <c r="AE11" s="70" t="s">
        <v>27</v>
      </c>
      <c r="AF11" s="78"/>
      <c r="AG11" s="77" t="s">
        <v>37</v>
      </c>
      <c r="AH11" s="84">
        <v>400000</v>
      </c>
      <c r="AI11" s="77" t="s">
        <v>225</v>
      </c>
      <c r="AJ11" s="78"/>
      <c r="AK11" s="70" t="s">
        <v>110</v>
      </c>
      <c r="AL11" s="72">
        <v>9284</v>
      </c>
      <c r="AM11" s="70" t="s">
        <v>27</v>
      </c>
      <c r="AN11" s="79"/>
    </row>
    <row r="12" spans="2:45" ht="17.399999999999999" x14ac:dyDescent="0.25">
      <c r="B12" s="213"/>
      <c r="C12" s="213"/>
      <c r="D12" s="213"/>
      <c r="E12" s="213"/>
      <c r="F12" s="213"/>
      <c r="G12" s="213"/>
      <c r="H12" s="327"/>
      <c r="I12" s="327"/>
      <c r="J12" s="327"/>
      <c r="K12" s="327"/>
      <c r="L12" s="327"/>
      <c r="M12" s="327"/>
      <c r="N12" s="327"/>
      <c r="O12" s="327"/>
      <c r="P12" s="327"/>
      <c r="Q12" s="327"/>
      <c r="R12" s="327"/>
      <c r="S12" s="327"/>
      <c r="T12" s="327"/>
      <c r="U12" s="213"/>
      <c r="V12" s="214"/>
      <c r="W12" s="213"/>
      <c r="Y12" s="71" t="s">
        <v>98</v>
      </c>
      <c r="Z12" s="72">
        <v>1</v>
      </c>
      <c r="AA12" s="70" t="s">
        <v>68</v>
      </c>
      <c r="AB12" s="78"/>
      <c r="AC12" s="70" t="s">
        <v>28</v>
      </c>
      <c r="AD12" s="72">
        <v>3</v>
      </c>
      <c r="AE12" s="70" t="s">
        <v>15</v>
      </c>
      <c r="AF12" s="78"/>
      <c r="AG12" s="77" t="s">
        <v>256</v>
      </c>
      <c r="AH12" s="96">
        <f>503.3*SQRT((AH8/100000000)/(AH10*AH11))*1000</f>
        <v>0.1102854510017357</v>
      </c>
      <c r="AI12" s="77" t="s">
        <v>227</v>
      </c>
      <c r="AJ12" s="78"/>
      <c r="AK12" s="70" t="s">
        <v>112</v>
      </c>
      <c r="AL12" s="72">
        <v>675</v>
      </c>
      <c r="AM12" s="70" t="s">
        <v>0</v>
      </c>
      <c r="AN12" s="79"/>
    </row>
    <row r="13" spans="2:45" ht="17.399999999999999" x14ac:dyDescent="0.25">
      <c r="B13" s="211" t="s">
        <v>241</v>
      </c>
      <c r="C13" s="213"/>
      <c r="D13" s="213"/>
      <c r="E13" s="213"/>
      <c r="F13" s="213"/>
      <c r="G13" s="213"/>
      <c r="H13" s="327"/>
      <c r="I13" s="327"/>
      <c r="J13" s="327"/>
      <c r="K13" s="327"/>
      <c r="L13" s="327"/>
      <c r="M13" s="327"/>
      <c r="N13" s="327"/>
      <c r="O13" s="327"/>
      <c r="P13" s="327"/>
      <c r="Q13" s="327"/>
      <c r="R13" s="327"/>
      <c r="S13" s="327"/>
      <c r="T13" s="327"/>
      <c r="U13" s="213"/>
      <c r="V13" s="214"/>
      <c r="W13" s="213"/>
      <c r="Y13" s="71" t="s">
        <v>101</v>
      </c>
      <c r="Z13" s="85">
        <v>1</v>
      </c>
      <c r="AA13" s="70" t="s">
        <v>69</v>
      </c>
      <c r="AB13" s="78"/>
      <c r="AC13" s="70" t="s">
        <v>29</v>
      </c>
      <c r="AD13" s="90">
        <f>1/(2*3.14*SQRT((AD11/1000000)*(AD12/1000000)))</f>
        <v>79419.533129588599</v>
      </c>
      <c r="AE13" s="70" t="s">
        <v>30</v>
      </c>
      <c r="AF13" s="78"/>
      <c r="AG13" s="77" t="s">
        <v>257</v>
      </c>
      <c r="AH13" s="91">
        <v>2000</v>
      </c>
      <c r="AI13" s="77" t="s">
        <v>227</v>
      </c>
      <c r="AJ13" s="78"/>
      <c r="AK13" s="70" t="s">
        <v>109</v>
      </c>
      <c r="AL13" s="72">
        <v>4300</v>
      </c>
      <c r="AM13" s="70" t="s">
        <v>2</v>
      </c>
      <c r="AN13" s="79"/>
    </row>
    <row r="14" spans="2:45" ht="17.399999999999999" x14ac:dyDescent="0.25">
      <c r="B14" s="213" t="s">
        <v>77</v>
      </c>
      <c r="C14" s="222">
        <f>C15+C16</f>
        <v>0.66</v>
      </c>
      <c r="D14" s="328">
        <f t="shared" ref="D14:G14" si="16">D15+D16</f>
        <v>0.68</v>
      </c>
      <c r="E14" s="328">
        <f t="shared" si="16"/>
        <v>0.56000000000000005</v>
      </c>
      <c r="F14" s="328">
        <f t="shared" si="16"/>
        <v>0.69</v>
      </c>
      <c r="G14" s="328">
        <f t="shared" si="16"/>
        <v>0.56000000000000005</v>
      </c>
      <c r="H14" s="328"/>
      <c r="I14" s="328">
        <f t="shared" ref="I14" si="17">I15+I16</f>
        <v>1.1600000000000001</v>
      </c>
      <c r="J14" s="328">
        <f t="shared" ref="J14" si="18">J15+J16</f>
        <v>1.1800000000000002</v>
      </c>
      <c r="K14" s="328">
        <f t="shared" ref="K14" si="19">K15+K16</f>
        <v>1.06</v>
      </c>
      <c r="L14" s="328">
        <f t="shared" ref="L14" si="20">L15+L16</f>
        <v>1.19</v>
      </c>
      <c r="M14" s="328">
        <f t="shared" ref="M14" si="21">M15+M16</f>
        <v>1.06</v>
      </c>
      <c r="N14" s="328"/>
      <c r="O14" s="328">
        <f t="shared" ref="O14" si="22">O15+O16</f>
        <v>1.1600000000000001</v>
      </c>
      <c r="P14" s="328">
        <f t="shared" ref="P14" si="23">P15+P16</f>
        <v>1.1800000000000002</v>
      </c>
      <c r="Q14" s="328">
        <f t="shared" ref="Q14" si="24">Q15+Q16</f>
        <v>1.06</v>
      </c>
      <c r="R14" s="328">
        <f t="shared" ref="R14" si="25">R15+R16</f>
        <v>1.19</v>
      </c>
      <c r="S14" s="328">
        <f t="shared" ref="S14" si="26">S15+S16</f>
        <v>1.06</v>
      </c>
      <c r="T14" s="328"/>
      <c r="U14" s="213" t="s">
        <v>15</v>
      </c>
      <c r="V14" s="214">
        <v>3</v>
      </c>
      <c r="W14" s="215" t="s">
        <v>342</v>
      </c>
      <c r="Y14" s="71" t="s">
        <v>286</v>
      </c>
      <c r="Z14" s="95">
        <f>Z9/Z12*Z13*Z11^2+Z10</f>
        <v>0.64909499948870031</v>
      </c>
      <c r="AA14" s="70" t="s">
        <v>15</v>
      </c>
      <c r="AB14" s="78"/>
      <c r="AC14" s="78"/>
      <c r="AD14" s="78"/>
      <c r="AE14" s="78"/>
      <c r="AF14" s="78"/>
      <c r="AG14" s="77" t="s">
        <v>283</v>
      </c>
      <c r="AH14" s="91">
        <v>2</v>
      </c>
      <c r="AI14" s="77" t="s">
        <v>227</v>
      </c>
      <c r="AJ14" s="78"/>
      <c r="AK14" s="70" t="s">
        <v>114</v>
      </c>
      <c r="AL14" s="72">
        <v>800</v>
      </c>
      <c r="AM14" s="70" t="s">
        <v>24</v>
      </c>
      <c r="AN14" s="79"/>
    </row>
    <row r="15" spans="2:45" s="322" customFormat="1" ht="17.399999999999999" x14ac:dyDescent="0.25">
      <c r="B15" s="327" t="s">
        <v>726</v>
      </c>
      <c r="C15" s="328">
        <v>0.66</v>
      </c>
      <c r="D15" s="328">
        <v>0.68</v>
      </c>
      <c r="E15" s="328">
        <v>0.56000000000000005</v>
      </c>
      <c r="F15" s="328">
        <v>0.69</v>
      </c>
      <c r="G15" s="328">
        <v>0.56000000000000005</v>
      </c>
      <c r="H15" s="328"/>
      <c r="I15" s="328">
        <v>0.66</v>
      </c>
      <c r="J15" s="328">
        <v>0.68</v>
      </c>
      <c r="K15" s="328">
        <v>0.56000000000000005</v>
      </c>
      <c r="L15" s="328">
        <v>0.69</v>
      </c>
      <c r="M15" s="328">
        <v>0.56000000000000005</v>
      </c>
      <c r="N15" s="328"/>
      <c r="O15" s="328">
        <v>0.66</v>
      </c>
      <c r="P15" s="328">
        <v>0.68</v>
      </c>
      <c r="Q15" s="328">
        <v>0.56000000000000005</v>
      </c>
      <c r="R15" s="328">
        <v>0.69</v>
      </c>
      <c r="S15" s="328">
        <v>0.56000000000000005</v>
      </c>
      <c r="T15" s="328"/>
      <c r="U15" s="327"/>
      <c r="V15" s="214"/>
      <c r="W15" s="345"/>
      <c r="Y15" s="320"/>
      <c r="Z15" s="319"/>
      <c r="AA15" s="346"/>
      <c r="AB15" s="321"/>
      <c r="AC15" s="321"/>
      <c r="AD15" s="321"/>
      <c r="AE15" s="321"/>
      <c r="AF15" s="321"/>
      <c r="AG15" s="325"/>
      <c r="AH15" s="326"/>
      <c r="AI15" s="325"/>
      <c r="AJ15" s="321"/>
      <c r="AK15" s="323"/>
      <c r="AL15" s="324"/>
      <c r="AM15" s="323"/>
      <c r="AN15" s="79"/>
    </row>
    <row r="16" spans="2:45" s="322" customFormat="1" ht="17.399999999999999" x14ac:dyDescent="0.25">
      <c r="B16" s="327" t="s">
        <v>727</v>
      </c>
      <c r="C16" s="328"/>
      <c r="D16" s="328"/>
      <c r="E16" s="328"/>
      <c r="F16" s="328"/>
      <c r="G16" s="328"/>
      <c r="H16" s="328"/>
      <c r="I16" s="328">
        <v>0.5</v>
      </c>
      <c r="J16" s="328">
        <v>0.5</v>
      </c>
      <c r="K16" s="328">
        <v>0.5</v>
      </c>
      <c r="L16" s="328">
        <v>0.5</v>
      </c>
      <c r="M16" s="328">
        <v>0.5</v>
      </c>
      <c r="N16" s="328"/>
      <c r="O16" s="328">
        <v>0.5</v>
      </c>
      <c r="P16" s="328">
        <v>0.5</v>
      </c>
      <c r="Q16" s="328">
        <v>0.5</v>
      </c>
      <c r="R16" s="328">
        <v>0.5</v>
      </c>
      <c r="S16" s="328">
        <v>0.5</v>
      </c>
      <c r="T16" s="328"/>
      <c r="U16" s="327"/>
      <c r="V16" s="214"/>
      <c r="W16" s="345"/>
      <c r="Y16" s="320"/>
      <c r="Z16" s="319"/>
      <c r="AA16" s="346"/>
      <c r="AB16" s="321"/>
      <c r="AC16" s="321"/>
      <c r="AD16" s="321"/>
      <c r="AE16" s="321"/>
      <c r="AF16" s="321"/>
      <c r="AG16" s="325"/>
      <c r="AH16" s="326"/>
      <c r="AI16" s="325"/>
      <c r="AJ16" s="321"/>
      <c r="AK16" s="323"/>
      <c r="AL16" s="324"/>
      <c r="AM16" s="323"/>
      <c r="AN16" s="79"/>
    </row>
    <row r="17" spans="2:40" ht="17.399999999999999" x14ac:dyDescent="0.25">
      <c r="B17" s="213" t="s">
        <v>78</v>
      </c>
      <c r="C17" s="313">
        <v>0.65</v>
      </c>
      <c r="D17" s="313">
        <v>0.63500000000000001</v>
      </c>
      <c r="E17" s="313">
        <v>0.69</v>
      </c>
      <c r="F17" s="313">
        <v>0.56000000000000005</v>
      </c>
      <c r="G17" s="313">
        <v>0.65</v>
      </c>
      <c r="H17" s="313"/>
      <c r="I17" s="313">
        <v>0.33</v>
      </c>
      <c r="J17" s="313">
        <v>0.33</v>
      </c>
      <c r="K17" s="313">
        <v>0.33</v>
      </c>
      <c r="L17" s="313">
        <v>0.33</v>
      </c>
      <c r="M17" s="313">
        <v>0.33</v>
      </c>
      <c r="N17" s="313"/>
      <c r="O17" s="313">
        <v>0.33</v>
      </c>
      <c r="P17" s="313">
        <v>0.33</v>
      </c>
      <c r="Q17" s="313">
        <v>0.33</v>
      </c>
      <c r="R17" s="313">
        <v>0.33</v>
      </c>
      <c r="S17" s="313">
        <v>0.33</v>
      </c>
      <c r="T17" s="313"/>
      <c r="U17" s="213" t="s">
        <v>27</v>
      </c>
      <c r="V17" s="214">
        <v>4</v>
      </c>
      <c r="W17" s="215" t="s">
        <v>347</v>
      </c>
      <c r="X17" s="3"/>
      <c r="Y17" s="78"/>
      <c r="Z17" s="78"/>
      <c r="AA17" s="78"/>
      <c r="AB17" s="78"/>
      <c r="AC17" s="431" t="s">
        <v>250</v>
      </c>
      <c r="AD17" s="431"/>
      <c r="AE17" s="431"/>
      <c r="AF17" s="78"/>
      <c r="AG17" s="77" t="s">
        <v>281</v>
      </c>
      <c r="AH17" s="92">
        <f>MIN(AH12,AH14)</f>
        <v>0.1102854510017357</v>
      </c>
      <c r="AI17" s="77" t="s">
        <v>227</v>
      </c>
      <c r="AJ17" s="78"/>
      <c r="AK17" s="70" t="s">
        <v>115</v>
      </c>
      <c r="AL17" s="73">
        <f>(1.414*AL13*0.421)/(2*3.14159*AL14*AL12*2*AL11*0.000001)*2*100</f>
        <v>8.1262759844751162</v>
      </c>
      <c r="AM17" s="70" t="s">
        <v>7</v>
      </c>
      <c r="AN17" s="79"/>
    </row>
    <row r="18" spans="2:40" ht="17.399999999999999" x14ac:dyDescent="0.25">
      <c r="B18" s="213" t="s">
        <v>79</v>
      </c>
      <c r="C18" s="225">
        <f>1000/(2*PI()*(C14*C17)^0.5)</f>
        <v>242.9917258108826</v>
      </c>
      <c r="D18" s="225">
        <f>1000/(2*PI()*(D14*D17)^0.5)</f>
        <v>242.20260654729913</v>
      </c>
      <c r="E18" s="225">
        <f>1000/(2*PI()*(E14*E17)^0.5)</f>
        <v>256.03631781816659</v>
      </c>
      <c r="F18" s="225">
        <f>1000/(2*PI()*(F14*F17)^0.5)</f>
        <v>256.03631781816659</v>
      </c>
      <c r="G18" s="225">
        <f>1000/(2*PI()*(G14*G17)^0.5)</f>
        <v>263.79674946647492</v>
      </c>
      <c r="H18" s="225"/>
      <c r="I18" s="225">
        <f>1000/(2*PI()*(I14*I17)^0.5)</f>
        <v>257.23743301685397</v>
      </c>
      <c r="J18" s="225">
        <f>1000/(2*PI()*(J14*J17)^0.5)</f>
        <v>255.0481384544529</v>
      </c>
      <c r="K18" s="225">
        <f>1000/(2*PI()*(K14*K17)^0.5)</f>
        <v>269.09785071731051</v>
      </c>
      <c r="L18" s="225">
        <f>1000/(2*PI()*(L14*L17)^0.5)</f>
        <v>253.97424678600402</v>
      </c>
      <c r="M18" s="225">
        <f>1000/(2*PI()*(M14*M17)^0.5)</f>
        <v>269.09785071731051</v>
      </c>
      <c r="N18" s="225"/>
      <c r="O18" s="225">
        <f>1000/(2*PI()*(O14*O17)^0.5)</f>
        <v>257.23743301685397</v>
      </c>
      <c r="P18" s="225">
        <f>1000/(2*PI()*(P14*P17)^0.5)</f>
        <v>255.0481384544529</v>
      </c>
      <c r="Q18" s="225">
        <f>1000/(2*PI()*(Q14*Q17)^0.5)</f>
        <v>269.09785071731051</v>
      </c>
      <c r="R18" s="225">
        <f>1000/(2*PI()*(R14*R17)^0.5)</f>
        <v>253.97424678600402</v>
      </c>
      <c r="S18" s="225">
        <f>1000/(2*PI()*(S14*S17)^0.5)</f>
        <v>269.09785071731051</v>
      </c>
      <c r="T18" s="225"/>
      <c r="U18" s="213" t="s">
        <v>4</v>
      </c>
      <c r="V18" s="214"/>
      <c r="W18" s="213" t="s">
        <v>249</v>
      </c>
      <c r="Y18" s="430" t="s">
        <v>228</v>
      </c>
      <c r="Z18" s="430"/>
      <c r="AA18" s="430"/>
      <c r="AB18" s="78"/>
      <c r="AC18" s="70" t="s">
        <v>31</v>
      </c>
      <c r="AD18" s="72">
        <v>1.34</v>
      </c>
      <c r="AE18" s="70" t="s">
        <v>32</v>
      </c>
      <c r="AF18" s="78"/>
      <c r="AG18" s="77" t="s">
        <v>279</v>
      </c>
      <c r="AH18" s="91">
        <v>200</v>
      </c>
      <c r="AI18" s="77" t="s">
        <v>227</v>
      </c>
      <c r="AJ18" s="78"/>
      <c r="AK18" s="70" t="s">
        <v>111</v>
      </c>
      <c r="AL18" s="90">
        <f>AL12*AL17/100</f>
        <v>54.852362895207037</v>
      </c>
      <c r="AM18" s="70" t="s">
        <v>0</v>
      </c>
      <c r="AN18" s="79"/>
    </row>
    <row r="19" spans="2:40" ht="17.399999999999999" x14ac:dyDescent="0.25">
      <c r="B19" s="213" t="s">
        <v>80</v>
      </c>
      <c r="C19" s="222">
        <v>30</v>
      </c>
      <c r="D19" s="222">
        <v>30</v>
      </c>
      <c r="E19" s="222">
        <v>30</v>
      </c>
      <c r="F19" s="222">
        <v>30</v>
      </c>
      <c r="G19" s="222">
        <v>30</v>
      </c>
      <c r="H19" s="328"/>
      <c r="I19" s="328">
        <v>30</v>
      </c>
      <c r="J19" s="328">
        <v>30</v>
      </c>
      <c r="K19" s="328">
        <v>30</v>
      </c>
      <c r="L19" s="328">
        <v>30</v>
      </c>
      <c r="M19" s="328">
        <v>30</v>
      </c>
      <c r="N19" s="328"/>
      <c r="O19" s="328">
        <v>30</v>
      </c>
      <c r="P19" s="328">
        <v>30</v>
      </c>
      <c r="Q19" s="328">
        <v>30</v>
      </c>
      <c r="R19" s="328">
        <v>30</v>
      </c>
      <c r="S19" s="328">
        <v>30</v>
      </c>
      <c r="T19" s="328"/>
      <c r="U19" s="213" t="s">
        <v>81</v>
      </c>
      <c r="V19" s="214">
        <v>6</v>
      </c>
      <c r="W19" s="215" t="s">
        <v>276</v>
      </c>
      <c r="Y19" s="86" t="s">
        <v>233</v>
      </c>
      <c r="Z19" s="87">
        <v>0.66</v>
      </c>
      <c r="AA19" s="86" t="s">
        <v>27</v>
      </c>
      <c r="AB19" s="78"/>
      <c r="AC19" s="70" t="s">
        <v>33</v>
      </c>
      <c r="AD19" s="72">
        <v>80</v>
      </c>
      <c r="AE19" s="70" t="s">
        <v>4</v>
      </c>
      <c r="AF19" s="78"/>
      <c r="AG19" s="77" t="s">
        <v>278</v>
      </c>
      <c r="AH19" s="92">
        <f>AH17*AH18</f>
        <v>22.05709020034714</v>
      </c>
      <c r="AI19" s="77" t="s">
        <v>253</v>
      </c>
      <c r="AJ19" s="78"/>
      <c r="AK19" s="70" t="s">
        <v>113</v>
      </c>
      <c r="AL19" s="90">
        <f>2*3.14159*AL14*AL11*0.000001*AL18</f>
        <v>2559.7641999999996</v>
      </c>
      <c r="AM19" s="70" t="s">
        <v>2</v>
      </c>
      <c r="AN19" s="79"/>
    </row>
    <row r="20" spans="2:40" ht="17.399999999999999" x14ac:dyDescent="0.25">
      <c r="B20" s="213" t="s">
        <v>82</v>
      </c>
      <c r="C20" s="223">
        <f t="shared" ref="C20:F20" si="27">ROUNDUP(TAN(PI()*C19/180),3)</f>
        <v>0.57799999999999996</v>
      </c>
      <c r="D20" s="223">
        <f t="shared" si="27"/>
        <v>0.57799999999999996</v>
      </c>
      <c r="E20" s="223">
        <f t="shared" si="27"/>
        <v>0.57799999999999996</v>
      </c>
      <c r="F20" s="223">
        <f t="shared" si="27"/>
        <v>0.57799999999999996</v>
      </c>
      <c r="G20" s="223">
        <f t="shared" ref="G20" si="28">ROUNDUP(TAN(PI()*G19/180),3)</f>
        <v>0.57799999999999996</v>
      </c>
      <c r="H20" s="223"/>
      <c r="I20" s="223">
        <f t="shared" ref="I20:M20" si="29">ROUNDUP(TAN(PI()*I19/180),3)</f>
        <v>0.57799999999999996</v>
      </c>
      <c r="J20" s="223">
        <f t="shared" si="29"/>
        <v>0.57799999999999996</v>
      </c>
      <c r="K20" s="223">
        <f t="shared" si="29"/>
        <v>0.57799999999999996</v>
      </c>
      <c r="L20" s="223">
        <f t="shared" si="29"/>
        <v>0.57799999999999996</v>
      </c>
      <c r="M20" s="223">
        <f t="shared" si="29"/>
        <v>0.57799999999999996</v>
      </c>
      <c r="N20" s="223"/>
      <c r="O20" s="223">
        <f t="shared" ref="O20:S20" si="30">ROUNDUP(TAN(PI()*O19/180),3)</f>
        <v>0.57799999999999996</v>
      </c>
      <c r="P20" s="223">
        <f t="shared" si="30"/>
        <v>0.57799999999999996</v>
      </c>
      <c r="Q20" s="223">
        <f t="shared" si="30"/>
        <v>0.57799999999999996</v>
      </c>
      <c r="R20" s="223">
        <f t="shared" si="30"/>
        <v>0.57799999999999996</v>
      </c>
      <c r="S20" s="223">
        <f t="shared" si="30"/>
        <v>0.57799999999999996</v>
      </c>
      <c r="T20" s="223"/>
      <c r="U20" s="213"/>
      <c r="V20" s="214"/>
      <c r="W20" s="213"/>
      <c r="Y20" s="86" t="s">
        <v>229</v>
      </c>
      <c r="Z20" s="87">
        <v>1</v>
      </c>
      <c r="AA20" s="86" t="s">
        <v>236</v>
      </c>
      <c r="AB20" s="78"/>
      <c r="AC20" s="70" t="s">
        <v>34</v>
      </c>
      <c r="AD20" s="72">
        <v>650</v>
      </c>
      <c r="AE20" s="70" t="s">
        <v>2</v>
      </c>
      <c r="AF20" s="78"/>
      <c r="AG20" s="77" t="s">
        <v>258</v>
      </c>
      <c r="AH20" s="91">
        <v>850</v>
      </c>
      <c r="AI20" s="69" t="s">
        <v>254</v>
      </c>
      <c r="AJ20" s="78"/>
      <c r="AK20" s="78"/>
      <c r="AL20" s="78"/>
      <c r="AM20" s="78"/>
      <c r="AN20" s="79"/>
    </row>
    <row r="21" spans="2:40" ht="17.399999999999999" x14ac:dyDescent="0.25">
      <c r="B21" s="213"/>
      <c r="C21" s="213"/>
      <c r="D21" s="213"/>
      <c r="E21" s="213"/>
      <c r="F21" s="213"/>
      <c r="G21" s="213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213"/>
      <c r="V21" s="214"/>
      <c r="W21" s="213"/>
      <c r="Y21" s="86" t="s">
        <v>231</v>
      </c>
      <c r="Z21" s="87">
        <v>700</v>
      </c>
      <c r="AA21" s="86" t="s">
        <v>0</v>
      </c>
      <c r="AB21" s="78"/>
      <c r="AC21" s="70" t="s">
        <v>35</v>
      </c>
      <c r="AD21" s="90">
        <f>(AD20)/(2*3.14*AD19*1000*(AD18/1000000))</f>
        <v>965.51478277402771</v>
      </c>
      <c r="AE21" s="70" t="s">
        <v>0</v>
      </c>
      <c r="AF21" s="78"/>
      <c r="AG21" s="77" t="s">
        <v>649</v>
      </c>
      <c r="AH21" s="93">
        <f>AH20/AH19</f>
        <v>38.536361427520596</v>
      </c>
      <c r="AI21" s="69" t="s">
        <v>254</v>
      </c>
      <c r="AJ21" s="78"/>
      <c r="AK21" s="430" t="s">
        <v>644</v>
      </c>
      <c r="AL21" s="430"/>
      <c r="AM21" s="430"/>
      <c r="AN21" s="79"/>
    </row>
    <row r="22" spans="2:40" ht="17.399999999999999" x14ac:dyDescent="0.25">
      <c r="B22" s="213" t="s">
        <v>41</v>
      </c>
      <c r="C22" s="308">
        <v>6.3</v>
      </c>
      <c r="D22" s="308">
        <v>5</v>
      </c>
      <c r="E22" s="308">
        <v>5.3</v>
      </c>
      <c r="F22" s="308">
        <v>3.5</v>
      </c>
      <c r="G22" s="308">
        <v>6.2</v>
      </c>
      <c r="H22" s="330"/>
      <c r="I22" s="330">
        <f>SQRT(I18/C18)*C22*I14/I15</f>
        <v>11.392681178177622</v>
      </c>
      <c r="J22" s="330">
        <f t="shared" ref="J22:M22" si="31">SQRT(J18/D18)*D22*J14/J15</f>
        <v>8.9035821810204947</v>
      </c>
      <c r="K22" s="330">
        <f t="shared" si="31"/>
        <v>10.284851750697875</v>
      </c>
      <c r="L22" s="330">
        <f t="shared" si="31"/>
        <v>6.0118753743804794</v>
      </c>
      <c r="M22" s="330">
        <f t="shared" si="31"/>
        <v>11.853044704783956</v>
      </c>
      <c r="N22" s="330"/>
      <c r="O22" s="330">
        <v>11.392681178177622</v>
      </c>
      <c r="P22" s="330">
        <v>8.9035821810204947</v>
      </c>
      <c r="Q22" s="330">
        <v>10.284851750697875</v>
      </c>
      <c r="R22" s="330">
        <v>6.0118753743804794</v>
      </c>
      <c r="S22" s="330">
        <v>11.853044704783956</v>
      </c>
      <c r="T22" s="330"/>
      <c r="U22" s="213"/>
      <c r="V22" s="214">
        <v>5</v>
      </c>
      <c r="W22" s="215" t="s">
        <v>343</v>
      </c>
      <c r="Y22" s="86" t="s">
        <v>232</v>
      </c>
      <c r="Z22" s="87">
        <v>550</v>
      </c>
      <c r="AA22" s="86" t="s">
        <v>2</v>
      </c>
      <c r="AB22" s="78"/>
      <c r="AC22" s="78"/>
      <c r="AD22" s="78"/>
      <c r="AE22" s="78"/>
      <c r="AF22" s="78"/>
      <c r="AG22" s="77" t="s">
        <v>259</v>
      </c>
      <c r="AH22" s="314">
        <f>AH8/100000000/(AH19/1000000)*AH13/1000</f>
        <v>1.7415035098054523E-3</v>
      </c>
      <c r="AI22" s="69" t="s">
        <v>255</v>
      </c>
      <c r="AJ22" s="78"/>
      <c r="AK22" s="278" t="s">
        <v>638</v>
      </c>
      <c r="AL22" s="213">
        <v>0.9133</v>
      </c>
      <c r="AM22" s="213" t="s">
        <v>637</v>
      </c>
      <c r="AN22" s="79"/>
    </row>
    <row r="23" spans="2:40" ht="17.399999999999999" x14ac:dyDescent="0.25">
      <c r="B23" s="213" t="s">
        <v>83</v>
      </c>
      <c r="C23" s="226">
        <f t="shared" ref="C23:F23" si="32">C18*((C20/C22)+(((C20/C22)^2+4)^0.5))/2</f>
        <v>254.39402256953764</v>
      </c>
      <c r="D23" s="226">
        <f t="shared" si="32"/>
        <v>256.60615993770944</v>
      </c>
      <c r="E23" s="226">
        <f t="shared" si="32"/>
        <v>270.37790188964425</v>
      </c>
      <c r="F23" s="226">
        <f t="shared" si="32"/>
        <v>278.04895267671338</v>
      </c>
      <c r="G23" s="226">
        <f t="shared" ref="G23" si="33">G18*((G20/G22)+(((G20/G22)^2+4)^0.5))/2</f>
        <v>276.37951019486201</v>
      </c>
      <c r="H23" s="226"/>
      <c r="I23" s="226">
        <f t="shared" ref="I23:M23" si="34">I18*((I20/I22)+(((I20/I22)^2+4)^0.5))/2</f>
        <v>263.84556882738269</v>
      </c>
      <c r="J23" s="226">
        <f t="shared" si="34"/>
        <v>263.46102763437017</v>
      </c>
      <c r="K23" s="226">
        <f t="shared" si="34"/>
        <v>276.76560394813674</v>
      </c>
      <c r="L23" s="226">
        <f t="shared" si="34"/>
        <v>266.4764569613771</v>
      </c>
      <c r="M23" s="226">
        <f t="shared" si="34"/>
        <v>275.73894776572098</v>
      </c>
      <c r="N23" s="226"/>
      <c r="O23" s="226">
        <f t="shared" ref="O23:S23" si="35">O18*((O20/O22)+(((O20/O22)^2+4)^0.5))/2</f>
        <v>263.84556882738269</v>
      </c>
      <c r="P23" s="226">
        <f t="shared" si="35"/>
        <v>263.46102763437017</v>
      </c>
      <c r="Q23" s="226">
        <f t="shared" si="35"/>
        <v>276.76560394813674</v>
      </c>
      <c r="R23" s="226">
        <f t="shared" si="35"/>
        <v>266.4764569613771</v>
      </c>
      <c r="S23" s="226">
        <f t="shared" si="35"/>
        <v>275.73894776572098</v>
      </c>
      <c r="T23" s="226"/>
      <c r="U23" s="213" t="s">
        <v>4</v>
      </c>
      <c r="V23" s="214"/>
      <c r="W23" s="216" t="s">
        <v>274</v>
      </c>
      <c r="Y23" s="86" t="s">
        <v>230</v>
      </c>
      <c r="Z23" s="87">
        <v>1</v>
      </c>
      <c r="AA23" s="86" t="s">
        <v>236</v>
      </c>
      <c r="AB23" s="78"/>
      <c r="AC23" s="431" t="s">
        <v>251</v>
      </c>
      <c r="AD23" s="431"/>
      <c r="AE23" s="431"/>
      <c r="AF23" s="78"/>
      <c r="AG23" s="78"/>
      <c r="AH23" s="78"/>
      <c r="AI23" s="78"/>
      <c r="AJ23" s="78"/>
      <c r="AK23" s="86" t="s">
        <v>639</v>
      </c>
      <c r="AL23" s="222">
        <v>3</v>
      </c>
      <c r="AM23" s="213" t="s">
        <v>380</v>
      </c>
      <c r="AN23" s="79"/>
    </row>
    <row r="24" spans="2:40" ht="17.399999999999999" x14ac:dyDescent="0.25">
      <c r="B24" s="213" t="s">
        <v>364</v>
      </c>
      <c r="C24" s="227">
        <f>2*PI()*C18*C14</f>
        <v>1007.6629473115579</v>
      </c>
      <c r="D24" s="227">
        <f>2*PI()*D18*D14</f>
        <v>1034.8266239966401</v>
      </c>
      <c r="E24" s="227">
        <f>2*PI()*E18*E14</f>
        <v>900.88523292290165</v>
      </c>
      <c r="F24" s="227">
        <f>2*PI()*F18*F14</f>
        <v>1110.0193048514323</v>
      </c>
      <c r="G24" s="227">
        <f>2*PI()*G18*G14</f>
        <v>928.19096178451423</v>
      </c>
      <c r="H24" s="227"/>
      <c r="I24" s="227">
        <f>2*PI()*I18*I14</f>
        <v>1874.8737331221844</v>
      </c>
      <c r="J24" s="227">
        <f>2*PI()*J18*J14</f>
        <v>1890.9673650694176</v>
      </c>
      <c r="K24" s="227">
        <f>2*PI()*K18*K14</f>
        <v>1792.2391615298479</v>
      </c>
      <c r="L24" s="227">
        <f>2*PI()*L18*L14</f>
        <v>1898.9630344113089</v>
      </c>
      <c r="M24" s="227">
        <f>2*PI()*M18*M14</f>
        <v>1792.2391615298479</v>
      </c>
      <c r="N24" s="227"/>
      <c r="O24" s="227">
        <f>2*PI()*O18*O14</f>
        <v>1874.8737331221844</v>
      </c>
      <c r="P24" s="227">
        <f>2*PI()*P18*P14</f>
        <v>1890.9673650694176</v>
      </c>
      <c r="Q24" s="227">
        <f>2*PI()*Q18*Q14</f>
        <v>1792.2391615298479</v>
      </c>
      <c r="R24" s="227">
        <f>2*PI()*R18*R14</f>
        <v>1898.9630344113089</v>
      </c>
      <c r="S24" s="227">
        <f>2*PI()*S18*S14</f>
        <v>1792.2391615298479</v>
      </c>
      <c r="T24" s="227"/>
      <c r="U24" s="213" t="s">
        <v>85</v>
      </c>
      <c r="V24" s="214"/>
      <c r="W24" s="213"/>
      <c r="Y24" s="86" t="s">
        <v>237</v>
      </c>
      <c r="Z24" s="87">
        <v>8</v>
      </c>
      <c r="AA24" s="86" t="s">
        <v>69</v>
      </c>
      <c r="AB24" s="78"/>
      <c r="AC24" s="71" t="s">
        <v>154</v>
      </c>
      <c r="AD24" s="72">
        <v>500</v>
      </c>
      <c r="AE24" s="70" t="s">
        <v>155</v>
      </c>
      <c r="AF24" s="78"/>
      <c r="AG24" s="431" t="s">
        <v>647</v>
      </c>
      <c r="AH24" s="431"/>
      <c r="AI24" s="431"/>
      <c r="AJ24" s="78"/>
      <c r="AK24" s="86" t="s">
        <v>640</v>
      </c>
      <c r="AL24" s="277">
        <f>AL22*AL23</f>
        <v>2.7399</v>
      </c>
      <c r="AM24" s="213" t="s">
        <v>637</v>
      </c>
      <c r="AN24" s="79"/>
    </row>
    <row r="25" spans="2:40" ht="17.399999999999999" x14ac:dyDescent="0.25">
      <c r="B25" s="213" t="s">
        <v>84</v>
      </c>
      <c r="C25" s="227">
        <f>2*PI()*C23*C14</f>
        <v>1054.9471579965325</v>
      </c>
      <c r="D25" s="227">
        <f>2*PI()*D23*D14</f>
        <v>1096.3667566196259</v>
      </c>
      <c r="E25" s="227">
        <f>2*PI()*E23*E14</f>
        <v>951.34729790187168</v>
      </c>
      <c r="F25" s="227">
        <f>2*PI()*F23*F14</f>
        <v>1205.4528349531481</v>
      </c>
      <c r="G25" s="227">
        <f>2*PI()*G23*G14</f>
        <v>972.46445949063479</v>
      </c>
      <c r="H25" s="227"/>
      <c r="I25" s="227">
        <f>2*PI()*I23*I14</f>
        <v>1923.0370976479558</v>
      </c>
      <c r="J25" s="227">
        <f>2*PI()*J23*J14</f>
        <v>1953.3418602591178</v>
      </c>
      <c r="K25" s="227">
        <f>2*PI()*K23*K14</f>
        <v>1843.3077508351944</v>
      </c>
      <c r="L25" s="227">
        <f>2*PI()*L23*L14</f>
        <v>1992.4419413159076</v>
      </c>
      <c r="M25" s="227">
        <f>2*PI()*M23*M14</f>
        <v>1836.4700395318619</v>
      </c>
      <c r="N25" s="227"/>
      <c r="O25" s="227">
        <f>2*PI()*O23*O14</f>
        <v>1923.0370976479558</v>
      </c>
      <c r="P25" s="227">
        <f>2*PI()*P23*P14</f>
        <v>1953.3418602591178</v>
      </c>
      <c r="Q25" s="227">
        <f>2*PI()*Q23*Q14</f>
        <v>1843.3077508351944</v>
      </c>
      <c r="R25" s="227">
        <f>2*PI()*R23*R14</f>
        <v>1992.4419413159076</v>
      </c>
      <c r="S25" s="227">
        <f>2*PI()*S23*S14</f>
        <v>1836.4700395318619</v>
      </c>
      <c r="T25" s="227"/>
      <c r="U25" s="213" t="s">
        <v>85</v>
      </c>
      <c r="V25" s="214"/>
      <c r="W25" s="213"/>
      <c r="Y25" s="86" t="s">
        <v>238</v>
      </c>
      <c r="Z25" s="87">
        <v>4</v>
      </c>
      <c r="AA25" s="86" t="s">
        <v>68</v>
      </c>
      <c r="AB25" s="78"/>
      <c r="AC25" s="71" t="s">
        <v>289</v>
      </c>
      <c r="AD25" s="72">
        <v>2.2000000000000002</v>
      </c>
      <c r="AE25" s="70" t="s">
        <v>156</v>
      </c>
      <c r="AF25" s="78"/>
      <c r="AG25" s="70" t="s">
        <v>213</v>
      </c>
      <c r="AH25" s="68" t="s">
        <v>214</v>
      </c>
      <c r="AI25" s="68"/>
      <c r="AJ25" s="78"/>
      <c r="AK25" s="86"/>
      <c r="AL25" s="213"/>
      <c r="AM25" s="213"/>
      <c r="AN25" s="79"/>
    </row>
    <row r="26" spans="2:40" ht="17.399999999999999" x14ac:dyDescent="0.25">
      <c r="B26" s="213" t="s">
        <v>86</v>
      </c>
      <c r="C26" s="227">
        <f t="shared" ref="C26:F26" si="36">1000000/(2*PI()*C23*C17)</f>
        <v>962.49808124318656</v>
      </c>
      <c r="D26" s="227">
        <f t="shared" si="36"/>
        <v>976.74079888561459</v>
      </c>
      <c r="E26" s="227">
        <f t="shared" si="36"/>
        <v>853.09981400952495</v>
      </c>
      <c r="F26" s="227">
        <f t="shared" si="36"/>
        <v>1022.1410754662551</v>
      </c>
      <c r="G26" s="227">
        <f t="shared" ref="G26" si="37">1000000/(2*PI()*G23*G17)</f>
        <v>885.9331085371748</v>
      </c>
      <c r="H26" s="227"/>
      <c r="I26" s="227">
        <f t="shared" ref="I26:M26" si="38">1000000/(2*PI()*I23*I17)</f>
        <v>1827.9166426122806</v>
      </c>
      <c r="J26" s="227">
        <f t="shared" si="38"/>
        <v>1830.5846244872055</v>
      </c>
      <c r="K26" s="227">
        <f t="shared" si="38"/>
        <v>1742.5854205114772</v>
      </c>
      <c r="L26" s="227">
        <f t="shared" si="38"/>
        <v>1809.8698543150444</v>
      </c>
      <c r="M26" s="227">
        <f t="shared" si="38"/>
        <v>1749.0735721123008</v>
      </c>
      <c r="N26" s="227"/>
      <c r="O26" s="227">
        <f t="shared" ref="O26:S26" si="39">1000000/(2*PI()*O23*O17)</f>
        <v>1827.9166426122806</v>
      </c>
      <c r="P26" s="227">
        <f t="shared" si="39"/>
        <v>1830.5846244872055</v>
      </c>
      <c r="Q26" s="227">
        <f t="shared" si="39"/>
        <v>1742.5854205114772</v>
      </c>
      <c r="R26" s="227">
        <f t="shared" si="39"/>
        <v>1809.8698543150444</v>
      </c>
      <c r="S26" s="227">
        <f t="shared" si="39"/>
        <v>1749.0735721123008</v>
      </c>
      <c r="T26" s="227"/>
      <c r="U26" s="213" t="s">
        <v>85</v>
      </c>
      <c r="V26" s="214"/>
      <c r="W26" s="213"/>
      <c r="Y26" s="86" t="s">
        <v>265</v>
      </c>
      <c r="Z26" s="94">
        <f>Z19*(Z23/Z20)*Z25/Z24</f>
        <v>0.33</v>
      </c>
      <c r="AA26" s="86" t="s">
        <v>27</v>
      </c>
      <c r="AB26" s="78"/>
      <c r="AC26" s="71" t="s">
        <v>159</v>
      </c>
      <c r="AD26" s="72">
        <v>22</v>
      </c>
      <c r="AE26" s="70" t="s">
        <v>160</v>
      </c>
      <c r="AF26" s="78"/>
      <c r="AG26" s="77" t="s">
        <v>215</v>
      </c>
      <c r="AH26" s="80">
        <v>1.75</v>
      </c>
      <c r="AI26" s="77" t="s">
        <v>216</v>
      </c>
      <c r="AJ26" s="78"/>
      <c r="AK26" s="278" t="s">
        <v>641</v>
      </c>
      <c r="AL26" s="213">
        <v>0.48</v>
      </c>
      <c r="AM26" s="213" t="s">
        <v>637</v>
      </c>
      <c r="AN26" s="79"/>
    </row>
    <row r="27" spans="2:40" ht="17.399999999999999" x14ac:dyDescent="0.25">
      <c r="B27" s="213" t="s">
        <v>70</v>
      </c>
      <c r="C27" s="228">
        <f t="shared" ref="C27:F27" si="40">C24/C22</f>
        <v>159.94649957326317</v>
      </c>
      <c r="D27" s="228">
        <f t="shared" si="40"/>
        <v>206.96532479932802</v>
      </c>
      <c r="E27" s="228">
        <f t="shared" si="40"/>
        <v>169.97834583450975</v>
      </c>
      <c r="F27" s="228">
        <f t="shared" si="40"/>
        <v>317.14837281469494</v>
      </c>
      <c r="G27" s="228">
        <f t="shared" ref="G27" si="41">G24/G22</f>
        <v>149.70821964266358</v>
      </c>
      <c r="H27" s="228"/>
      <c r="I27" s="228">
        <f t="shared" ref="I27:M27" si="42">I24/I22</f>
        <v>164.56826130739577</v>
      </c>
      <c r="J27" s="228">
        <f t="shared" si="42"/>
        <v>212.38276085105807</v>
      </c>
      <c r="K27" s="228">
        <f t="shared" si="42"/>
        <v>174.2600870652546</v>
      </c>
      <c r="L27" s="228">
        <f t="shared" si="42"/>
        <v>315.86866263125023</v>
      </c>
      <c r="M27" s="228">
        <f t="shared" si="42"/>
        <v>151.20496093349669</v>
      </c>
      <c r="N27" s="228"/>
      <c r="O27" s="228">
        <f t="shared" ref="O27:S27" si="43">O24/O22</f>
        <v>164.56826130739577</v>
      </c>
      <c r="P27" s="228">
        <f t="shared" si="43"/>
        <v>212.38276085105807</v>
      </c>
      <c r="Q27" s="228">
        <f t="shared" si="43"/>
        <v>174.2600870652546</v>
      </c>
      <c r="R27" s="228">
        <f t="shared" si="43"/>
        <v>315.86866263125023</v>
      </c>
      <c r="S27" s="228">
        <f t="shared" si="43"/>
        <v>151.20496093349669</v>
      </c>
      <c r="T27" s="228"/>
      <c r="U27" s="213" t="s">
        <v>85</v>
      </c>
      <c r="V27" s="214"/>
      <c r="W27" s="213"/>
      <c r="Y27" s="86" t="s">
        <v>234</v>
      </c>
      <c r="Z27" s="88">
        <f>Z21*Z24</f>
        <v>5600</v>
      </c>
      <c r="AA27" s="86" t="s">
        <v>0</v>
      </c>
      <c r="AB27" s="78"/>
      <c r="AC27" s="71" t="s">
        <v>163</v>
      </c>
      <c r="AD27" s="72">
        <v>4</v>
      </c>
      <c r="AE27" s="70"/>
      <c r="AF27" s="78"/>
      <c r="AG27" s="77" t="s">
        <v>217</v>
      </c>
      <c r="AH27" s="81">
        <v>3.8999999999999998E-3</v>
      </c>
      <c r="AI27" s="77" t="s">
        <v>218</v>
      </c>
      <c r="AJ27" s="78"/>
      <c r="AK27" s="86" t="s">
        <v>642</v>
      </c>
      <c r="AL27" s="222">
        <v>5</v>
      </c>
      <c r="AM27" s="213" t="s">
        <v>380</v>
      </c>
      <c r="AN27" s="79"/>
    </row>
    <row r="28" spans="2:40" ht="17.399999999999999" x14ac:dyDescent="0.25">
      <c r="B28" s="213" t="s">
        <v>87</v>
      </c>
      <c r="C28" s="227">
        <f t="shared" ref="C28:F28" si="44">(C27^2+(C25-C26)^2)^0.5</f>
        <v>184.7422921755761</v>
      </c>
      <c r="D28" s="227">
        <f t="shared" si="44"/>
        <v>239.05023621212092</v>
      </c>
      <c r="E28" s="227">
        <f t="shared" si="44"/>
        <v>196.32933082912785</v>
      </c>
      <c r="F28" s="227">
        <f t="shared" si="44"/>
        <v>366.31447083781615</v>
      </c>
      <c r="G28" s="227">
        <f t="shared" ref="G28" si="45">(G27^2+(G25-G26)^2)^0.5</f>
        <v>172.91681736143209</v>
      </c>
      <c r="H28" s="227"/>
      <c r="I28" s="227">
        <f t="shared" ref="I28:M28" si="46">(I27^2+(I25-I26)^2)^0.5</f>
        <v>190.08054502219105</v>
      </c>
      <c r="J28" s="227">
        <f t="shared" si="46"/>
        <v>245.30751321775406</v>
      </c>
      <c r="K28" s="227">
        <f t="shared" si="46"/>
        <v>201.27485130991926</v>
      </c>
      <c r="L28" s="227">
        <f t="shared" si="46"/>
        <v>364.83637289106099</v>
      </c>
      <c r="M28" s="227">
        <f t="shared" si="46"/>
        <v>174.64559178037865</v>
      </c>
      <c r="N28" s="227"/>
      <c r="O28" s="227">
        <f t="shared" ref="O28:S28" si="47">(O27^2+(O25-O26)^2)^0.5</f>
        <v>190.08054502219105</v>
      </c>
      <c r="P28" s="227">
        <f t="shared" si="47"/>
        <v>245.30751321775406</v>
      </c>
      <c r="Q28" s="227">
        <f t="shared" si="47"/>
        <v>201.27485130991926</v>
      </c>
      <c r="R28" s="227">
        <f t="shared" si="47"/>
        <v>364.83637289106099</v>
      </c>
      <c r="S28" s="227">
        <f t="shared" si="47"/>
        <v>174.64559178037865</v>
      </c>
      <c r="T28" s="227"/>
      <c r="U28" s="213" t="s">
        <v>85</v>
      </c>
      <c r="V28" s="214"/>
      <c r="W28" s="213"/>
      <c r="Y28" s="86" t="s">
        <v>235</v>
      </c>
      <c r="Z28" s="88">
        <f>Z22*(Z23/Z20)*Z25</f>
        <v>2200</v>
      </c>
      <c r="AA28" s="86" t="s">
        <v>2</v>
      </c>
      <c r="AB28" s="78"/>
      <c r="AC28" s="71" t="s">
        <v>166</v>
      </c>
      <c r="AD28" s="73">
        <f>AD25*AD26*AD27*2</f>
        <v>387.20000000000005</v>
      </c>
      <c r="AE28" s="70" t="s">
        <v>156</v>
      </c>
      <c r="AF28" s="78"/>
      <c r="AG28" s="77" t="s">
        <v>219</v>
      </c>
      <c r="AH28" s="82">
        <v>45</v>
      </c>
      <c r="AI28" s="77" t="s">
        <v>48</v>
      </c>
      <c r="AJ28" s="78"/>
      <c r="AK28" s="86" t="s">
        <v>643</v>
      </c>
      <c r="AL28" s="277">
        <f>AL26*AL27</f>
        <v>2.4</v>
      </c>
      <c r="AM28" s="213" t="s">
        <v>637</v>
      </c>
      <c r="AN28" s="79"/>
    </row>
    <row r="29" spans="2:40" ht="17.399999999999999" x14ac:dyDescent="0.25">
      <c r="B29" s="213"/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13"/>
      <c r="V29" s="214"/>
      <c r="W29" s="213"/>
      <c r="Y29" s="86" t="s">
        <v>47</v>
      </c>
      <c r="Z29" s="88">
        <f>Z27*Z28/1000</f>
        <v>12320</v>
      </c>
      <c r="AA29" s="86" t="s">
        <v>47</v>
      </c>
      <c r="AB29" s="78"/>
      <c r="AC29" s="71" t="s">
        <v>169</v>
      </c>
      <c r="AD29" s="72">
        <v>1.5</v>
      </c>
      <c r="AE29" s="70" t="s">
        <v>170</v>
      </c>
      <c r="AF29" s="78"/>
      <c r="AG29" s="77" t="s">
        <v>220</v>
      </c>
      <c r="AH29" s="81">
        <f>AH26*(1+AH27*(AH28-20))</f>
        <v>1.9206249999999998</v>
      </c>
      <c r="AI29" s="77" t="s">
        <v>216</v>
      </c>
      <c r="AJ29" s="78"/>
      <c r="AK29" s="86"/>
      <c r="AL29" s="213"/>
      <c r="AM29" s="213"/>
      <c r="AN29" s="79"/>
    </row>
    <row r="30" spans="2:40" ht="17.399999999999999" x14ac:dyDescent="0.25">
      <c r="B30" s="213" t="s">
        <v>107</v>
      </c>
      <c r="C30" s="230">
        <f>(C3*1000000/C27)^0.5</f>
        <v>1140.366097517287</v>
      </c>
      <c r="D30" s="230">
        <f>(D3*1000000/D27)^0.5</f>
        <v>585.70695306969014</v>
      </c>
      <c r="E30" s="230">
        <f>(E3*1000000/E27)^0.5</f>
        <v>933.11260988450022</v>
      </c>
      <c r="F30" s="230">
        <f>(F3*1000000/F27)^0.5</f>
        <v>532.70897155080286</v>
      </c>
      <c r="G30" s="230">
        <f>(G3*1000000/G27)^0.5</f>
        <v>1292.2519062790973</v>
      </c>
      <c r="H30" s="230"/>
      <c r="I30" s="230">
        <f>(I3*1000000/I27)^0.5</f>
        <v>1124.2389486074574</v>
      </c>
      <c r="J30" s="230">
        <f>(J3*1000000/J27)^0.5</f>
        <v>578.18862500077751</v>
      </c>
      <c r="K30" s="230">
        <f>(K3*1000000/K27)^0.5</f>
        <v>921.57756641566016</v>
      </c>
      <c r="L30" s="230">
        <f>(L3*1000000/L27)^0.5</f>
        <v>533.78698924990931</v>
      </c>
      <c r="M30" s="230">
        <f>(M3*1000000/M27)^0.5</f>
        <v>1285.8401553878857</v>
      </c>
      <c r="N30" s="230"/>
      <c r="O30" s="230">
        <f>(O3*1000000/O27)^0.5</f>
        <v>1559.0389134915047</v>
      </c>
      <c r="P30" s="230">
        <f>(P3*1000000/P27)^0.5</f>
        <v>1372.3673102544935</v>
      </c>
      <c r="Q30" s="230">
        <f>(Q3*1000000/Q27)^0.5</f>
        <v>1515.0641864207018</v>
      </c>
      <c r="R30" s="230">
        <f>(R3*1000000/R27)^0.5</f>
        <v>1125.3217809290181</v>
      </c>
      <c r="S30" s="230">
        <f>(S3*1000000/S27)^0.5</f>
        <v>1626.4734391722195</v>
      </c>
      <c r="T30" s="230"/>
      <c r="U30" s="213" t="s">
        <v>2</v>
      </c>
      <c r="V30" s="214"/>
      <c r="W30" s="216" t="s">
        <v>273</v>
      </c>
      <c r="Y30" s="78"/>
      <c r="Z30" s="78"/>
      <c r="AA30" s="78"/>
      <c r="AB30" s="78"/>
      <c r="AC30" s="71" t="s">
        <v>171</v>
      </c>
      <c r="AD30" s="72">
        <v>250</v>
      </c>
      <c r="AE30" s="70" t="s">
        <v>172</v>
      </c>
      <c r="AF30" s="78"/>
      <c r="AG30" s="77" t="s">
        <v>221</v>
      </c>
      <c r="AH30" s="83">
        <f>1/(AH29/100000000)</f>
        <v>52066384.64041654</v>
      </c>
      <c r="AI30" s="77" t="s">
        <v>222</v>
      </c>
      <c r="AJ30" s="78"/>
      <c r="AK30" s="278" t="s">
        <v>641</v>
      </c>
      <c r="AL30" s="213">
        <v>0.4133</v>
      </c>
      <c r="AM30" s="213" t="s">
        <v>637</v>
      </c>
      <c r="AN30" s="79"/>
    </row>
    <row r="31" spans="2:40" ht="17.399999999999999" x14ac:dyDescent="0.25">
      <c r="B31" s="213" t="s">
        <v>105</v>
      </c>
      <c r="C31" s="227">
        <f t="shared" ref="C31:F31" si="48">C30*C27/1000</f>
        <v>182.39756552991253</v>
      </c>
      <c r="D31" s="227">
        <f t="shared" si="48"/>
        <v>121.22102977929319</v>
      </c>
      <c r="E31" s="227">
        <f t="shared" si="48"/>
        <v>158.60893790548954</v>
      </c>
      <c r="F31" s="227">
        <f t="shared" si="48"/>
        <v>168.94778351112674</v>
      </c>
      <c r="G31" s="227">
        <f t="shared" ref="G31" si="49">G30*G27/1000</f>
        <v>193.46073221888182</v>
      </c>
      <c r="H31" s="227"/>
      <c r="I31" s="227">
        <f t="shared" ref="I31:M31" si="50">I30*I27/1000</f>
        <v>185.0140490663839</v>
      </c>
      <c r="J31" s="227">
        <f t="shared" si="50"/>
        <v>122.79729647034222</v>
      </c>
      <c r="K31" s="227">
        <f t="shared" si="50"/>
        <v>160.59418696097836</v>
      </c>
      <c r="L31" s="227">
        <f t="shared" si="50"/>
        <v>168.60658242433041</v>
      </c>
      <c r="M31" s="227">
        <f t="shared" si="50"/>
        <v>194.42541046214657</v>
      </c>
      <c r="N31" s="227"/>
      <c r="O31" s="227">
        <f t="shared" ref="O31:S31" si="51">O30*O27/1000</f>
        <v>256.56832330386834</v>
      </c>
      <c r="P31" s="227">
        <f t="shared" si="51"/>
        <v>291.46715825358996</v>
      </c>
      <c r="Q31" s="227">
        <f t="shared" si="51"/>
        <v>264.01521703512066</v>
      </c>
      <c r="R31" s="227">
        <f t="shared" si="51"/>
        <v>355.45388597186576</v>
      </c>
      <c r="S31" s="227">
        <f t="shared" si="51"/>
        <v>245.93085282940547</v>
      </c>
      <c r="T31" s="227"/>
      <c r="U31" s="213" t="s">
        <v>0</v>
      </c>
      <c r="V31" s="214"/>
      <c r="W31" s="213"/>
      <c r="Y31" s="430" t="s">
        <v>239</v>
      </c>
      <c r="Z31" s="430"/>
      <c r="AA31" s="430"/>
      <c r="AB31" s="78"/>
      <c r="AC31" s="71" t="s">
        <v>173</v>
      </c>
      <c r="AD31" s="72">
        <v>1</v>
      </c>
      <c r="AE31" s="70" t="s">
        <v>174</v>
      </c>
      <c r="AF31" s="78"/>
      <c r="AG31" s="77" t="s">
        <v>223</v>
      </c>
      <c r="AH31" s="68">
        <v>1</v>
      </c>
      <c r="AI31" s="77" t="s">
        <v>224</v>
      </c>
      <c r="AJ31" s="78"/>
      <c r="AK31" s="86" t="s">
        <v>642</v>
      </c>
      <c r="AL31" s="222">
        <v>1.25</v>
      </c>
      <c r="AM31" s="213" t="s">
        <v>380</v>
      </c>
      <c r="AN31" s="79"/>
    </row>
    <row r="32" spans="2:40" ht="17.399999999999999" x14ac:dyDescent="0.25">
      <c r="B32" s="213" t="s">
        <v>360</v>
      </c>
      <c r="C32" s="230">
        <f t="shared" ref="C32:F32" si="52">C30/(2*3.14159*C23*1000*C17/1000000)</f>
        <v>1097.6011078791635</v>
      </c>
      <c r="D32" s="230">
        <f t="shared" si="52"/>
        <v>572.08436047313546</v>
      </c>
      <c r="E32" s="230">
        <f t="shared" si="52"/>
        <v>796.03886632767512</v>
      </c>
      <c r="F32" s="230">
        <f t="shared" si="52"/>
        <v>544.50418101446633</v>
      </c>
      <c r="G32" s="230">
        <f t="shared" ref="G32" si="53">G30/(2*3.14159*G23*1000*G17/1000000)</f>
        <v>1144.8497153561161</v>
      </c>
      <c r="H32" s="230"/>
      <c r="I32" s="230">
        <f t="shared" ref="I32:M32" si="54">I30/(2*3.14159*I23*1000*I17/1000000)</f>
        <v>2055.0168202309542</v>
      </c>
      <c r="J32" s="230">
        <f t="shared" si="54"/>
        <v>1058.424100992414</v>
      </c>
      <c r="K32" s="230">
        <f t="shared" si="54"/>
        <v>1605.9289875765626</v>
      </c>
      <c r="L32" s="230">
        <f t="shared" si="54"/>
        <v>966.08579648676232</v>
      </c>
      <c r="M32" s="230">
        <f t="shared" si="54"/>
        <v>2249.0309334248864</v>
      </c>
      <c r="N32" s="230"/>
      <c r="O32" s="230">
        <f t="shared" ref="O32:S32" si="55">O30/(2*3.14159*O23*1000*O17/1000000)</f>
        <v>2849.7955835706416</v>
      </c>
      <c r="P32" s="230">
        <f t="shared" si="55"/>
        <v>2512.2366192962309</v>
      </c>
      <c r="Q32" s="230">
        <f t="shared" si="55"/>
        <v>2640.1309924190459</v>
      </c>
      <c r="R32" s="230">
        <f t="shared" si="55"/>
        <v>2036.6876880240429</v>
      </c>
      <c r="S32" s="230">
        <f t="shared" si="55"/>
        <v>2844.8241111188627</v>
      </c>
      <c r="T32" s="230"/>
      <c r="U32" s="213" t="s">
        <v>0</v>
      </c>
      <c r="V32" s="214"/>
      <c r="W32" s="216" t="s">
        <v>73</v>
      </c>
      <c r="Y32" s="71" t="s">
        <v>37</v>
      </c>
      <c r="Z32" s="72">
        <v>19970</v>
      </c>
      <c r="AA32" s="71" t="s">
        <v>24</v>
      </c>
      <c r="AB32" s="78"/>
      <c r="AC32" s="71" t="s">
        <v>175</v>
      </c>
      <c r="AD32" s="73">
        <f>AD30*AD31</f>
        <v>250</v>
      </c>
      <c r="AE32" s="70" t="s">
        <v>172</v>
      </c>
      <c r="AF32" s="78"/>
      <c r="AG32" s="77" t="s">
        <v>37</v>
      </c>
      <c r="AH32" s="84">
        <v>3000</v>
      </c>
      <c r="AI32" s="77" t="s">
        <v>225</v>
      </c>
      <c r="AJ32" s="78"/>
      <c r="AK32" s="86" t="s">
        <v>643</v>
      </c>
      <c r="AL32" s="277">
        <f>AL30*AL31</f>
        <v>0.516625</v>
      </c>
      <c r="AM32" s="213" t="s">
        <v>637</v>
      </c>
      <c r="AN32" s="79"/>
    </row>
    <row r="33" spans="2:40" ht="17.399999999999999" x14ac:dyDescent="0.25">
      <c r="B33" s="213" t="s">
        <v>106</v>
      </c>
      <c r="C33" s="227">
        <f t="shared" ref="C33:F33" si="56">C30*C28/1000</f>
        <v>210.67384677466015</v>
      </c>
      <c r="D33" s="227">
        <f t="shared" si="56"/>
        <v>140.01338548239104</v>
      </c>
      <c r="E33" s="227">
        <f t="shared" si="56"/>
        <v>183.19737428684496</v>
      </c>
      <c r="F33" s="227">
        <f t="shared" si="56"/>
        <v>195.1390050241896</v>
      </c>
      <c r="G33" s="227">
        <f t="shared" ref="G33" si="57">G30*G28/1000</f>
        <v>223.45208686302513</v>
      </c>
      <c r="H33" s="227"/>
      <c r="I33" s="227">
        <f t="shared" ref="I33:M33" si="58">I30*I28/1000</f>
        <v>213.69595208648053</v>
      </c>
      <c r="J33" s="227">
        <f t="shared" si="58"/>
        <v>141.83401376973328</v>
      </c>
      <c r="K33" s="227">
        <f t="shared" si="58"/>
        <v>185.49038765086922</v>
      </c>
      <c r="L33" s="227">
        <f t="shared" si="58"/>
        <v>194.74490905437668</v>
      </c>
      <c r="M33" s="227">
        <f t="shared" si="58"/>
        <v>224.56631487269135</v>
      </c>
      <c r="N33" s="227"/>
      <c r="O33" s="227">
        <f t="shared" ref="O33:S33" si="59">O30*O28/1000</f>
        <v>296.34296638726977</v>
      </c>
      <c r="P33" s="227">
        <f t="shared" si="59"/>
        <v>336.65201209986776</v>
      </c>
      <c r="Q33" s="227">
        <f t="shared" si="59"/>
        <v>304.94431884681057</v>
      </c>
      <c r="R33" s="227">
        <f t="shared" si="59"/>
        <v>410.5583168894521</v>
      </c>
      <c r="S33" s="227">
        <f t="shared" si="59"/>
        <v>284.0564162993</v>
      </c>
      <c r="T33" s="227"/>
      <c r="U33" s="213" t="s">
        <v>0</v>
      </c>
      <c r="V33" s="214"/>
      <c r="W33" s="213"/>
      <c r="Y33" s="71" t="s">
        <v>54</v>
      </c>
      <c r="Z33" s="72">
        <v>50</v>
      </c>
      <c r="AA33" s="71" t="s">
        <v>27</v>
      </c>
      <c r="AB33" s="78"/>
      <c r="AC33" s="70"/>
      <c r="AD33" s="70"/>
      <c r="AE33" s="70"/>
      <c r="AF33" s="78"/>
      <c r="AG33" s="77" t="s">
        <v>256</v>
      </c>
      <c r="AH33" s="96">
        <f>503.3*SQRT((AH29/100000000)/(AH31*AH32))*1000</f>
        <v>1.2734666964710277</v>
      </c>
      <c r="AI33" s="77" t="s">
        <v>227</v>
      </c>
      <c r="AJ33" s="78"/>
      <c r="AK33" s="78"/>
      <c r="AL33" s="78"/>
      <c r="AM33" s="78"/>
      <c r="AN33" s="79"/>
    </row>
    <row r="34" spans="2:40" ht="17.399999999999999" x14ac:dyDescent="0.25">
      <c r="B34" s="213" t="s">
        <v>104</v>
      </c>
      <c r="C34" s="231">
        <f t="shared" ref="C34:F34" si="60">ROUNDUP(COS(PI()*C19/180),3)</f>
        <v>0.86699999999999999</v>
      </c>
      <c r="D34" s="231">
        <f t="shared" si="60"/>
        <v>0.86699999999999999</v>
      </c>
      <c r="E34" s="231">
        <f t="shared" si="60"/>
        <v>0.86699999999999999</v>
      </c>
      <c r="F34" s="231">
        <f t="shared" si="60"/>
        <v>0.86699999999999999</v>
      </c>
      <c r="G34" s="231">
        <f t="shared" ref="G34" si="61">ROUNDUP(COS(PI()*G19/180),3)</f>
        <v>0.86699999999999999</v>
      </c>
      <c r="H34" s="231"/>
      <c r="I34" s="231">
        <f t="shared" ref="I34:M34" si="62">ROUNDUP(COS(PI()*I19/180),3)</f>
        <v>0.86699999999999999</v>
      </c>
      <c r="J34" s="231">
        <f t="shared" si="62"/>
        <v>0.86699999999999999</v>
      </c>
      <c r="K34" s="231">
        <f t="shared" si="62"/>
        <v>0.86699999999999999</v>
      </c>
      <c r="L34" s="231">
        <f t="shared" si="62"/>
        <v>0.86699999999999999</v>
      </c>
      <c r="M34" s="231">
        <f t="shared" si="62"/>
        <v>0.86699999999999999</v>
      </c>
      <c r="N34" s="231"/>
      <c r="O34" s="231">
        <f t="shared" ref="O34:S34" si="63">ROUNDUP(COS(PI()*O19/180),3)</f>
        <v>0.86699999999999999</v>
      </c>
      <c r="P34" s="231">
        <f t="shared" si="63"/>
        <v>0.86699999999999999</v>
      </c>
      <c r="Q34" s="231">
        <f t="shared" si="63"/>
        <v>0.86699999999999999</v>
      </c>
      <c r="R34" s="231">
        <f t="shared" si="63"/>
        <v>0.86699999999999999</v>
      </c>
      <c r="S34" s="231">
        <f t="shared" si="63"/>
        <v>0.86699999999999999</v>
      </c>
      <c r="T34" s="231"/>
      <c r="U34" s="213"/>
      <c r="V34" s="214"/>
      <c r="W34" s="213"/>
      <c r="Y34" s="71" t="s">
        <v>55</v>
      </c>
      <c r="Z34" s="72">
        <v>1864</v>
      </c>
      <c r="AA34" s="71" t="s">
        <v>2</v>
      </c>
      <c r="AB34" s="78"/>
      <c r="AC34" s="74" t="s">
        <v>176</v>
      </c>
      <c r="AD34" s="432" t="s">
        <v>177</v>
      </c>
      <c r="AE34" s="432"/>
      <c r="AF34" s="78"/>
      <c r="AG34" s="77" t="s">
        <v>257</v>
      </c>
      <c r="AH34" s="91">
        <v>6126</v>
      </c>
      <c r="AI34" s="77" t="s">
        <v>227</v>
      </c>
      <c r="AJ34" s="78"/>
      <c r="AK34" s="431" t="s">
        <v>662</v>
      </c>
      <c r="AL34" s="431"/>
      <c r="AM34" s="431"/>
      <c r="AN34" s="79"/>
    </row>
    <row r="35" spans="2:40" ht="17.399999999999999" x14ac:dyDescent="0.25">
      <c r="B35" s="213" t="s">
        <v>103</v>
      </c>
      <c r="C35" s="232">
        <f t="shared" ref="C35:F35" si="64">C32/(C27*C30/1000)</f>
        <v>6.0176302501096757</v>
      </c>
      <c r="D35" s="232">
        <f t="shared" si="64"/>
        <v>4.7193491221344015</v>
      </c>
      <c r="E35" s="232">
        <f t="shared" si="64"/>
        <v>5.0188777305980796</v>
      </c>
      <c r="F35" s="232">
        <f t="shared" si="64"/>
        <v>3.2229140252592057</v>
      </c>
      <c r="G35" s="232">
        <f t="shared" ref="G35" si="65">G32/(G27*G30/1000)</f>
        <v>5.9177369082880915</v>
      </c>
      <c r="H35" s="232"/>
      <c r="I35" s="232">
        <f t="shared" ref="I35:M35" si="66">I32/(I27*I30/1000)</f>
        <v>11.107355525707156</v>
      </c>
      <c r="J35" s="232">
        <f t="shared" si="66"/>
        <v>8.6192785298660279</v>
      </c>
      <c r="K35" s="232">
        <f t="shared" si="66"/>
        <v>9.9999197851836055</v>
      </c>
      <c r="L35" s="232">
        <f t="shared" si="66"/>
        <v>5.7298225407085495</v>
      </c>
      <c r="M35" s="232">
        <f t="shared" si="66"/>
        <v>11.56757713962887</v>
      </c>
      <c r="N35" s="232"/>
      <c r="O35" s="232">
        <f t="shared" ref="O35:S35" si="67">O32/(O27*O30/1000)</f>
        <v>11.107355525707154</v>
      </c>
      <c r="P35" s="232">
        <f t="shared" si="67"/>
        <v>8.6192785298660244</v>
      </c>
      <c r="Q35" s="232">
        <f t="shared" si="67"/>
        <v>9.9999197851836019</v>
      </c>
      <c r="R35" s="232">
        <f t="shared" si="67"/>
        <v>5.7298225407085495</v>
      </c>
      <c r="S35" s="232">
        <f t="shared" si="67"/>
        <v>11.56757713962887</v>
      </c>
      <c r="T35" s="232"/>
      <c r="U35" s="213"/>
      <c r="V35" s="214"/>
      <c r="W35" s="216" t="s">
        <v>270</v>
      </c>
      <c r="Y35" s="71" t="s">
        <v>56</v>
      </c>
      <c r="Z35" s="72">
        <v>754</v>
      </c>
      <c r="AA35" s="71" t="s">
        <v>1</v>
      </c>
      <c r="AB35" s="78"/>
      <c r="AC35" s="71" t="s">
        <v>178</v>
      </c>
      <c r="AD35" s="72">
        <v>30</v>
      </c>
      <c r="AE35" s="70" t="s">
        <v>179</v>
      </c>
      <c r="AF35" s="78"/>
      <c r="AG35" s="77" t="s">
        <v>282</v>
      </c>
      <c r="AH35" s="91">
        <v>2</v>
      </c>
      <c r="AI35" s="77" t="s">
        <v>227</v>
      </c>
      <c r="AJ35" s="78"/>
      <c r="AK35" s="70" t="s">
        <v>663</v>
      </c>
      <c r="AL35" s="72">
        <v>440</v>
      </c>
      <c r="AM35" s="70" t="s">
        <v>0</v>
      </c>
      <c r="AN35" s="79"/>
    </row>
    <row r="36" spans="2:40" ht="17.399999999999999" x14ac:dyDescent="0.25">
      <c r="B36" s="213" t="s">
        <v>361</v>
      </c>
      <c r="C36" s="230">
        <f t="shared" ref="C36:F36" si="68">C32+C30*C20*C27/1000</f>
        <v>1203.026900755453</v>
      </c>
      <c r="D36" s="230">
        <f t="shared" si="68"/>
        <v>642.1501156855669</v>
      </c>
      <c r="E36" s="230">
        <f t="shared" si="68"/>
        <v>887.71483243704813</v>
      </c>
      <c r="F36" s="230">
        <f t="shared" si="68"/>
        <v>642.15599988389761</v>
      </c>
      <c r="G36" s="230">
        <f t="shared" ref="G36" si="69">G32+G30*G20*G27/1000</f>
        <v>1256.6700185786299</v>
      </c>
      <c r="H36" s="230"/>
      <c r="I36" s="230">
        <f t="shared" ref="I36:M36" si="70">I32+I30*I20*I27/1000</f>
        <v>2161.954940591324</v>
      </c>
      <c r="J36" s="230">
        <f t="shared" si="70"/>
        <v>1129.4009383522719</v>
      </c>
      <c r="K36" s="230">
        <f t="shared" si="70"/>
        <v>1698.7524276400081</v>
      </c>
      <c r="L36" s="230">
        <f t="shared" si="70"/>
        <v>1063.5404011280252</v>
      </c>
      <c r="M36" s="230">
        <f t="shared" si="70"/>
        <v>2361.4088206720071</v>
      </c>
      <c r="N36" s="230"/>
      <c r="O36" s="230">
        <f t="shared" ref="O36:S36" si="71">O32+O30*O20*O27/1000</f>
        <v>2998.0920744402774</v>
      </c>
      <c r="P36" s="230">
        <f t="shared" si="71"/>
        <v>2680.7046367668058</v>
      </c>
      <c r="Q36" s="230">
        <f t="shared" si="71"/>
        <v>2792.7317878653457</v>
      </c>
      <c r="R36" s="230">
        <f t="shared" si="71"/>
        <v>2242.1400341157814</v>
      </c>
      <c r="S36" s="230">
        <f t="shared" si="71"/>
        <v>2986.9721440542589</v>
      </c>
      <c r="T36" s="230"/>
      <c r="U36" s="213" t="s">
        <v>0</v>
      </c>
      <c r="V36" s="214"/>
      <c r="W36" s="216" t="s">
        <v>269</v>
      </c>
      <c r="Y36" s="71" t="s">
        <v>290</v>
      </c>
      <c r="Z36" s="72">
        <v>5</v>
      </c>
      <c r="AA36" s="71" t="s">
        <v>42</v>
      </c>
      <c r="AB36" s="78"/>
      <c r="AC36" s="71" t="s">
        <v>180</v>
      </c>
      <c r="AD36" s="75">
        <f>AD30*SQRT(2)*SIN(AD35*PI()/180)</f>
        <v>176.77669529663686</v>
      </c>
      <c r="AE36" s="70" t="s">
        <v>181</v>
      </c>
      <c r="AF36" s="78"/>
      <c r="AG36" s="77" t="s">
        <v>281</v>
      </c>
      <c r="AH36" s="92">
        <f>MIN(AH33,AH35)</f>
        <v>1.2734666964710277</v>
      </c>
      <c r="AI36" s="77" t="s">
        <v>227</v>
      </c>
      <c r="AJ36" s="78"/>
      <c r="AK36" s="70" t="s">
        <v>66</v>
      </c>
      <c r="AL36" s="72">
        <v>567</v>
      </c>
      <c r="AM36" s="70" t="s">
        <v>2</v>
      </c>
      <c r="AN36" s="79"/>
    </row>
    <row r="37" spans="2:40" ht="17.399999999999999" x14ac:dyDescent="0.25">
      <c r="B37" s="213"/>
      <c r="C37" s="213"/>
      <c r="D37" s="213"/>
      <c r="E37" s="213"/>
      <c r="F37" s="213"/>
      <c r="G37" s="213"/>
      <c r="H37" s="327"/>
      <c r="I37" s="327"/>
      <c r="J37" s="327"/>
      <c r="K37" s="327"/>
      <c r="L37" s="327"/>
      <c r="M37" s="327"/>
      <c r="N37" s="327"/>
      <c r="O37" s="327"/>
      <c r="P37" s="327"/>
      <c r="Q37" s="327"/>
      <c r="R37" s="327"/>
      <c r="S37" s="327"/>
      <c r="T37" s="327"/>
      <c r="U37" s="213"/>
      <c r="V37" s="214"/>
      <c r="W37" s="213"/>
      <c r="Y37" s="71" t="s">
        <v>57</v>
      </c>
      <c r="Z37" s="73">
        <f>(Z34*Z36)/(2*3.1415*Z32*(Z33/1000000))</f>
        <v>1485.5962122397345</v>
      </c>
      <c r="AA37" s="71" t="s">
        <v>58</v>
      </c>
      <c r="AB37" s="78"/>
      <c r="AC37" s="71" t="s">
        <v>182</v>
      </c>
      <c r="AD37" s="89">
        <f>AD24*AD28/AD36</f>
        <v>1095.1669827017251</v>
      </c>
      <c r="AE37" s="70" t="s">
        <v>183</v>
      </c>
      <c r="AF37" s="78"/>
      <c r="AG37" s="77" t="s">
        <v>260</v>
      </c>
      <c r="AH37" s="91">
        <v>22</v>
      </c>
      <c r="AI37" s="77" t="s">
        <v>227</v>
      </c>
      <c r="AJ37" s="78"/>
      <c r="AK37" s="70" t="s">
        <v>666</v>
      </c>
      <c r="AL37" s="90">
        <f>AL35</f>
        <v>440</v>
      </c>
      <c r="AM37" s="70" t="s">
        <v>664</v>
      </c>
      <c r="AN37" s="79"/>
    </row>
    <row r="38" spans="2:40" ht="17.399999999999999" x14ac:dyDescent="0.25">
      <c r="B38" s="213" t="s">
        <v>88</v>
      </c>
      <c r="C38" s="223">
        <v>1</v>
      </c>
      <c r="D38" s="223">
        <v>1</v>
      </c>
      <c r="E38" s="223">
        <v>1</v>
      </c>
      <c r="F38" s="223">
        <v>1</v>
      </c>
      <c r="G38" s="223">
        <v>1</v>
      </c>
      <c r="H38" s="223"/>
      <c r="I38" s="223">
        <v>1</v>
      </c>
      <c r="J38" s="223">
        <v>1</v>
      </c>
      <c r="K38" s="223">
        <v>1</v>
      </c>
      <c r="L38" s="223">
        <v>1</v>
      </c>
      <c r="M38" s="223">
        <v>1</v>
      </c>
      <c r="N38" s="223"/>
      <c r="O38" s="223">
        <v>1</v>
      </c>
      <c r="P38" s="223">
        <v>1</v>
      </c>
      <c r="Q38" s="223">
        <v>1</v>
      </c>
      <c r="R38" s="223">
        <v>1</v>
      </c>
      <c r="S38" s="223">
        <v>1</v>
      </c>
      <c r="T38" s="223"/>
      <c r="U38" s="213"/>
      <c r="V38" s="214"/>
      <c r="W38" s="213" t="s">
        <v>89</v>
      </c>
      <c r="Y38" s="71" t="s">
        <v>59</v>
      </c>
      <c r="Z38" s="73">
        <f>Z34*Z36</f>
        <v>9320</v>
      </c>
      <c r="AA38" s="71"/>
      <c r="AB38" s="78"/>
      <c r="AC38" s="70"/>
      <c r="AD38" s="70"/>
      <c r="AE38" s="70"/>
      <c r="AF38" s="78"/>
      <c r="AG38" s="77" t="s">
        <v>280</v>
      </c>
      <c r="AH38" s="92">
        <f>(PI()*(AH37/2)^2)-(PI()*(AH37/2-AH36)^2)</f>
        <v>82.920924046014932</v>
      </c>
      <c r="AI38" s="77" t="s">
        <v>253</v>
      </c>
      <c r="AJ38" s="78"/>
      <c r="AK38" s="70" t="s">
        <v>667</v>
      </c>
      <c r="AL38" s="90">
        <f>AL36*1.25</f>
        <v>708.75</v>
      </c>
      <c r="AM38" s="70" t="s">
        <v>665</v>
      </c>
      <c r="AN38" s="79"/>
    </row>
    <row r="39" spans="2:40" ht="17.399999999999999" x14ac:dyDescent="0.25">
      <c r="B39" s="213" t="s">
        <v>362</v>
      </c>
      <c r="C39" s="227">
        <f>C10/C38*4/PI()/2^0.5</f>
        <v>449.97809481532158</v>
      </c>
      <c r="D39" s="227">
        <f>D10/D38*4/PI()/2^0.5</f>
        <v>449.97809481532158</v>
      </c>
      <c r="E39" s="227">
        <f>E10/E38*4/PI()/2^0.5</f>
        <v>449.97809481532158</v>
      </c>
      <c r="F39" s="227">
        <f>F10/F38*4/PI()/2^0.5</f>
        <v>449.97809481532158</v>
      </c>
      <c r="G39" s="227">
        <f>G10/G38*4/PI()/2^0.5</f>
        <v>449.97809481532158</v>
      </c>
      <c r="H39" s="227"/>
      <c r="I39" s="227">
        <f>I10/I38*4/PI()/2^0.5</f>
        <v>449.97809481532158</v>
      </c>
      <c r="J39" s="227">
        <f>J10/J38*4/PI()/2^0.5</f>
        <v>449.97809481532158</v>
      </c>
      <c r="K39" s="227">
        <f>K10/K38*4/PI()/2^0.5</f>
        <v>449.97809481532158</v>
      </c>
      <c r="L39" s="227">
        <f>L10/L38*4/PI()/2^0.5</f>
        <v>449.97809481532158</v>
      </c>
      <c r="M39" s="227">
        <f>M10/M38*4/PI()/2^0.5</f>
        <v>449.97809481532158</v>
      </c>
      <c r="N39" s="227"/>
      <c r="O39" s="227">
        <f>O10/O38*4/PI()/2^0.5</f>
        <v>449.97809481532158</v>
      </c>
      <c r="P39" s="227">
        <f>P10/P38*4/PI()/2^0.5</f>
        <v>449.97809481532158</v>
      </c>
      <c r="Q39" s="227">
        <f>Q10/Q38*4/PI()/2^0.5</f>
        <v>449.97809481532158</v>
      </c>
      <c r="R39" s="227">
        <f>R10/R38*4/PI()/2^0.5</f>
        <v>449.97809481532158</v>
      </c>
      <c r="S39" s="227">
        <f>S10/S38*4/PI()/2^0.5</f>
        <v>449.97809481532158</v>
      </c>
      <c r="T39" s="227"/>
      <c r="U39" s="213" t="s">
        <v>0</v>
      </c>
      <c r="V39" s="214"/>
      <c r="W39" s="213" t="s">
        <v>248</v>
      </c>
      <c r="Y39" s="71" t="s">
        <v>47</v>
      </c>
      <c r="Z39" s="73">
        <f>Z37*Z38/1000</f>
        <v>13845.756698074327</v>
      </c>
      <c r="AA39" s="71" t="s">
        <v>47</v>
      </c>
      <c r="AB39" s="78"/>
      <c r="AC39" s="74" t="s">
        <v>184</v>
      </c>
      <c r="AD39" s="71"/>
      <c r="AE39" s="71"/>
      <c r="AF39" s="78"/>
      <c r="AG39" s="77" t="s">
        <v>258</v>
      </c>
      <c r="AH39" s="91">
        <v>2200</v>
      </c>
      <c r="AI39" s="69" t="s">
        <v>254</v>
      </c>
      <c r="AJ39" s="78"/>
      <c r="AK39" s="78"/>
      <c r="AL39" s="78"/>
      <c r="AM39" s="78"/>
      <c r="AN39" s="79"/>
    </row>
    <row r="40" spans="2:40" ht="17.399999999999999" x14ac:dyDescent="0.25">
      <c r="B40" s="213" t="s">
        <v>90</v>
      </c>
      <c r="C40" s="222">
        <v>2</v>
      </c>
      <c r="D40" s="222">
        <v>3</v>
      </c>
      <c r="E40" s="222">
        <v>2</v>
      </c>
      <c r="F40" s="222">
        <v>2</v>
      </c>
      <c r="G40" s="222">
        <v>2</v>
      </c>
      <c r="H40" s="328"/>
      <c r="I40" s="328">
        <v>2</v>
      </c>
      <c r="J40" s="328">
        <v>3</v>
      </c>
      <c r="K40" s="328">
        <v>2</v>
      </c>
      <c r="L40" s="328">
        <v>2</v>
      </c>
      <c r="M40" s="328">
        <v>2</v>
      </c>
      <c r="N40" s="328"/>
      <c r="O40" s="328">
        <v>1.5</v>
      </c>
      <c r="P40" s="328">
        <v>1.5</v>
      </c>
      <c r="Q40" s="328">
        <v>1.5</v>
      </c>
      <c r="R40" s="328">
        <v>1.5</v>
      </c>
      <c r="S40" s="328">
        <v>1.5</v>
      </c>
      <c r="T40" s="328"/>
      <c r="U40" s="213" t="s">
        <v>42</v>
      </c>
      <c r="V40" s="214"/>
      <c r="W40" s="213" t="s">
        <v>271</v>
      </c>
      <c r="Y40" s="71" t="s">
        <v>41</v>
      </c>
      <c r="Z40" s="90">
        <f>Z39/Z35</f>
        <v>18.363072543865155</v>
      </c>
      <c r="AA40" s="71"/>
      <c r="AB40" s="78"/>
      <c r="AC40" s="71" t="s">
        <v>185</v>
      </c>
      <c r="AD40" s="75">
        <f>AD24*AD28/AD29/1000</f>
        <v>129.06666666666669</v>
      </c>
      <c r="AE40" s="70" t="s">
        <v>181</v>
      </c>
      <c r="AF40" s="78"/>
      <c r="AG40" s="77" t="s">
        <v>649</v>
      </c>
      <c r="AH40" s="93">
        <f>AH39/AH38</f>
        <v>26.531301059539135</v>
      </c>
      <c r="AI40" s="69" t="s">
        <v>254</v>
      </c>
      <c r="AJ40" s="78"/>
      <c r="AK40" s="431" t="s">
        <v>669</v>
      </c>
      <c r="AL40" s="431"/>
      <c r="AM40" s="431"/>
      <c r="AN40" s="79"/>
    </row>
    <row r="41" spans="2:40" ht="17.399999999999999" x14ac:dyDescent="0.25">
      <c r="B41" s="213" t="s">
        <v>91</v>
      </c>
      <c r="C41" s="223">
        <f t="shared" ref="C41:F41" si="72">ROUND(C39/C40,1)</f>
        <v>225</v>
      </c>
      <c r="D41" s="223">
        <f t="shared" si="72"/>
        <v>150</v>
      </c>
      <c r="E41" s="223">
        <f t="shared" si="72"/>
        <v>225</v>
      </c>
      <c r="F41" s="223">
        <f t="shared" si="72"/>
        <v>225</v>
      </c>
      <c r="G41" s="223">
        <f t="shared" ref="G41" si="73">ROUND(G39/G40,1)</f>
        <v>225</v>
      </c>
      <c r="H41" s="223"/>
      <c r="I41" s="223">
        <f t="shared" ref="I41:M41" si="74">ROUND(I39/I40,1)</f>
        <v>225</v>
      </c>
      <c r="J41" s="223">
        <f t="shared" si="74"/>
        <v>150</v>
      </c>
      <c r="K41" s="223">
        <f t="shared" si="74"/>
        <v>225</v>
      </c>
      <c r="L41" s="223">
        <f t="shared" si="74"/>
        <v>225</v>
      </c>
      <c r="M41" s="223">
        <f t="shared" si="74"/>
        <v>225</v>
      </c>
      <c r="N41" s="223"/>
      <c r="O41" s="223">
        <f t="shared" ref="O41:S41" si="75">ROUND(O39/O40,1)</f>
        <v>300</v>
      </c>
      <c r="P41" s="223">
        <f t="shared" si="75"/>
        <v>300</v>
      </c>
      <c r="Q41" s="223">
        <f t="shared" si="75"/>
        <v>300</v>
      </c>
      <c r="R41" s="223">
        <f t="shared" si="75"/>
        <v>300</v>
      </c>
      <c r="S41" s="223">
        <f t="shared" si="75"/>
        <v>300</v>
      </c>
      <c r="T41" s="223"/>
      <c r="U41" s="213" t="s">
        <v>0</v>
      </c>
      <c r="V41" s="214"/>
      <c r="W41" s="213" t="s">
        <v>363</v>
      </c>
      <c r="Y41" s="78"/>
      <c r="Z41" s="78"/>
      <c r="AA41" s="78"/>
      <c r="AB41" s="78"/>
      <c r="AC41" s="71" t="s">
        <v>186</v>
      </c>
      <c r="AD41" s="75">
        <f>AD40/SIN(AD35*PI()/180)/SQRT(2)</f>
        <v>182.52783045028752</v>
      </c>
      <c r="AE41" s="70" t="s">
        <v>172</v>
      </c>
      <c r="AF41" s="78"/>
      <c r="AG41" s="77" t="s">
        <v>259</v>
      </c>
      <c r="AH41" s="93">
        <f>AH29/100000000*(AH39^2)/(AH38/1000000)*AH34/1000</f>
        <v>6867.5336900972161</v>
      </c>
      <c r="AI41" s="69" t="s">
        <v>255</v>
      </c>
      <c r="AJ41" s="78"/>
      <c r="AK41" s="70" t="s">
        <v>26</v>
      </c>
      <c r="AL41" s="72">
        <v>3400</v>
      </c>
      <c r="AM41" s="70" t="s">
        <v>27</v>
      </c>
      <c r="AN41" s="79"/>
    </row>
    <row r="42" spans="2:40" ht="17.399999999999999" x14ac:dyDescent="0.25">
      <c r="B42" s="213"/>
      <c r="C42" s="213"/>
      <c r="D42" s="213"/>
      <c r="E42" s="213"/>
      <c r="F42" s="213"/>
      <c r="G42" s="213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213"/>
      <c r="V42" s="214"/>
      <c r="W42" s="213"/>
      <c r="Y42" s="430" t="s">
        <v>240</v>
      </c>
      <c r="Z42" s="430"/>
      <c r="AA42" s="430"/>
      <c r="AB42" s="78"/>
      <c r="AC42" s="71" t="s">
        <v>175</v>
      </c>
      <c r="AD42" s="89">
        <f>AD41*AD31</f>
        <v>182.52783045028752</v>
      </c>
      <c r="AE42" s="70" t="s">
        <v>172</v>
      </c>
      <c r="AF42" s="78"/>
      <c r="AG42" s="78"/>
      <c r="AH42" s="78"/>
      <c r="AI42" s="78"/>
      <c r="AJ42" s="78"/>
      <c r="AK42" s="70" t="s">
        <v>28</v>
      </c>
      <c r="AL42" s="72">
        <v>3800</v>
      </c>
      <c r="AM42" s="70" t="s">
        <v>15</v>
      </c>
      <c r="AN42" s="79"/>
    </row>
    <row r="43" spans="2:40" ht="17.399999999999999" x14ac:dyDescent="0.25">
      <c r="B43" s="213" t="s">
        <v>74</v>
      </c>
      <c r="C43" s="232">
        <f t="shared" ref="C43:F43" si="76">C33/C41*100</f>
        <v>93.632820788737845</v>
      </c>
      <c r="D43" s="232">
        <f t="shared" si="76"/>
        <v>93.342256988260701</v>
      </c>
      <c r="E43" s="232">
        <f t="shared" si="76"/>
        <v>81.421055238597759</v>
      </c>
      <c r="F43" s="232">
        <f t="shared" si="76"/>
        <v>86.728446677417608</v>
      </c>
      <c r="G43" s="232">
        <f t="shared" ref="G43" si="77">G33/G41*100</f>
        <v>99.312038605788942</v>
      </c>
      <c r="H43" s="232"/>
      <c r="I43" s="232">
        <f t="shared" ref="I43:M43" si="78">I33/I41*100</f>
        <v>94.975978705102463</v>
      </c>
      <c r="J43" s="232">
        <f t="shared" si="78"/>
        <v>94.556009179822183</v>
      </c>
      <c r="K43" s="232">
        <f t="shared" si="78"/>
        <v>82.44017228927521</v>
      </c>
      <c r="L43" s="232">
        <f t="shared" si="78"/>
        <v>86.553292913056296</v>
      </c>
      <c r="M43" s="232">
        <f t="shared" si="78"/>
        <v>99.807251054529488</v>
      </c>
      <c r="N43" s="232"/>
      <c r="O43" s="232">
        <f t="shared" ref="O43:S43" si="79">O33/O41*100</f>
        <v>98.780988795756585</v>
      </c>
      <c r="P43" s="232">
        <f t="shared" si="79"/>
        <v>112.21733736662259</v>
      </c>
      <c r="Q43" s="232">
        <f t="shared" si="79"/>
        <v>101.64810628227019</v>
      </c>
      <c r="R43" s="232">
        <f t="shared" si="79"/>
        <v>136.85277229648403</v>
      </c>
      <c r="S43" s="232">
        <f t="shared" si="79"/>
        <v>94.68547209976667</v>
      </c>
      <c r="T43" s="232"/>
      <c r="U43" s="213" t="s">
        <v>7</v>
      </c>
      <c r="V43" s="214"/>
      <c r="W43" s="217" t="s">
        <v>277</v>
      </c>
      <c r="Y43" s="86" t="s">
        <v>18</v>
      </c>
      <c r="Z43" s="87">
        <v>40</v>
      </c>
      <c r="AA43" s="86" t="s">
        <v>266</v>
      </c>
      <c r="AB43" s="78"/>
      <c r="AC43" s="71" t="s">
        <v>187</v>
      </c>
      <c r="AD43" s="75">
        <f>AD42/AD32*100</f>
        <v>73.011132180115013</v>
      </c>
      <c r="AE43" s="76" t="s">
        <v>188</v>
      </c>
      <c r="AF43" s="78"/>
      <c r="AG43" s="431" t="s">
        <v>648</v>
      </c>
      <c r="AH43" s="431"/>
      <c r="AI43" s="431"/>
      <c r="AJ43" s="78"/>
      <c r="AK43" s="70" t="s">
        <v>29</v>
      </c>
      <c r="AL43" s="90">
        <f>1/(2*3.14*SQRT((AL41/1000000)*(AL42/1000000)))</f>
        <v>44.300548095116021</v>
      </c>
      <c r="AM43" s="70" t="s">
        <v>30</v>
      </c>
      <c r="AN43" s="79"/>
    </row>
    <row r="44" spans="2:40" ht="17.399999999999999" x14ac:dyDescent="0.25">
      <c r="B44" s="213"/>
      <c r="C44" s="213"/>
      <c r="D44" s="213"/>
      <c r="E44" s="213"/>
      <c r="F44" s="213"/>
      <c r="G44" s="213"/>
      <c r="H44" s="327"/>
      <c r="I44" s="327"/>
      <c r="J44" s="327"/>
      <c r="K44" s="327"/>
      <c r="L44" s="327"/>
      <c r="M44" s="327"/>
      <c r="N44" s="327"/>
      <c r="O44" s="327"/>
      <c r="P44" s="327"/>
      <c r="Q44" s="327"/>
      <c r="R44" s="327"/>
      <c r="S44" s="327"/>
      <c r="T44" s="327"/>
      <c r="U44" s="213"/>
      <c r="V44" s="214"/>
      <c r="W44" s="213"/>
      <c r="Y44" s="86" t="s">
        <v>102</v>
      </c>
      <c r="Z44" s="87">
        <v>127</v>
      </c>
      <c r="AA44" s="86" t="s">
        <v>2</v>
      </c>
      <c r="AB44" s="78"/>
      <c r="AC44" s="71" t="s">
        <v>189</v>
      </c>
      <c r="AD44" s="75">
        <f>AD43*AD43/100</f>
        <v>53.306254222222258</v>
      </c>
      <c r="AE44" s="76" t="s">
        <v>188</v>
      </c>
      <c r="AF44" s="78"/>
      <c r="AG44" s="70" t="s">
        <v>213</v>
      </c>
      <c r="AH44" s="68" t="s">
        <v>214</v>
      </c>
      <c r="AI44" s="68"/>
      <c r="AJ44" s="78"/>
      <c r="AK44" s="78"/>
      <c r="AL44" s="78"/>
      <c r="AM44" s="78"/>
      <c r="AN44" s="79"/>
    </row>
    <row r="45" spans="2:40" ht="17.399999999999999" x14ac:dyDescent="0.25">
      <c r="B45" s="213" t="s">
        <v>92</v>
      </c>
      <c r="C45" s="230">
        <f t="shared" ref="C45:F45" si="80">C30/C40</f>
        <v>570.18304875864351</v>
      </c>
      <c r="D45" s="230">
        <f t="shared" si="80"/>
        <v>195.23565102323005</v>
      </c>
      <c r="E45" s="230">
        <f t="shared" si="80"/>
        <v>466.55630494225011</v>
      </c>
      <c r="F45" s="230">
        <f t="shared" si="80"/>
        <v>266.35448577540143</v>
      </c>
      <c r="G45" s="230">
        <f t="shared" ref="G45" si="81">G30/G40</f>
        <v>646.12595313954864</v>
      </c>
      <c r="H45" s="230"/>
      <c r="I45" s="230">
        <f t="shared" ref="I45:M45" si="82">I30/I40</f>
        <v>562.11947430372868</v>
      </c>
      <c r="J45" s="230">
        <f t="shared" si="82"/>
        <v>192.72954166692583</v>
      </c>
      <c r="K45" s="230">
        <f t="shared" si="82"/>
        <v>460.78878320783008</v>
      </c>
      <c r="L45" s="230">
        <f t="shared" si="82"/>
        <v>266.89349462495466</v>
      </c>
      <c r="M45" s="230">
        <f t="shared" si="82"/>
        <v>642.92007769394286</v>
      </c>
      <c r="N45" s="230"/>
      <c r="O45" s="230">
        <f t="shared" ref="O45:S45" si="83">O30/O40</f>
        <v>1039.359275661003</v>
      </c>
      <c r="P45" s="230">
        <f t="shared" si="83"/>
        <v>914.91154016966232</v>
      </c>
      <c r="Q45" s="230">
        <f t="shared" si="83"/>
        <v>1010.0427909471346</v>
      </c>
      <c r="R45" s="230">
        <f t="shared" si="83"/>
        <v>750.21452061934542</v>
      </c>
      <c r="S45" s="230">
        <f t="shared" si="83"/>
        <v>1084.3156261148131</v>
      </c>
      <c r="T45" s="230"/>
      <c r="U45" s="213" t="s">
        <v>2</v>
      </c>
      <c r="V45" s="214"/>
      <c r="W45" s="216" t="s">
        <v>272</v>
      </c>
      <c r="Y45" s="86" t="s">
        <v>44</v>
      </c>
      <c r="Z45" s="87">
        <v>401</v>
      </c>
      <c r="AA45" s="86" t="s">
        <v>0</v>
      </c>
      <c r="AB45" s="78"/>
      <c r="AC45" s="78"/>
      <c r="AD45" s="78"/>
      <c r="AE45" s="78"/>
      <c r="AF45" s="78"/>
      <c r="AG45" s="77" t="s">
        <v>215</v>
      </c>
      <c r="AH45" s="80">
        <v>1.75</v>
      </c>
      <c r="AI45" s="77" t="s">
        <v>216</v>
      </c>
      <c r="AJ45" s="78"/>
      <c r="AK45" s="431" t="s">
        <v>700</v>
      </c>
      <c r="AL45" s="431"/>
      <c r="AM45" s="431"/>
      <c r="AN45" s="79"/>
    </row>
    <row r="46" spans="2:40" ht="17.399999999999999" x14ac:dyDescent="0.25">
      <c r="B46" s="213" t="s">
        <v>93</v>
      </c>
      <c r="C46" s="227">
        <f t="shared" ref="C46:F46" si="84">ROUND(C45*2^0.5*2/PI(),0)</f>
        <v>513</v>
      </c>
      <c r="D46" s="227">
        <f t="shared" si="84"/>
        <v>176</v>
      </c>
      <c r="E46" s="227">
        <f t="shared" si="84"/>
        <v>420</v>
      </c>
      <c r="F46" s="227">
        <f t="shared" si="84"/>
        <v>240</v>
      </c>
      <c r="G46" s="227">
        <f t="shared" ref="G46" si="85">ROUND(G45*2^0.5*2/PI(),0)</f>
        <v>582</v>
      </c>
      <c r="H46" s="227"/>
      <c r="I46" s="227">
        <f t="shared" ref="I46:M46" si="86">ROUND(I45*2^0.5*2/PI(),0)</f>
        <v>506</v>
      </c>
      <c r="J46" s="227">
        <f t="shared" si="86"/>
        <v>174</v>
      </c>
      <c r="K46" s="227">
        <f t="shared" si="86"/>
        <v>415</v>
      </c>
      <c r="L46" s="227">
        <f t="shared" si="86"/>
        <v>240</v>
      </c>
      <c r="M46" s="227">
        <f t="shared" si="86"/>
        <v>579</v>
      </c>
      <c r="N46" s="227"/>
      <c r="O46" s="227">
        <f t="shared" ref="O46:S46" si="87">ROUND(O45*2^0.5*2/PI(),0)</f>
        <v>936</v>
      </c>
      <c r="P46" s="227">
        <f t="shared" si="87"/>
        <v>824</v>
      </c>
      <c r="Q46" s="227">
        <f t="shared" si="87"/>
        <v>909</v>
      </c>
      <c r="R46" s="227">
        <f t="shared" si="87"/>
        <v>675</v>
      </c>
      <c r="S46" s="227">
        <f t="shared" si="87"/>
        <v>976</v>
      </c>
      <c r="T46" s="227"/>
      <c r="U46" s="213" t="s">
        <v>2</v>
      </c>
      <c r="V46" s="214"/>
      <c r="W46" s="213"/>
      <c r="Y46" s="86" t="s">
        <v>625</v>
      </c>
      <c r="Z46" s="87">
        <v>1</v>
      </c>
      <c r="AA46" s="86"/>
      <c r="AB46" s="78"/>
      <c r="AC46" s="431" t="s">
        <v>252</v>
      </c>
      <c r="AD46" s="431"/>
      <c r="AE46" s="431"/>
      <c r="AF46" s="78"/>
      <c r="AG46" s="77" t="s">
        <v>217</v>
      </c>
      <c r="AH46" s="81">
        <v>3.8999999999999998E-3</v>
      </c>
      <c r="AI46" s="77" t="s">
        <v>218</v>
      </c>
      <c r="AJ46" s="78"/>
      <c r="AK46" s="70" t="s">
        <v>702</v>
      </c>
      <c r="AL46" s="72">
        <v>852</v>
      </c>
      <c r="AM46" s="70" t="s">
        <v>49</v>
      </c>
      <c r="AN46" s="79"/>
    </row>
    <row r="47" spans="2:40" ht="17.399999999999999" x14ac:dyDescent="0.25">
      <c r="B47" s="213" t="s">
        <v>94</v>
      </c>
      <c r="C47" s="227">
        <f t="shared" ref="C47:F47" si="88">C46/C38</f>
        <v>513</v>
      </c>
      <c r="D47" s="227">
        <f t="shared" si="88"/>
        <v>176</v>
      </c>
      <c r="E47" s="227">
        <f t="shared" si="88"/>
        <v>420</v>
      </c>
      <c r="F47" s="227">
        <f t="shared" si="88"/>
        <v>240</v>
      </c>
      <c r="G47" s="227">
        <f t="shared" ref="G47" si="89">G46/G38</f>
        <v>582</v>
      </c>
      <c r="H47" s="227"/>
      <c r="I47" s="227">
        <f t="shared" ref="I47:M47" si="90">I46/I38</f>
        <v>506</v>
      </c>
      <c r="J47" s="227">
        <f t="shared" si="90"/>
        <v>174</v>
      </c>
      <c r="K47" s="227">
        <f t="shared" si="90"/>
        <v>415</v>
      </c>
      <c r="L47" s="227">
        <f t="shared" si="90"/>
        <v>240</v>
      </c>
      <c r="M47" s="227">
        <f t="shared" si="90"/>
        <v>579</v>
      </c>
      <c r="N47" s="227"/>
      <c r="O47" s="227">
        <f t="shared" ref="O47:S47" si="91">O46/O38</f>
        <v>936</v>
      </c>
      <c r="P47" s="227">
        <f t="shared" si="91"/>
        <v>824</v>
      </c>
      <c r="Q47" s="227">
        <f t="shared" si="91"/>
        <v>909</v>
      </c>
      <c r="R47" s="227">
        <f t="shared" si="91"/>
        <v>675</v>
      </c>
      <c r="S47" s="227">
        <f t="shared" si="91"/>
        <v>976</v>
      </c>
      <c r="T47" s="227"/>
      <c r="U47" s="213" t="s">
        <v>2</v>
      </c>
      <c r="V47" s="214"/>
      <c r="W47" s="213"/>
      <c r="Y47" s="86" t="s">
        <v>58</v>
      </c>
      <c r="Z47" s="88">
        <f>Z45*0.9/Z46</f>
        <v>360.90000000000003</v>
      </c>
      <c r="AA47" s="86" t="s">
        <v>0</v>
      </c>
      <c r="AB47" s="78"/>
      <c r="AC47" s="71" t="s">
        <v>157</v>
      </c>
      <c r="AD47" s="72">
        <v>3.2</v>
      </c>
      <c r="AE47" s="71" t="s">
        <v>158</v>
      </c>
      <c r="AF47" s="78"/>
      <c r="AG47" s="77" t="s">
        <v>219</v>
      </c>
      <c r="AH47" s="82">
        <v>45</v>
      </c>
      <c r="AI47" s="77" t="s">
        <v>48</v>
      </c>
      <c r="AJ47" s="78"/>
      <c r="AK47" s="70" t="s">
        <v>37</v>
      </c>
      <c r="AL47" s="72">
        <v>28.43</v>
      </c>
      <c r="AM47" s="70" t="s">
        <v>4</v>
      </c>
      <c r="AN47" s="79"/>
    </row>
    <row r="48" spans="2:40" ht="17.399999999999999" x14ac:dyDescent="0.25">
      <c r="B48" s="213" t="s">
        <v>95</v>
      </c>
      <c r="C48" s="228">
        <f>ROUND(C47/C11,3)</f>
        <v>1.2330000000000001</v>
      </c>
      <c r="D48" s="228">
        <f>ROUND(D47/D11,3)</f>
        <v>1.2390000000000001</v>
      </c>
      <c r="E48" s="228">
        <f>ROUND(E47/E11,3)</f>
        <v>1.4179999999999999</v>
      </c>
      <c r="F48" s="228">
        <f>ROUND(F47/F11,3)</f>
        <v>1.333</v>
      </c>
      <c r="G48" s="228">
        <f>ROUND(G47/G11,3)</f>
        <v>1.1639999999999999</v>
      </c>
      <c r="H48" s="228"/>
      <c r="I48" s="228">
        <f>ROUND(I47/I11,3)</f>
        <v>1.216</v>
      </c>
      <c r="J48" s="228">
        <f>ROUND(J47/J11,3)</f>
        <v>1.224</v>
      </c>
      <c r="K48" s="228">
        <f>ROUND(K47/K11,3)</f>
        <v>1.4019999999999999</v>
      </c>
      <c r="L48" s="228">
        <f>ROUND(L47/L11,3)</f>
        <v>1.333</v>
      </c>
      <c r="M48" s="228">
        <f>ROUND(M47/M11,3)</f>
        <v>1.1579999999999999</v>
      </c>
      <c r="N48" s="228"/>
      <c r="O48" s="228">
        <f>ROUND(O47/O11,3)</f>
        <v>1.17</v>
      </c>
      <c r="P48" s="228">
        <f>ROUND(P47/P11,3)</f>
        <v>1.03</v>
      </c>
      <c r="Q48" s="228">
        <f>ROUND(Q47/Q11,3)</f>
        <v>1.1359999999999999</v>
      </c>
      <c r="R48" s="228">
        <f>ROUND(R47/R11,3)</f>
        <v>0.84299999999999997</v>
      </c>
      <c r="S48" s="228">
        <f>ROUND(S47/S11,3)</f>
        <v>1.22</v>
      </c>
      <c r="T48" s="228"/>
      <c r="U48" s="213"/>
      <c r="V48" s="214"/>
      <c r="W48" s="213"/>
      <c r="Y48" s="86" t="s">
        <v>267</v>
      </c>
      <c r="Z48" s="88">
        <f>(Z43*1000)/(Z44*Z45*0.9/Z46)</f>
        <v>0.87270886650390644</v>
      </c>
      <c r="AA48" s="86"/>
      <c r="AB48" s="78"/>
      <c r="AC48" s="71" t="s">
        <v>161</v>
      </c>
      <c r="AD48" s="72">
        <v>100</v>
      </c>
      <c r="AE48" s="71" t="s">
        <v>162</v>
      </c>
      <c r="AF48" s="78"/>
      <c r="AG48" s="77" t="s">
        <v>220</v>
      </c>
      <c r="AH48" s="81">
        <f>AH45*(1+AH46*(AH47-20))</f>
        <v>1.9206249999999998</v>
      </c>
      <c r="AI48" s="77" t="s">
        <v>216</v>
      </c>
      <c r="AJ48" s="78"/>
      <c r="AK48" s="70" t="s">
        <v>703</v>
      </c>
      <c r="AL48" s="72">
        <v>5511</v>
      </c>
      <c r="AM48" s="70" t="s">
        <v>2</v>
      </c>
      <c r="AN48" s="79"/>
    </row>
    <row r="49" spans="2:40" ht="17.399999999999999" x14ac:dyDescent="0.25"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Y49" s="86" t="s">
        <v>268</v>
      </c>
      <c r="Z49" s="237">
        <f>DEGREES(ACOS(Z48))</f>
        <v>29.225030363895115</v>
      </c>
      <c r="AA49" s="86"/>
      <c r="AB49" s="78"/>
      <c r="AC49" s="71" t="s">
        <v>164</v>
      </c>
      <c r="AD49" s="72">
        <v>100</v>
      </c>
      <c r="AE49" s="71" t="s">
        <v>165</v>
      </c>
      <c r="AF49" s="78"/>
      <c r="AG49" s="77" t="s">
        <v>221</v>
      </c>
      <c r="AH49" s="83">
        <f>1/(AH48/100000000)</f>
        <v>52066384.64041654</v>
      </c>
      <c r="AI49" s="77" t="s">
        <v>222</v>
      </c>
      <c r="AJ49" s="78"/>
      <c r="AK49" s="70" t="s">
        <v>701</v>
      </c>
      <c r="AL49" s="90">
        <f>(AL46)/(2*3.14*AL47*1000*AL48)*1000000</f>
        <v>0.8659098508059645</v>
      </c>
      <c r="AM49" s="70" t="s">
        <v>704</v>
      </c>
      <c r="AN49" s="79"/>
    </row>
    <row r="50" spans="2:40" ht="17.399999999999999" x14ac:dyDescent="0.25">
      <c r="B50" s="211" t="s">
        <v>366</v>
      </c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Y50" s="78"/>
      <c r="Z50" s="78"/>
      <c r="AA50" s="78"/>
      <c r="AB50" s="78"/>
      <c r="AC50" s="71" t="s">
        <v>167</v>
      </c>
      <c r="AD50" s="90">
        <f>AD47*AD48/AD49</f>
        <v>3.2</v>
      </c>
      <c r="AE50" s="71" t="s">
        <v>168</v>
      </c>
      <c r="AF50" s="78"/>
      <c r="AG50" s="77" t="s">
        <v>223</v>
      </c>
      <c r="AH50" s="68">
        <v>1</v>
      </c>
      <c r="AI50" s="77" t="s">
        <v>224</v>
      </c>
      <c r="AJ50" s="78"/>
      <c r="AK50" s="78"/>
      <c r="AL50" s="78"/>
      <c r="AM50" s="78"/>
      <c r="AN50" s="79"/>
    </row>
    <row r="51" spans="2:40" ht="17.399999999999999" x14ac:dyDescent="0.4">
      <c r="B51" s="97" t="s">
        <v>350</v>
      </c>
      <c r="C51" s="99">
        <v>1</v>
      </c>
      <c r="D51" s="99">
        <v>1</v>
      </c>
      <c r="E51" s="99">
        <v>1</v>
      </c>
      <c r="F51" s="99">
        <v>1</v>
      </c>
      <c r="G51" s="99">
        <v>1</v>
      </c>
      <c r="H51" s="331"/>
      <c r="I51" s="331">
        <v>1</v>
      </c>
      <c r="J51" s="331">
        <v>1</v>
      </c>
      <c r="K51" s="331">
        <v>1</v>
      </c>
      <c r="L51" s="331">
        <v>1</v>
      </c>
      <c r="M51" s="331">
        <v>1</v>
      </c>
      <c r="N51" s="331"/>
      <c r="O51" s="331">
        <v>1</v>
      </c>
      <c r="P51" s="331">
        <v>1</v>
      </c>
      <c r="Q51" s="331">
        <v>1</v>
      </c>
      <c r="R51" s="331">
        <v>1</v>
      </c>
      <c r="S51" s="331">
        <v>1</v>
      </c>
      <c r="T51" s="331"/>
      <c r="U51" s="97" t="s">
        <v>51</v>
      </c>
      <c r="V51" s="214">
        <v>6</v>
      </c>
      <c r="W51" s="100" t="s">
        <v>354</v>
      </c>
      <c r="Y51" s="430" t="s">
        <v>292</v>
      </c>
      <c r="Z51" s="430"/>
      <c r="AA51" s="430"/>
      <c r="AB51" s="78"/>
      <c r="AC51" s="78"/>
      <c r="AD51" s="78"/>
      <c r="AE51" s="78"/>
      <c r="AF51" s="78"/>
      <c r="AG51" s="77" t="s">
        <v>37</v>
      </c>
      <c r="AH51" s="84">
        <v>200</v>
      </c>
      <c r="AI51" s="77" t="s">
        <v>225</v>
      </c>
      <c r="AJ51" s="78"/>
      <c r="AK51" s="78"/>
      <c r="AL51" s="78"/>
      <c r="AM51" s="78" t="s">
        <v>261</v>
      </c>
      <c r="AN51" s="79"/>
    </row>
    <row r="52" spans="2:40" ht="17.399999999999999" x14ac:dyDescent="0.4">
      <c r="B52" s="97" t="s">
        <v>116</v>
      </c>
      <c r="C52" s="220">
        <f t="shared" ref="C52:F52" si="92">C45/C51</f>
        <v>570.18304875864351</v>
      </c>
      <c r="D52" s="220">
        <f t="shared" si="92"/>
        <v>195.23565102323005</v>
      </c>
      <c r="E52" s="220">
        <f t="shared" si="92"/>
        <v>466.55630494225011</v>
      </c>
      <c r="F52" s="220">
        <f t="shared" si="92"/>
        <v>266.35448577540143</v>
      </c>
      <c r="G52" s="220">
        <f t="shared" ref="G52" si="93">G45/G51</f>
        <v>646.12595313954864</v>
      </c>
      <c r="H52" s="332"/>
      <c r="I52" s="332">
        <f t="shared" ref="I52:M52" si="94">I45/I51</f>
        <v>562.11947430372868</v>
      </c>
      <c r="J52" s="332">
        <f t="shared" si="94"/>
        <v>192.72954166692583</v>
      </c>
      <c r="K52" s="332">
        <f t="shared" si="94"/>
        <v>460.78878320783008</v>
      </c>
      <c r="L52" s="332">
        <f t="shared" si="94"/>
        <v>266.89349462495466</v>
      </c>
      <c r="M52" s="332">
        <f t="shared" si="94"/>
        <v>642.92007769394286</v>
      </c>
      <c r="N52" s="332"/>
      <c r="O52" s="332">
        <f t="shared" ref="O52:S52" si="95">O45/O51</f>
        <v>1039.359275661003</v>
      </c>
      <c r="P52" s="332">
        <f t="shared" si="95"/>
        <v>914.91154016966232</v>
      </c>
      <c r="Q52" s="332">
        <f t="shared" si="95"/>
        <v>1010.0427909471346</v>
      </c>
      <c r="R52" s="332">
        <f t="shared" si="95"/>
        <v>750.21452061934542</v>
      </c>
      <c r="S52" s="332">
        <f t="shared" si="95"/>
        <v>1084.3156261148131</v>
      </c>
      <c r="T52" s="332"/>
      <c r="U52" s="97" t="s">
        <v>2</v>
      </c>
      <c r="V52" s="214"/>
      <c r="W52" s="97" t="s">
        <v>353</v>
      </c>
      <c r="Y52" s="97" t="s">
        <v>36</v>
      </c>
      <c r="Z52" s="98">
        <v>200</v>
      </c>
      <c r="AA52" s="97" t="s">
        <v>13</v>
      </c>
      <c r="AB52" s="78"/>
      <c r="AC52" s="431" t="s">
        <v>381</v>
      </c>
      <c r="AD52" s="431"/>
      <c r="AE52" s="431"/>
      <c r="AF52" s="78"/>
      <c r="AG52" s="77" t="s">
        <v>256</v>
      </c>
      <c r="AH52" s="96">
        <f>503.3*SQRT((AH48/100000000)/(AH50*AH51))*1000</f>
        <v>4.9321153073820669</v>
      </c>
      <c r="AI52" s="77" t="s">
        <v>227</v>
      </c>
      <c r="AJ52" s="78"/>
      <c r="AK52" s="78"/>
      <c r="AL52" s="78"/>
      <c r="AM52" s="78"/>
      <c r="AN52" s="79"/>
    </row>
    <row r="53" spans="2:40" ht="17.399999999999999" x14ac:dyDescent="0.4">
      <c r="B53" s="97" t="s">
        <v>8</v>
      </c>
      <c r="C53" s="203">
        <v>3.2</v>
      </c>
      <c r="D53" s="203">
        <v>3.2</v>
      </c>
      <c r="E53" s="203">
        <v>3.2</v>
      </c>
      <c r="F53" s="203">
        <v>3.2</v>
      </c>
      <c r="G53" s="203">
        <v>3.2</v>
      </c>
      <c r="H53" s="333"/>
      <c r="I53" s="333">
        <v>3.2</v>
      </c>
      <c r="J53" s="333">
        <v>3.2</v>
      </c>
      <c r="K53" s="333">
        <v>3.2</v>
      </c>
      <c r="L53" s="333">
        <v>3.2</v>
      </c>
      <c r="M53" s="333">
        <v>3.2</v>
      </c>
      <c r="N53" s="333"/>
      <c r="O53" s="333">
        <v>3.2</v>
      </c>
      <c r="P53" s="333">
        <v>3.2</v>
      </c>
      <c r="Q53" s="333">
        <v>3.2</v>
      </c>
      <c r="R53" s="333">
        <v>3.2</v>
      </c>
      <c r="S53" s="333">
        <v>3.2</v>
      </c>
      <c r="T53" s="333"/>
      <c r="U53" s="97" t="s">
        <v>45</v>
      </c>
      <c r="V53" s="214">
        <v>7</v>
      </c>
      <c r="W53" s="100" t="s">
        <v>119</v>
      </c>
      <c r="Y53" s="97" t="s">
        <v>38</v>
      </c>
      <c r="Z53" s="98">
        <v>3</v>
      </c>
      <c r="AA53" s="97" t="s">
        <v>13</v>
      </c>
      <c r="AB53" s="78"/>
      <c r="AC53" s="86" t="s">
        <v>371</v>
      </c>
      <c r="AD53" s="87">
        <v>15.4</v>
      </c>
      <c r="AE53" s="86" t="s">
        <v>13</v>
      </c>
      <c r="AF53" s="78"/>
      <c r="AG53" s="77" t="s">
        <v>257</v>
      </c>
      <c r="AH53" s="91">
        <v>16000</v>
      </c>
      <c r="AI53" s="77" t="s">
        <v>227</v>
      </c>
      <c r="AJ53" s="78"/>
      <c r="AK53" s="78"/>
      <c r="AL53" s="78"/>
      <c r="AM53" s="78"/>
      <c r="AN53" s="79"/>
    </row>
    <row r="54" spans="2:40" ht="17.399999999999999" x14ac:dyDescent="0.4">
      <c r="B54" s="97" t="s">
        <v>120</v>
      </c>
      <c r="C54" s="203">
        <v>25</v>
      </c>
      <c r="D54" s="203">
        <v>25</v>
      </c>
      <c r="E54" s="203">
        <v>25</v>
      </c>
      <c r="F54" s="203">
        <v>25</v>
      </c>
      <c r="G54" s="203">
        <v>25</v>
      </c>
      <c r="H54" s="333"/>
      <c r="I54" s="333">
        <v>25</v>
      </c>
      <c r="J54" s="333">
        <v>25</v>
      </c>
      <c r="K54" s="333">
        <v>25</v>
      </c>
      <c r="L54" s="333">
        <v>25</v>
      </c>
      <c r="M54" s="333">
        <v>25</v>
      </c>
      <c r="N54" s="333"/>
      <c r="O54" s="333">
        <v>25</v>
      </c>
      <c r="P54" s="333">
        <v>25</v>
      </c>
      <c r="Q54" s="333">
        <v>25</v>
      </c>
      <c r="R54" s="333">
        <v>25</v>
      </c>
      <c r="S54" s="333">
        <v>25</v>
      </c>
      <c r="T54" s="333"/>
      <c r="U54" s="97" t="s">
        <v>0</v>
      </c>
      <c r="V54" s="214">
        <v>8</v>
      </c>
      <c r="W54" s="100" t="s">
        <v>121</v>
      </c>
      <c r="Y54" s="97" t="s">
        <v>39</v>
      </c>
      <c r="Z54" s="98">
        <v>2000</v>
      </c>
      <c r="AA54" s="97" t="s">
        <v>13</v>
      </c>
      <c r="AB54" s="78"/>
      <c r="AC54" s="86" t="s">
        <v>372</v>
      </c>
      <c r="AD54" s="87">
        <v>2</v>
      </c>
      <c r="AE54" s="86" t="s">
        <v>13</v>
      </c>
      <c r="AF54" s="78"/>
      <c r="AG54" s="77" t="s">
        <v>282</v>
      </c>
      <c r="AH54" s="91">
        <v>6</v>
      </c>
      <c r="AI54" s="77" t="s">
        <v>227</v>
      </c>
      <c r="AJ54" s="78"/>
      <c r="AK54" s="78"/>
      <c r="AL54" s="78"/>
      <c r="AM54" s="78"/>
      <c r="AN54" s="79"/>
    </row>
    <row r="55" spans="2:40" ht="17.399999999999999" x14ac:dyDescent="0.4">
      <c r="B55" s="97" t="s">
        <v>9</v>
      </c>
      <c r="C55" s="207">
        <f t="shared" ref="C55:F55" si="96">C54*C53/1000000*C56*1000</f>
        <v>20.351521805563014</v>
      </c>
      <c r="D55" s="207">
        <f t="shared" si="96"/>
        <v>20.528492795016756</v>
      </c>
      <c r="E55" s="207">
        <f t="shared" si="96"/>
        <v>21.630232151171544</v>
      </c>
      <c r="F55" s="207">
        <f t="shared" si="96"/>
        <v>22.243916214137073</v>
      </c>
      <c r="G55" s="207">
        <f t="shared" ref="G55" si="97">G54*G53/1000000*G56*1000</f>
        <v>22.110360815588962</v>
      </c>
      <c r="H55" s="334"/>
      <c r="I55" s="334">
        <f t="shared" ref="I55:M55" si="98">I54*I53/1000000*I56*1000</f>
        <v>21.107645506190618</v>
      </c>
      <c r="J55" s="334">
        <f t="shared" si="98"/>
        <v>21.076882210749613</v>
      </c>
      <c r="K55" s="334">
        <f t="shared" si="98"/>
        <v>22.141248315850941</v>
      </c>
      <c r="L55" s="334">
        <f t="shared" si="98"/>
        <v>21.318116556910169</v>
      </c>
      <c r="M55" s="334">
        <f t="shared" si="98"/>
        <v>22.059115821257681</v>
      </c>
      <c r="N55" s="334"/>
      <c r="O55" s="334">
        <f t="shared" ref="O55:S55" si="99">O54*O53/1000000*O56*1000</f>
        <v>21.107645506190618</v>
      </c>
      <c r="P55" s="334">
        <f t="shared" si="99"/>
        <v>21.076882210749613</v>
      </c>
      <c r="Q55" s="334">
        <f t="shared" si="99"/>
        <v>22.141248315850941</v>
      </c>
      <c r="R55" s="334">
        <f t="shared" si="99"/>
        <v>21.318116556910169</v>
      </c>
      <c r="S55" s="334">
        <f t="shared" si="99"/>
        <v>22.059115821257681</v>
      </c>
      <c r="T55" s="334"/>
      <c r="U55" s="97" t="s">
        <v>6</v>
      </c>
      <c r="V55" s="214"/>
      <c r="W55" s="97"/>
      <c r="Y55" s="97" t="s">
        <v>77</v>
      </c>
      <c r="Z55" s="238">
        <f>12.5*(Z53/10)*(Z54/10)/(Z52/10)</f>
        <v>37.5</v>
      </c>
      <c r="AA55" s="97" t="s">
        <v>40</v>
      </c>
      <c r="AB55" s="78"/>
      <c r="AC55" s="86" t="s">
        <v>374</v>
      </c>
      <c r="AD55" s="88">
        <f>AD53+AD54*2</f>
        <v>19.399999999999999</v>
      </c>
      <c r="AE55" s="86" t="s">
        <v>13</v>
      </c>
      <c r="AF55" s="78"/>
      <c r="AG55" s="77" t="s">
        <v>281</v>
      </c>
      <c r="AH55" s="92">
        <f>MIN(AH52,AH54)</f>
        <v>4.9321153073820669</v>
      </c>
      <c r="AI55" s="77" t="s">
        <v>227</v>
      </c>
      <c r="AJ55" s="78"/>
      <c r="AK55" s="78"/>
      <c r="AL55" s="78"/>
      <c r="AM55" s="78"/>
      <c r="AN55" s="79"/>
    </row>
    <row r="56" spans="2:40" ht="18" customHeight="1" x14ac:dyDescent="0.4">
      <c r="B56" s="97" t="s">
        <v>118</v>
      </c>
      <c r="C56" s="220">
        <f t="shared" ref="C56:F56" si="100">C23</f>
        <v>254.39402256953764</v>
      </c>
      <c r="D56" s="220">
        <f t="shared" si="100"/>
        <v>256.60615993770944</v>
      </c>
      <c r="E56" s="220">
        <f t="shared" si="100"/>
        <v>270.37790188964425</v>
      </c>
      <c r="F56" s="220">
        <f t="shared" si="100"/>
        <v>278.04895267671338</v>
      </c>
      <c r="G56" s="220">
        <f t="shared" ref="G56" si="101">G23</f>
        <v>276.37951019486201</v>
      </c>
      <c r="H56" s="332"/>
      <c r="I56" s="332">
        <f t="shared" ref="I56:M56" si="102">I23</f>
        <v>263.84556882738269</v>
      </c>
      <c r="J56" s="332">
        <f t="shared" si="102"/>
        <v>263.46102763437017</v>
      </c>
      <c r="K56" s="332">
        <f t="shared" si="102"/>
        <v>276.76560394813674</v>
      </c>
      <c r="L56" s="332">
        <f t="shared" si="102"/>
        <v>266.4764569613771</v>
      </c>
      <c r="M56" s="332">
        <f t="shared" si="102"/>
        <v>275.73894776572098</v>
      </c>
      <c r="N56" s="332"/>
      <c r="O56" s="332">
        <f t="shared" ref="O56:S56" si="103">O23</f>
        <v>263.84556882738269</v>
      </c>
      <c r="P56" s="332">
        <f t="shared" si="103"/>
        <v>263.46102763437017</v>
      </c>
      <c r="Q56" s="332">
        <f t="shared" si="103"/>
        <v>276.76560394813674</v>
      </c>
      <c r="R56" s="332">
        <f t="shared" si="103"/>
        <v>266.4764569613771</v>
      </c>
      <c r="S56" s="332">
        <f t="shared" si="103"/>
        <v>275.73894776572098</v>
      </c>
      <c r="T56" s="332"/>
      <c r="U56" s="97" t="s">
        <v>4</v>
      </c>
      <c r="V56" s="214"/>
      <c r="W56" s="97" t="s">
        <v>117</v>
      </c>
      <c r="AC56" s="234" t="s">
        <v>375</v>
      </c>
      <c r="AD56" s="235">
        <v>8.8539999999999992E-12</v>
      </c>
      <c r="AE56" s="213"/>
      <c r="AG56" s="77" t="s">
        <v>262</v>
      </c>
      <c r="AH56" s="91">
        <v>38</v>
      </c>
      <c r="AI56" s="77" t="s">
        <v>227</v>
      </c>
    </row>
    <row r="57" spans="2:40" ht="17.399999999999999" x14ac:dyDescent="0.4">
      <c r="B57" s="97" t="s">
        <v>349</v>
      </c>
      <c r="C57" s="206">
        <f t="shared" ref="C57:F57" si="104">C52*1.414</f>
        <v>806.23883094472183</v>
      </c>
      <c r="D57" s="206">
        <f t="shared" si="104"/>
        <v>276.06321054684724</v>
      </c>
      <c r="E57" s="206">
        <f t="shared" si="104"/>
        <v>659.71061518834165</v>
      </c>
      <c r="F57" s="206">
        <f t="shared" si="104"/>
        <v>376.6252428864176</v>
      </c>
      <c r="G57" s="206">
        <f t="shared" ref="G57" si="105">G52*1.414</f>
        <v>913.6220977393217</v>
      </c>
      <c r="H57" s="335"/>
      <c r="I57" s="335">
        <f t="shared" ref="I57:M57" si="106">I52*1.414</f>
        <v>794.83693666547231</v>
      </c>
      <c r="J57" s="335">
        <f t="shared" si="106"/>
        <v>272.51957191703309</v>
      </c>
      <c r="K57" s="335">
        <f t="shared" si="106"/>
        <v>651.55533945587172</v>
      </c>
      <c r="L57" s="335">
        <f t="shared" si="106"/>
        <v>377.38740139968587</v>
      </c>
      <c r="M57" s="335">
        <f t="shared" si="106"/>
        <v>909.0889898592352</v>
      </c>
      <c r="N57" s="335"/>
      <c r="O57" s="335">
        <f t="shared" ref="O57:S57" si="107">O52*1.414</f>
        <v>1469.6540157846582</v>
      </c>
      <c r="P57" s="335">
        <f t="shared" si="107"/>
        <v>1293.6849177999025</v>
      </c>
      <c r="Q57" s="335">
        <f t="shared" si="107"/>
        <v>1428.2005063992483</v>
      </c>
      <c r="R57" s="335">
        <f t="shared" si="107"/>
        <v>1060.8033321557543</v>
      </c>
      <c r="S57" s="335">
        <f t="shared" si="107"/>
        <v>1533.2222953263456</v>
      </c>
      <c r="T57" s="335"/>
      <c r="U57" s="97" t="s">
        <v>2</v>
      </c>
      <c r="V57" s="214"/>
      <c r="W57" s="97" t="s">
        <v>355</v>
      </c>
      <c r="Y57" s="430" t="s">
        <v>367</v>
      </c>
      <c r="Z57" s="430"/>
      <c r="AA57" s="430"/>
      <c r="AC57" s="234" t="s">
        <v>376</v>
      </c>
      <c r="AD57" s="222">
        <v>2.1</v>
      </c>
      <c r="AE57" s="213" t="s">
        <v>370</v>
      </c>
      <c r="AG57" s="77" t="s">
        <v>263</v>
      </c>
      <c r="AH57" s="91">
        <v>30</v>
      </c>
      <c r="AI57" s="77" t="s">
        <v>227</v>
      </c>
    </row>
    <row r="58" spans="2:40" ht="17.399999999999999" x14ac:dyDescent="0.4">
      <c r="B58" s="97" t="s">
        <v>122</v>
      </c>
      <c r="C58" s="203">
        <v>5</v>
      </c>
      <c r="D58" s="203">
        <v>5</v>
      </c>
      <c r="E58" s="203">
        <v>5</v>
      </c>
      <c r="F58" s="203">
        <v>5</v>
      </c>
      <c r="G58" s="203">
        <v>5</v>
      </c>
      <c r="H58" s="333"/>
      <c r="I58" s="333">
        <v>5</v>
      </c>
      <c r="J58" s="333">
        <v>5</v>
      </c>
      <c r="K58" s="333">
        <v>5</v>
      </c>
      <c r="L58" s="333">
        <v>5</v>
      </c>
      <c r="M58" s="333">
        <v>5</v>
      </c>
      <c r="N58" s="333"/>
      <c r="O58" s="333">
        <v>5</v>
      </c>
      <c r="P58" s="333">
        <v>5</v>
      </c>
      <c r="Q58" s="333">
        <v>5</v>
      </c>
      <c r="R58" s="333">
        <v>5</v>
      </c>
      <c r="S58" s="333">
        <v>5</v>
      </c>
      <c r="T58" s="333"/>
      <c r="U58" s="97" t="s">
        <v>5</v>
      </c>
      <c r="V58" s="214">
        <v>9</v>
      </c>
      <c r="W58" s="100" t="s">
        <v>123</v>
      </c>
      <c r="Y58" s="97" t="s">
        <v>368</v>
      </c>
      <c r="Z58" s="98">
        <v>3000</v>
      </c>
      <c r="AA58" s="97" t="s">
        <v>52</v>
      </c>
      <c r="AC58" s="213" t="s">
        <v>377</v>
      </c>
      <c r="AD58" s="235">
        <f>2*PI()*AD56*AD57/(LN(AD55/AD53))*1000000000</f>
        <v>0.50594615125588516</v>
      </c>
      <c r="AE58" s="213" t="s">
        <v>369</v>
      </c>
      <c r="AG58" s="77" t="s">
        <v>278</v>
      </c>
      <c r="AH58" s="92">
        <f>(AH56*AH57)-((AH56-2*AH55)*(AH57-2*AH55))</f>
        <v>573.46463618271105</v>
      </c>
      <c r="AI58" s="77" t="s">
        <v>253</v>
      </c>
    </row>
    <row r="59" spans="2:40" ht="17.399999999999999" x14ac:dyDescent="0.4">
      <c r="B59" s="97" t="s">
        <v>124</v>
      </c>
      <c r="C59" s="207">
        <v>0</v>
      </c>
      <c r="D59" s="207">
        <v>0</v>
      </c>
      <c r="E59" s="207">
        <v>0</v>
      </c>
      <c r="F59" s="207">
        <v>0</v>
      </c>
      <c r="G59" s="207">
        <v>0</v>
      </c>
      <c r="H59" s="334"/>
      <c r="I59" s="334">
        <v>0</v>
      </c>
      <c r="J59" s="334">
        <v>0</v>
      </c>
      <c r="K59" s="334">
        <v>0</v>
      </c>
      <c r="L59" s="334">
        <v>0</v>
      </c>
      <c r="M59" s="334">
        <v>0</v>
      </c>
      <c r="N59" s="334"/>
      <c r="O59" s="334">
        <v>0</v>
      </c>
      <c r="P59" s="334">
        <v>0</v>
      </c>
      <c r="Q59" s="334">
        <v>0</v>
      </c>
      <c r="R59" s="334">
        <v>0</v>
      </c>
      <c r="S59" s="334">
        <v>0</v>
      </c>
      <c r="T59" s="334"/>
      <c r="U59" s="97" t="s">
        <v>5</v>
      </c>
      <c r="V59" s="214"/>
      <c r="W59" s="97"/>
      <c r="Y59" s="97" t="s">
        <v>373</v>
      </c>
      <c r="Z59" s="98">
        <v>1</v>
      </c>
      <c r="AA59" s="97" t="s">
        <v>13</v>
      </c>
      <c r="AC59" s="213" t="s">
        <v>378</v>
      </c>
      <c r="AD59" s="222">
        <v>10</v>
      </c>
      <c r="AE59" s="213" t="s">
        <v>380</v>
      </c>
      <c r="AG59" s="77" t="s">
        <v>258</v>
      </c>
      <c r="AH59" s="91">
        <v>7200</v>
      </c>
      <c r="AI59" s="69" t="s">
        <v>254</v>
      </c>
    </row>
    <row r="60" spans="2:40" ht="17.399999999999999" x14ac:dyDescent="0.4">
      <c r="B60" s="97" t="s">
        <v>125</v>
      </c>
      <c r="C60" s="207">
        <v>0</v>
      </c>
      <c r="D60" s="207">
        <v>0</v>
      </c>
      <c r="E60" s="207">
        <v>0</v>
      </c>
      <c r="F60" s="207">
        <v>0</v>
      </c>
      <c r="G60" s="207">
        <v>0</v>
      </c>
      <c r="H60" s="334"/>
      <c r="I60" s="334">
        <v>0</v>
      </c>
      <c r="J60" s="334">
        <v>0</v>
      </c>
      <c r="K60" s="334">
        <v>0</v>
      </c>
      <c r="L60" s="334">
        <v>0</v>
      </c>
      <c r="M60" s="334">
        <v>0</v>
      </c>
      <c r="N60" s="334"/>
      <c r="O60" s="334">
        <v>0</v>
      </c>
      <c r="P60" s="334">
        <v>0</v>
      </c>
      <c r="Q60" s="334">
        <v>0</v>
      </c>
      <c r="R60" s="334">
        <v>0</v>
      </c>
      <c r="S60" s="334">
        <v>0</v>
      </c>
      <c r="T60" s="334"/>
      <c r="U60" s="97" t="s">
        <v>5</v>
      </c>
      <c r="V60" s="214"/>
      <c r="W60" s="97"/>
      <c r="Y60" s="97" t="s">
        <v>376</v>
      </c>
      <c r="Z60" s="98">
        <v>2.1</v>
      </c>
      <c r="AA60" s="97" t="s">
        <v>370</v>
      </c>
      <c r="AB60" s="3"/>
      <c r="AC60" s="213" t="s">
        <v>379</v>
      </c>
      <c r="AD60" s="236">
        <f>AD58*AD59</f>
        <v>5.0594615125588511</v>
      </c>
      <c r="AE60" s="213" t="s">
        <v>369</v>
      </c>
      <c r="AG60" s="77" t="s">
        <v>649</v>
      </c>
      <c r="AH60" s="93">
        <f>AH59/AH58</f>
        <v>12.555264170999402</v>
      </c>
      <c r="AI60" s="69" t="s">
        <v>254</v>
      </c>
    </row>
    <row r="61" spans="2:40" ht="17.399999999999999" x14ac:dyDescent="0.4">
      <c r="B61" s="97" t="s">
        <v>126</v>
      </c>
      <c r="C61" s="204">
        <f t="shared" ref="C61:F61" si="108">C58*C56+C59*C56</f>
        <v>1271.9701128476881</v>
      </c>
      <c r="D61" s="204">
        <f t="shared" si="108"/>
        <v>1283.0307996885472</v>
      </c>
      <c r="E61" s="204">
        <f t="shared" si="108"/>
        <v>1351.8895094482214</v>
      </c>
      <c r="F61" s="204">
        <f t="shared" si="108"/>
        <v>1390.2447633835668</v>
      </c>
      <c r="G61" s="204">
        <f t="shared" ref="G61" si="109">G58*G56+G59*G56</f>
        <v>1381.89755097431</v>
      </c>
      <c r="H61" s="336"/>
      <c r="I61" s="336">
        <f t="shared" ref="I61:M61" si="110">I58*I56+I59*I56</f>
        <v>1319.2278441369135</v>
      </c>
      <c r="J61" s="336">
        <f t="shared" si="110"/>
        <v>1317.3051381718508</v>
      </c>
      <c r="K61" s="336">
        <f t="shared" si="110"/>
        <v>1383.8280197406837</v>
      </c>
      <c r="L61" s="336">
        <f t="shared" si="110"/>
        <v>1332.3822848068855</v>
      </c>
      <c r="M61" s="336">
        <f t="shared" si="110"/>
        <v>1378.6947388286048</v>
      </c>
      <c r="N61" s="336"/>
      <c r="O61" s="336">
        <f t="shared" ref="O61:S61" si="111">O58*O56+O59*O56</f>
        <v>1319.2278441369135</v>
      </c>
      <c r="P61" s="336">
        <f t="shared" si="111"/>
        <v>1317.3051381718508</v>
      </c>
      <c r="Q61" s="336">
        <f t="shared" si="111"/>
        <v>1383.8280197406837</v>
      </c>
      <c r="R61" s="336">
        <f t="shared" si="111"/>
        <v>1332.3822848068855</v>
      </c>
      <c r="S61" s="336">
        <f t="shared" si="111"/>
        <v>1378.6947388286048</v>
      </c>
      <c r="T61" s="336"/>
      <c r="U61" s="97" t="s">
        <v>6</v>
      </c>
      <c r="V61" s="214"/>
      <c r="W61" s="97"/>
      <c r="Y61" s="97" t="s">
        <v>78</v>
      </c>
      <c r="Z61" s="238">
        <f>8.854/1000000000000*Z60*(Z58/1000000)/(Z59/1000)*1000000000</f>
        <v>5.5780200000000002E-2</v>
      </c>
      <c r="AA61" s="97" t="s">
        <v>369</v>
      </c>
      <c r="AG61" s="77" t="s">
        <v>259</v>
      </c>
      <c r="AH61" s="93">
        <f>AH48/100000000*(AH59^2)/(AH58/1000000)*AH53/1000</f>
        <v>27779.275294186435</v>
      </c>
      <c r="AI61" s="69" t="s">
        <v>255</v>
      </c>
    </row>
    <row r="62" spans="2:40" ht="17.399999999999999" x14ac:dyDescent="0.4">
      <c r="B62" s="97" t="s">
        <v>127</v>
      </c>
      <c r="C62" s="207">
        <f t="shared" ref="C62:F62" si="112">C56*C60</f>
        <v>0</v>
      </c>
      <c r="D62" s="207">
        <f t="shared" si="112"/>
        <v>0</v>
      </c>
      <c r="E62" s="207">
        <f t="shared" si="112"/>
        <v>0</v>
      </c>
      <c r="F62" s="207">
        <f t="shared" si="112"/>
        <v>0</v>
      </c>
      <c r="G62" s="207">
        <f t="shared" ref="G62" si="113">G56*G60</f>
        <v>0</v>
      </c>
      <c r="H62" s="334"/>
      <c r="I62" s="334">
        <f t="shared" ref="I62:M62" si="114">I56*I60</f>
        <v>0</v>
      </c>
      <c r="J62" s="334">
        <f t="shared" si="114"/>
        <v>0</v>
      </c>
      <c r="K62" s="334">
        <f t="shared" si="114"/>
        <v>0</v>
      </c>
      <c r="L62" s="334">
        <f t="shared" si="114"/>
        <v>0</v>
      </c>
      <c r="M62" s="334">
        <f t="shared" si="114"/>
        <v>0</v>
      </c>
      <c r="N62" s="334"/>
      <c r="O62" s="334">
        <f t="shared" ref="O62:S62" si="115">O56*O60</f>
        <v>0</v>
      </c>
      <c r="P62" s="334">
        <f t="shared" si="115"/>
        <v>0</v>
      </c>
      <c r="Q62" s="334">
        <f t="shared" si="115"/>
        <v>0</v>
      </c>
      <c r="R62" s="334">
        <f t="shared" si="115"/>
        <v>0</v>
      </c>
      <c r="S62" s="334">
        <f t="shared" si="115"/>
        <v>0</v>
      </c>
      <c r="T62" s="334"/>
      <c r="U62" s="97" t="s">
        <v>6</v>
      </c>
      <c r="V62" s="214"/>
      <c r="W62" s="97"/>
    </row>
    <row r="63" spans="2:40" ht="17.399999999999999" x14ac:dyDescent="0.4">
      <c r="B63" s="97" t="s">
        <v>128</v>
      </c>
      <c r="C63" s="203">
        <v>100</v>
      </c>
      <c r="D63" s="203">
        <v>100</v>
      </c>
      <c r="E63" s="203">
        <v>100</v>
      </c>
      <c r="F63" s="203">
        <v>100</v>
      </c>
      <c r="G63" s="203">
        <v>100</v>
      </c>
      <c r="H63" s="333"/>
      <c r="I63" s="333">
        <v>100</v>
      </c>
      <c r="J63" s="333">
        <v>100</v>
      </c>
      <c r="K63" s="333">
        <v>100</v>
      </c>
      <c r="L63" s="333">
        <v>100</v>
      </c>
      <c r="M63" s="333">
        <v>100</v>
      </c>
      <c r="N63" s="333"/>
      <c r="O63" s="333">
        <v>100</v>
      </c>
      <c r="P63" s="333">
        <v>100</v>
      </c>
      <c r="Q63" s="333">
        <v>100</v>
      </c>
      <c r="R63" s="333">
        <v>100</v>
      </c>
      <c r="S63" s="333">
        <v>100</v>
      </c>
      <c r="T63" s="333"/>
      <c r="U63" s="97" t="s">
        <v>7</v>
      </c>
      <c r="V63" s="214">
        <v>10</v>
      </c>
      <c r="W63" s="100" t="s">
        <v>129</v>
      </c>
      <c r="Y63" s="433" t="s">
        <v>626</v>
      </c>
      <c r="Z63" s="433"/>
      <c r="AA63" s="433"/>
      <c r="AB63"/>
      <c r="AG63" s="431" t="s">
        <v>645</v>
      </c>
      <c r="AH63" s="431"/>
      <c r="AI63" s="431"/>
    </row>
    <row r="64" spans="2:40" ht="17.399999999999999" x14ac:dyDescent="0.4">
      <c r="B64" s="97" t="s">
        <v>130</v>
      </c>
      <c r="C64" s="208">
        <f t="shared" ref="C64:F64" si="116">C61*C63/100</f>
        <v>1271.9701128476881</v>
      </c>
      <c r="D64" s="208">
        <f t="shared" si="116"/>
        <v>1283.0307996885472</v>
      </c>
      <c r="E64" s="208">
        <f t="shared" si="116"/>
        <v>1351.8895094482214</v>
      </c>
      <c r="F64" s="208">
        <f t="shared" si="116"/>
        <v>1390.2447633835668</v>
      </c>
      <c r="G64" s="208">
        <f t="shared" ref="G64" si="117">G61*G63/100</f>
        <v>1381.8975509743098</v>
      </c>
      <c r="H64" s="337"/>
      <c r="I64" s="337">
        <f t="shared" ref="I64:M64" si="118">I61*I63/100</f>
        <v>1319.2278441369135</v>
      </c>
      <c r="J64" s="337">
        <f t="shared" si="118"/>
        <v>1317.3051381718508</v>
      </c>
      <c r="K64" s="337">
        <f t="shared" si="118"/>
        <v>1383.8280197406837</v>
      </c>
      <c r="L64" s="337">
        <f t="shared" si="118"/>
        <v>1332.3822848068855</v>
      </c>
      <c r="M64" s="337">
        <f t="shared" si="118"/>
        <v>1378.6947388286048</v>
      </c>
      <c r="N64" s="337"/>
      <c r="O64" s="337">
        <f t="shared" ref="O64:S64" si="119">O61*O63/100</f>
        <v>1319.2278441369135</v>
      </c>
      <c r="P64" s="337">
        <f t="shared" si="119"/>
        <v>1317.3051381718508</v>
      </c>
      <c r="Q64" s="337">
        <f t="shared" si="119"/>
        <v>1383.8280197406837</v>
      </c>
      <c r="R64" s="337">
        <f t="shared" si="119"/>
        <v>1332.3822848068855</v>
      </c>
      <c r="S64" s="337">
        <f t="shared" si="119"/>
        <v>1378.6947388286048</v>
      </c>
      <c r="T64" s="337"/>
      <c r="U64" s="97" t="s">
        <v>6</v>
      </c>
      <c r="V64" s="214"/>
      <c r="W64" s="97"/>
      <c r="Y64" s="273"/>
      <c r="Z64" s="274" t="s">
        <v>618</v>
      </c>
      <c r="AA64" s="274" t="s">
        <v>619</v>
      </c>
      <c r="AB64" s="274" t="s">
        <v>620</v>
      </c>
      <c r="AG64" s="70" t="s">
        <v>213</v>
      </c>
      <c r="AH64" s="68" t="s">
        <v>214</v>
      </c>
      <c r="AI64" s="68"/>
    </row>
    <row r="65" spans="2:35" ht="17.399999999999999" x14ac:dyDescent="0.4">
      <c r="B65" s="97" t="s">
        <v>131</v>
      </c>
      <c r="C65" s="206">
        <f t="shared" ref="C65:F65" si="120">C52*0.9</f>
        <v>513.16474388277913</v>
      </c>
      <c r="D65" s="206">
        <f t="shared" si="120"/>
        <v>175.71208592090704</v>
      </c>
      <c r="E65" s="206">
        <f t="shared" si="120"/>
        <v>419.90067444802509</v>
      </c>
      <c r="F65" s="206">
        <f t="shared" si="120"/>
        <v>239.7190371978613</v>
      </c>
      <c r="G65" s="206">
        <f t="shared" ref="G65" si="121">G52*0.9</f>
        <v>581.51335782559374</v>
      </c>
      <c r="H65" s="335"/>
      <c r="I65" s="335">
        <f t="shared" ref="I65:M65" si="122">I52*0.9</f>
        <v>505.90752687335583</v>
      </c>
      <c r="J65" s="335">
        <f t="shared" si="122"/>
        <v>173.45658750023324</v>
      </c>
      <c r="K65" s="335">
        <f t="shared" si="122"/>
        <v>414.70990488704706</v>
      </c>
      <c r="L65" s="335">
        <f t="shared" si="122"/>
        <v>240.20414516245918</v>
      </c>
      <c r="M65" s="335">
        <f t="shared" si="122"/>
        <v>578.62806992454864</v>
      </c>
      <c r="N65" s="335"/>
      <c r="O65" s="335">
        <f t="shared" ref="O65:S65" si="123">O52*0.9</f>
        <v>935.42334809490274</v>
      </c>
      <c r="P65" s="335">
        <f t="shared" si="123"/>
        <v>823.4203861526961</v>
      </c>
      <c r="Q65" s="335">
        <f t="shared" si="123"/>
        <v>909.03851185242115</v>
      </c>
      <c r="R65" s="335">
        <f t="shared" si="123"/>
        <v>675.19306855741092</v>
      </c>
      <c r="S65" s="335">
        <f t="shared" si="123"/>
        <v>975.88406350333184</v>
      </c>
      <c r="T65" s="335"/>
      <c r="U65" s="97" t="s">
        <v>2</v>
      </c>
      <c r="V65" s="214"/>
      <c r="W65" s="97"/>
      <c r="Y65" s="274" t="s">
        <v>617</v>
      </c>
      <c r="Z65" s="274" t="s">
        <v>623</v>
      </c>
      <c r="AA65" s="274" t="s">
        <v>621</v>
      </c>
      <c r="AB65" s="274" t="s">
        <v>622</v>
      </c>
      <c r="AG65" s="77" t="s">
        <v>215</v>
      </c>
      <c r="AH65" s="80">
        <v>1.75</v>
      </c>
      <c r="AI65" s="77" t="s">
        <v>216</v>
      </c>
    </row>
    <row r="66" spans="2:35" ht="17.399999999999999" x14ac:dyDescent="0.4">
      <c r="B66" s="97" t="s">
        <v>132</v>
      </c>
      <c r="C66" s="203">
        <v>2</v>
      </c>
      <c r="D66" s="203">
        <v>2</v>
      </c>
      <c r="E66" s="203">
        <v>2</v>
      </c>
      <c r="F66" s="203">
        <v>2</v>
      </c>
      <c r="G66" s="203">
        <v>2</v>
      </c>
      <c r="H66" s="333"/>
      <c r="I66" s="333">
        <v>2</v>
      </c>
      <c r="J66" s="333">
        <v>2</v>
      </c>
      <c r="K66" s="333">
        <v>2</v>
      </c>
      <c r="L66" s="333">
        <v>2</v>
      </c>
      <c r="M66" s="333">
        <v>2</v>
      </c>
      <c r="N66" s="333"/>
      <c r="O66" s="333">
        <v>2</v>
      </c>
      <c r="P66" s="333">
        <v>2</v>
      </c>
      <c r="Q66" s="333">
        <v>2</v>
      </c>
      <c r="R66" s="333">
        <v>2</v>
      </c>
      <c r="S66" s="333">
        <v>2</v>
      </c>
      <c r="T66" s="333"/>
      <c r="U66" s="97" t="s">
        <v>44</v>
      </c>
      <c r="V66" s="214">
        <v>11</v>
      </c>
      <c r="W66" s="100" t="s">
        <v>133</v>
      </c>
      <c r="Y66" s="272">
        <v>0.5</v>
      </c>
      <c r="Z66" s="272"/>
      <c r="AA66" s="272">
        <v>2.5</v>
      </c>
      <c r="AB66" s="272"/>
      <c r="AG66" s="77" t="s">
        <v>217</v>
      </c>
      <c r="AH66" s="81">
        <v>3.8999999999999998E-3</v>
      </c>
      <c r="AI66" s="77" t="s">
        <v>218</v>
      </c>
    </row>
    <row r="67" spans="2:35" ht="17.399999999999999" x14ac:dyDescent="0.4">
      <c r="B67" s="97" t="s">
        <v>134</v>
      </c>
      <c r="C67" s="203">
        <v>1</v>
      </c>
      <c r="D67" s="203">
        <v>1</v>
      </c>
      <c r="E67" s="203">
        <v>1</v>
      </c>
      <c r="F67" s="203">
        <v>1</v>
      </c>
      <c r="G67" s="203">
        <v>1</v>
      </c>
      <c r="H67" s="333"/>
      <c r="I67" s="333">
        <v>1</v>
      </c>
      <c r="J67" s="333">
        <v>1</v>
      </c>
      <c r="K67" s="333">
        <v>1</v>
      </c>
      <c r="L67" s="333">
        <v>1</v>
      </c>
      <c r="M67" s="333">
        <v>1</v>
      </c>
      <c r="N67" s="333"/>
      <c r="O67" s="333">
        <v>1</v>
      </c>
      <c r="P67" s="333">
        <v>1</v>
      </c>
      <c r="Q67" s="333">
        <v>1</v>
      </c>
      <c r="R67" s="333">
        <v>1</v>
      </c>
      <c r="S67" s="333">
        <v>1</v>
      </c>
      <c r="T67" s="333"/>
      <c r="U67" s="97" t="s">
        <v>44</v>
      </c>
      <c r="V67" s="214">
        <v>12</v>
      </c>
      <c r="W67" s="100" t="s">
        <v>135</v>
      </c>
      <c r="Y67" s="272">
        <v>0.8</v>
      </c>
      <c r="Z67" s="272"/>
      <c r="AA67" s="272">
        <v>1.42</v>
      </c>
      <c r="AB67" s="272"/>
      <c r="AG67" s="77" t="s">
        <v>219</v>
      </c>
      <c r="AH67" s="82">
        <v>45</v>
      </c>
      <c r="AI67" s="77" t="s">
        <v>48</v>
      </c>
    </row>
    <row r="68" spans="2:35" ht="17.399999999999999" x14ac:dyDescent="0.4">
      <c r="B68" s="97" t="s">
        <v>74</v>
      </c>
      <c r="C68" s="207">
        <v>100</v>
      </c>
      <c r="D68" s="207">
        <v>100</v>
      </c>
      <c r="E68" s="207">
        <v>100</v>
      </c>
      <c r="F68" s="207">
        <v>100</v>
      </c>
      <c r="G68" s="207">
        <v>100</v>
      </c>
      <c r="H68" s="334"/>
      <c r="I68" s="334">
        <v>100</v>
      </c>
      <c r="J68" s="334">
        <v>100</v>
      </c>
      <c r="K68" s="334">
        <v>100</v>
      </c>
      <c r="L68" s="334">
        <v>100</v>
      </c>
      <c r="M68" s="334">
        <v>100</v>
      </c>
      <c r="N68" s="334"/>
      <c r="O68" s="334">
        <v>100</v>
      </c>
      <c r="P68" s="334">
        <v>100</v>
      </c>
      <c r="Q68" s="334">
        <v>100</v>
      </c>
      <c r="R68" s="334">
        <v>100</v>
      </c>
      <c r="S68" s="334">
        <v>100</v>
      </c>
      <c r="T68" s="334"/>
      <c r="U68" s="97" t="s">
        <v>7</v>
      </c>
      <c r="V68" s="214"/>
      <c r="W68" s="100"/>
      <c r="Y68" s="272">
        <v>1</v>
      </c>
      <c r="Z68" s="272">
        <v>2</v>
      </c>
      <c r="AA68" s="311">
        <v>1.1000000000000001</v>
      </c>
      <c r="AB68" s="272"/>
      <c r="AG68" s="77" t="s">
        <v>220</v>
      </c>
      <c r="AH68" s="81">
        <f>AH65*(1+AH66*(AH67-20))</f>
        <v>1.9206249999999998</v>
      </c>
      <c r="AI68" s="77" t="s">
        <v>216</v>
      </c>
    </row>
    <row r="69" spans="2:35" ht="17.399999999999999" x14ac:dyDescent="0.4">
      <c r="B69" s="97" t="s">
        <v>136</v>
      </c>
      <c r="C69" s="207">
        <f t="shared" ref="C69:F69" si="124">C19</f>
        <v>30</v>
      </c>
      <c r="D69" s="207">
        <f t="shared" si="124"/>
        <v>30</v>
      </c>
      <c r="E69" s="207">
        <f t="shared" si="124"/>
        <v>30</v>
      </c>
      <c r="F69" s="207">
        <f t="shared" si="124"/>
        <v>30</v>
      </c>
      <c r="G69" s="207">
        <f t="shared" ref="G69" si="125">G19</f>
        <v>30</v>
      </c>
      <c r="H69" s="334"/>
      <c r="I69" s="334">
        <f t="shared" ref="I69:M69" si="126">I19</f>
        <v>30</v>
      </c>
      <c r="J69" s="334">
        <f t="shared" si="126"/>
        <v>30</v>
      </c>
      <c r="K69" s="334">
        <f t="shared" si="126"/>
        <v>30</v>
      </c>
      <c r="L69" s="334">
        <f t="shared" si="126"/>
        <v>30</v>
      </c>
      <c r="M69" s="334">
        <f t="shared" si="126"/>
        <v>30</v>
      </c>
      <c r="N69" s="334"/>
      <c r="O69" s="334">
        <f t="shared" ref="O69:S69" si="127">O19</f>
        <v>30</v>
      </c>
      <c r="P69" s="334">
        <f t="shared" si="127"/>
        <v>30</v>
      </c>
      <c r="Q69" s="334">
        <f t="shared" si="127"/>
        <v>30</v>
      </c>
      <c r="R69" s="334">
        <f t="shared" si="127"/>
        <v>30</v>
      </c>
      <c r="S69" s="334">
        <f t="shared" si="127"/>
        <v>30</v>
      </c>
      <c r="T69" s="334"/>
      <c r="U69" s="97" t="s">
        <v>81</v>
      </c>
      <c r="V69" s="214"/>
      <c r="W69" s="97"/>
      <c r="Y69" s="272">
        <v>1.2</v>
      </c>
      <c r="Z69" s="272"/>
      <c r="AA69" s="272">
        <v>1.04</v>
      </c>
      <c r="AB69" s="272"/>
      <c r="AG69" s="77" t="s">
        <v>221</v>
      </c>
      <c r="AH69" s="83">
        <f>1/(AH68/100000000)</f>
        <v>52066384.64041654</v>
      </c>
      <c r="AI69" s="77" t="s">
        <v>222</v>
      </c>
    </row>
    <row r="70" spans="2:35" ht="17.399999999999999" x14ac:dyDescent="0.4">
      <c r="B70" s="97" t="s">
        <v>137</v>
      </c>
      <c r="C70" s="207">
        <f t="shared" ref="C70:F70" si="128">ROUNDUP((C65*C66*((C68*180/100-C69)/180))/2,0)</f>
        <v>428</v>
      </c>
      <c r="D70" s="207">
        <f t="shared" si="128"/>
        <v>147</v>
      </c>
      <c r="E70" s="207">
        <f t="shared" si="128"/>
        <v>350</v>
      </c>
      <c r="F70" s="207">
        <f t="shared" si="128"/>
        <v>200</v>
      </c>
      <c r="G70" s="207">
        <f t="shared" ref="G70" si="129">ROUNDUP((G65*G66*((G68*180/100-G69)/180))/2,0)</f>
        <v>485</v>
      </c>
      <c r="H70" s="334"/>
      <c r="I70" s="334">
        <f t="shared" ref="I70:M70" si="130">ROUNDUP((I65*I66*((I68*180/100-I69)/180))/2,0)</f>
        <v>422</v>
      </c>
      <c r="J70" s="334">
        <f t="shared" si="130"/>
        <v>145</v>
      </c>
      <c r="K70" s="334">
        <f t="shared" si="130"/>
        <v>346</v>
      </c>
      <c r="L70" s="334">
        <f t="shared" si="130"/>
        <v>201</v>
      </c>
      <c r="M70" s="334">
        <f t="shared" si="130"/>
        <v>483</v>
      </c>
      <c r="N70" s="334"/>
      <c r="O70" s="334">
        <f t="shared" ref="O70:S70" si="131">ROUNDUP((O65*O66*((O68*180/100-O69)/180))/2,0)</f>
        <v>780</v>
      </c>
      <c r="P70" s="334">
        <f t="shared" si="131"/>
        <v>687</v>
      </c>
      <c r="Q70" s="334">
        <f t="shared" si="131"/>
        <v>758</v>
      </c>
      <c r="R70" s="334">
        <f t="shared" si="131"/>
        <v>563</v>
      </c>
      <c r="S70" s="334">
        <f t="shared" si="131"/>
        <v>814</v>
      </c>
      <c r="T70" s="334"/>
      <c r="U70" s="97" t="s">
        <v>6</v>
      </c>
      <c r="V70" s="214"/>
      <c r="W70" s="97"/>
      <c r="Y70" s="272">
        <v>2</v>
      </c>
      <c r="Z70" s="272">
        <v>1.1200000000000001</v>
      </c>
      <c r="AA70" s="272">
        <v>0.75</v>
      </c>
      <c r="AB70" s="272"/>
      <c r="AG70" s="77" t="s">
        <v>223</v>
      </c>
      <c r="AH70" s="68">
        <v>1</v>
      </c>
      <c r="AI70" s="77" t="s">
        <v>224</v>
      </c>
    </row>
    <row r="71" spans="2:35" ht="17.399999999999999" x14ac:dyDescent="0.4">
      <c r="B71" s="97" t="s">
        <v>138</v>
      </c>
      <c r="C71" s="207">
        <f t="shared" ref="C71:F71" si="132">ROUNDUP((C65*C67*(1-(C68*180/100-C69)/180))/2,0)</f>
        <v>43</v>
      </c>
      <c r="D71" s="207">
        <f t="shared" si="132"/>
        <v>15</v>
      </c>
      <c r="E71" s="207">
        <f t="shared" si="132"/>
        <v>35</v>
      </c>
      <c r="F71" s="207">
        <f t="shared" si="132"/>
        <v>20</v>
      </c>
      <c r="G71" s="207">
        <f t="shared" ref="G71" si="133">ROUNDUP((G65*G67*(1-(G68*180/100-G69)/180))/2,0)</f>
        <v>49</v>
      </c>
      <c r="H71" s="334"/>
      <c r="I71" s="334">
        <f t="shared" ref="I71:M71" si="134">ROUNDUP((I65*I67*(1-(I68*180/100-I69)/180))/2,0)</f>
        <v>43</v>
      </c>
      <c r="J71" s="334">
        <f t="shared" si="134"/>
        <v>15</v>
      </c>
      <c r="K71" s="334">
        <f t="shared" si="134"/>
        <v>35</v>
      </c>
      <c r="L71" s="334">
        <f t="shared" si="134"/>
        <v>21</v>
      </c>
      <c r="M71" s="334">
        <f t="shared" si="134"/>
        <v>49</v>
      </c>
      <c r="N71" s="334"/>
      <c r="O71" s="334">
        <f t="shared" ref="O71:S71" si="135">ROUNDUP((O65*O67*(1-(O68*180/100-O69)/180))/2,0)</f>
        <v>78</v>
      </c>
      <c r="P71" s="334">
        <f t="shared" si="135"/>
        <v>69</v>
      </c>
      <c r="Q71" s="334">
        <f t="shared" si="135"/>
        <v>76</v>
      </c>
      <c r="R71" s="334">
        <f t="shared" si="135"/>
        <v>57</v>
      </c>
      <c r="S71" s="334">
        <f t="shared" si="135"/>
        <v>82</v>
      </c>
      <c r="T71" s="334"/>
      <c r="U71" s="97" t="s">
        <v>6</v>
      </c>
      <c r="V71" s="214"/>
      <c r="W71" s="97"/>
      <c r="Y71" s="272">
        <v>3</v>
      </c>
      <c r="Z71" s="272">
        <v>0.71</v>
      </c>
      <c r="AA71" s="272">
        <v>0.57999999999999996</v>
      </c>
      <c r="AB71" s="272"/>
      <c r="AG71" s="77" t="s">
        <v>257</v>
      </c>
      <c r="AH71" s="91">
        <v>6126</v>
      </c>
      <c r="AI71" s="77" t="s">
        <v>227</v>
      </c>
    </row>
    <row r="72" spans="2:35" ht="17.399999999999999" x14ac:dyDescent="0.4">
      <c r="B72" s="97" t="s">
        <v>71</v>
      </c>
      <c r="C72" s="208">
        <f t="shared" ref="C72:F72" si="136">ROUNDUP(((C65*C66*(((C68*180/100-C69)/180))+(C65*C67*(1-(C68*180/100-C69)/180))))/2,0)</f>
        <v>471</v>
      </c>
      <c r="D72" s="208">
        <f t="shared" si="136"/>
        <v>162</v>
      </c>
      <c r="E72" s="208">
        <f t="shared" si="136"/>
        <v>385</v>
      </c>
      <c r="F72" s="208">
        <f t="shared" si="136"/>
        <v>220</v>
      </c>
      <c r="G72" s="208">
        <f t="shared" ref="G72" si="137">ROUNDUP(((G65*G66*(((G68*180/100-G69)/180))+(G65*G67*(1-(G68*180/100-G69)/180))))/2,0)</f>
        <v>534</v>
      </c>
      <c r="H72" s="337"/>
      <c r="I72" s="337">
        <f t="shared" ref="I72:M72" si="138">ROUNDUP(((I65*I66*(((I68*180/100-I69)/180))+(I65*I67*(1-(I68*180/100-I69)/180))))/2,0)</f>
        <v>464</v>
      </c>
      <c r="J72" s="337">
        <f t="shared" si="138"/>
        <v>160</v>
      </c>
      <c r="K72" s="337">
        <f t="shared" si="138"/>
        <v>381</v>
      </c>
      <c r="L72" s="337">
        <f t="shared" si="138"/>
        <v>221</v>
      </c>
      <c r="M72" s="337">
        <f t="shared" si="138"/>
        <v>531</v>
      </c>
      <c r="N72" s="337"/>
      <c r="O72" s="337">
        <f t="shared" ref="O72:S72" si="139">ROUNDUP(((O65*O66*(((O68*180/100-O69)/180))+(O65*O67*(1-(O68*180/100-O69)/180))))/2,0)</f>
        <v>858</v>
      </c>
      <c r="P72" s="337">
        <f t="shared" si="139"/>
        <v>755</v>
      </c>
      <c r="Q72" s="337">
        <f t="shared" si="139"/>
        <v>834</v>
      </c>
      <c r="R72" s="337">
        <f t="shared" si="139"/>
        <v>619</v>
      </c>
      <c r="S72" s="337">
        <f t="shared" si="139"/>
        <v>895</v>
      </c>
      <c r="T72" s="337"/>
      <c r="U72" s="97" t="s">
        <v>6</v>
      </c>
      <c r="V72" s="214"/>
      <c r="W72" s="97"/>
      <c r="Y72" s="272">
        <v>5</v>
      </c>
      <c r="Z72" s="272">
        <v>0.43</v>
      </c>
      <c r="AA72" s="272">
        <v>0.36</v>
      </c>
      <c r="AB72" s="272"/>
      <c r="AG72" s="77" t="s">
        <v>283</v>
      </c>
      <c r="AH72" s="91">
        <v>2</v>
      </c>
      <c r="AI72" s="77" t="s">
        <v>227</v>
      </c>
    </row>
    <row r="73" spans="2:35" ht="17.399999999999999" x14ac:dyDescent="0.4">
      <c r="B73" s="97" t="s">
        <v>351</v>
      </c>
      <c r="C73" s="207">
        <f t="shared" ref="C73:F73" si="140">C64+C70</f>
        <v>1699.9701128476881</v>
      </c>
      <c r="D73" s="207">
        <f t="shared" si="140"/>
        <v>1430.0307996885472</v>
      </c>
      <c r="E73" s="207">
        <f t="shared" si="140"/>
        <v>1701.8895094482214</v>
      </c>
      <c r="F73" s="207">
        <f t="shared" si="140"/>
        <v>1590.2447633835668</v>
      </c>
      <c r="G73" s="207">
        <f t="shared" ref="G73" si="141">G64+G70</f>
        <v>1866.8975509743098</v>
      </c>
      <c r="H73" s="334"/>
      <c r="I73" s="334">
        <f t="shared" ref="I73:M73" si="142">I64+I70</f>
        <v>1741.2278441369135</v>
      </c>
      <c r="J73" s="334">
        <f t="shared" si="142"/>
        <v>1462.3051381718508</v>
      </c>
      <c r="K73" s="334">
        <f t="shared" si="142"/>
        <v>1729.8280197406837</v>
      </c>
      <c r="L73" s="334">
        <f t="shared" si="142"/>
        <v>1533.3822848068855</v>
      </c>
      <c r="M73" s="334">
        <f t="shared" si="142"/>
        <v>1861.6947388286048</v>
      </c>
      <c r="N73" s="334"/>
      <c r="O73" s="334">
        <f t="shared" ref="O73:S73" si="143">O64+O70</f>
        <v>2099.2278441369135</v>
      </c>
      <c r="P73" s="334">
        <f t="shared" si="143"/>
        <v>2004.3051381718508</v>
      </c>
      <c r="Q73" s="334">
        <f t="shared" si="143"/>
        <v>2141.8280197406839</v>
      </c>
      <c r="R73" s="334">
        <f t="shared" si="143"/>
        <v>1895.3822848068855</v>
      </c>
      <c r="S73" s="334">
        <f t="shared" si="143"/>
        <v>2192.6947388286048</v>
      </c>
      <c r="T73" s="334"/>
      <c r="U73" s="97" t="s">
        <v>6</v>
      </c>
      <c r="V73" s="214"/>
      <c r="W73" s="97"/>
      <c r="Y73" s="272">
        <v>6</v>
      </c>
      <c r="Z73" s="272"/>
      <c r="AA73" s="272">
        <v>0.34</v>
      </c>
      <c r="AB73" s="272">
        <v>0.62</v>
      </c>
      <c r="AG73" s="77" t="s">
        <v>279</v>
      </c>
      <c r="AH73" s="91">
        <v>60</v>
      </c>
      <c r="AI73" s="77" t="s">
        <v>227</v>
      </c>
    </row>
    <row r="74" spans="2:35" ht="17.399999999999999" x14ac:dyDescent="0.4">
      <c r="B74" s="97" t="s">
        <v>352</v>
      </c>
      <c r="C74" s="207">
        <f t="shared" ref="C74:F74" si="144">C71+C62</f>
        <v>43</v>
      </c>
      <c r="D74" s="207">
        <f t="shared" si="144"/>
        <v>15</v>
      </c>
      <c r="E74" s="207">
        <f t="shared" si="144"/>
        <v>35</v>
      </c>
      <c r="F74" s="207">
        <f t="shared" si="144"/>
        <v>20</v>
      </c>
      <c r="G74" s="207">
        <f t="shared" ref="G74" si="145">G71+G62</f>
        <v>49</v>
      </c>
      <c r="H74" s="334"/>
      <c r="I74" s="334">
        <f t="shared" ref="I74:M74" si="146">I71+I62</f>
        <v>43</v>
      </c>
      <c r="J74" s="334">
        <f t="shared" si="146"/>
        <v>15</v>
      </c>
      <c r="K74" s="334">
        <f t="shared" si="146"/>
        <v>35</v>
      </c>
      <c r="L74" s="334">
        <f t="shared" si="146"/>
        <v>21</v>
      </c>
      <c r="M74" s="334">
        <f t="shared" si="146"/>
        <v>49</v>
      </c>
      <c r="N74" s="334"/>
      <c r="O74" s="334">
        <f t="shared" ref="O74:S74" si="147">O71+O62</f>
        <v>78</v>
      </c>
      <c r="P74" s="334">
        <f t="shared" si="147"/>
        <v>69</v>
      </c>
      <c r="Q74" s="334">
        <f t="shared" si="147"/>
        <v>76</v>
      </c>
      <c r="R74" s="334">
        <f t="shared" si="147"/>
        <v>57</v>
      </c>
      <c r="S74" s="334">
        <f t="shared" si="147"/>
        <v>82</v>
      </c>
      <c r="T74" s="334"/>
      <c r="U74" s="97" t="s">
        <v>6</v>
      </c>
      <c r="V74" s="214"/>
      <c r="W74" s="97"/>
      <c r="Y74" s="272">
        <v>8</v>
      </c>
      <c r="Z74" s="272">
        <v>0.3</v>
      </c>
      <c r="AA74" s="272">
        <v>0.25</v>
      </c>
      <c r="AB74" s="272"/>
      <c r="AG74" s="77" t="s">
        <v>278</v>
      </c>
      <c r="AH74" s="92">
        <f>AH72*AH73</f>
        <v>120</v>
      </c>
      <c r="AI74" s="77" t="s">
        <v>253</v>
      </c>
    </row>
    <row r="75" spans="2:35" ht="17.399999999999999" x14ac:dyDescent="0.4">
      <c r="B75" s="97" t="s">
        <v>359</v>
      </c>
      <c r="C75" s="208">
        <f t="shared" ref="C75:F75" si="148">ROUNDUP((C55+C64+C72),0)</f>
        <v>1764</v>
      </c>
      <c r="D75" s="208">
        <f t="shared" si="148"/>
        <v>1466</v>
      </c>
      <c r="E75" s="208">
        <f t="shared" si="148"/>
        <v>1759</v>
      </c>
      <c r="F75" s="208">
        <f t="shared" si="148"/>
        <v>1633</v>
      </c>
      <c r="G75" s="208">
        <f t="shared" ref="G75" si="149">ROUNDUP((G55+G64+G72),0)</f>
        <v>1939</v>
      </c>
      <c r="H75" s="337"/>
      <c r="I75" s="337">
        <f t="shared" ref="I75:M75" si="150">ROUNDUP((I55+I64+I72),0)</f>
        <v>1805</v>
      </c>
      <c r="J75" s="337">
        <f t="shared" si="150"/>
        <v>1499</v>
      </c>
      <c r="K75" s="337">
        <f t="shared" si="150"/>
        <v>1787</v>
      </c>
      <c r="L75" s="337">
        <f t="shared" si="150"/>
        <v>1575</v>
      </c>
      <c r="M75" s="337">
        <f t="shared" si="150"/>
        <v>1932</v>
      </c>
      <c r="N75" s="337"/>
      <c r="O75" s="337">
        <f t="shared" ref="O75:S75" si="151">ROUNDUP((O55+O64+O72),0)</f>
        <v>2199</v>
      </c>
      <c r="P75" s="337">
        <f t="shared" si="151"/>
        <v>2094</v>
      </c>
      <c r="Q75" s="337">
        <f t="shared" si="151"/>
        <v>2240</v>
      </c>
      <c r="R75" s="337">
        <f t="shared" si="151"/>
        <v>1973</v>
      </c>
      <c r="S75" s="337">
        <f t="shared" si="151"/>
        <v>2296</v>
      </c>
      <c r="T75" s="337"/>
      <c r="U75" s="97" t="s">
        <v>6</v>
      </c>
      <c r="V75" s="214"/>
      <c r="W75" s="97"/>
      <c r="Y75" s="272">
        <v>10</v>
      </c>
      <c r="Z75" s="272"/>
      <c r="AA75" s="272"/>
      <c r="AB75" s="272">
        <v>0.45</v>
      </c>
      <c r="AG75" s="77" t="s">
        <v>258</v>
      </c>
      <c r="AH75" s="91">
        <v>850</v>
      </c>
      <c r="AI75" s="69" t="s">
        <v>254</v>
      </c>
    </row>
    <row r="76" spans="2:35" ht="17.399999999999999" x14ac:dyDescent="0.4">
      <c r="B76" s="97" t="s">
        <v>139</v>
      </c>
      <c r="C76" s="203">
        <v>2</v>
      </c>
      <c r="D76" s="203">
        <v>2</v>
      </c>
      <c r="E76" s="203">
        <v>2</v>
      </c>
      <c r="F76" s="203">
        <v>2</v>
      </c>
      <c r="G76" s="203">
        <v>2</v>
      </c>
      <c r="H76" s="333"/>
      <c r="I76" s="333">
        <v>2</v>
      </c>
      <c r="J76" s="333">
        <v>2</v>
      </c>
      <c r="K76" s="333">
        <v>2</v>
      </c>
      <c r="L76" s="333">
        <v>2</v>
      </c>
      <c r="M76" s="333">
        <v>2</v>
      </c>
      <c r="N76" s="333"/>
      <c r="O76" s="333">
        <v>2</v>
      </c>
      <c r="P76" s="333">
        <v>2</v>
      </c>
      <c r="Q76" s="333">
        <v>2</v>
      </c>
      <c r="R76" s="333">
        <v>2</v>
      </c>
      <c r="S76" s="333">
        <v>2</v>
      </c>
      <c r="T76" s="333"/>
      <c r="U76" s="97"/>
      <c r="V76" s="214">
        <v>13</v>
      </c>
      <c r="W76" s="100" t="s">
        <v>358</v>
      </c>
      <c r="Y76" s="272">
        <v>15</v>
      </c>
      <c r="Z76" s="272"/>
      <c r="AA76" s="272"/>
      <c r="AB76" s="272">
        <v>0.4</v>
      </c>
      <c r="AG76" s="77" t="s">
        <v>649</v>
      </c>
      <c r="AH76" s="93">
        <f>AH75/AH74</f>
        <v>7.083333333333333</v>
      </c>
      <c r="AI76" s="69" t="s">
        <v>254</v>
      </c>
    </row>
    <row r="77" spans="2:35" ht="17.399999999999999" x14ac:dyDescent="0.4">
      <c r="B77" s="97" t="s">
        <v>72</v>
      </c>
      <c r="C77" s="209">
        <f t="shared" ref="C77:F77" si="152">C75*C76</f>
        <v>3528</v>
      </c>
      <c r="D77" s="209">
        <f t="shared" si="152"/>
        <v>2932</v>
      </c>
      <c r="E77" s="209">
        <f t="shared" si="152"/>
        <v>3518</v>
      </c>
      <c r="F77" s="209">
        <f t="shared" si="152"/>
        <v>3266</v>
      </c>
      <c r="G77" s="209">
        <f t="shared" ref="G77" si="153">G75*G76</f>
        <v>3878</v>
      </c>
      <c r="H77" s="338"/>
      <c r="I77" s="338">
        <f t="shared" ref="I77:M77" si="154">I75*I76</f>
        <v>3610</v>
      </c>
      <c r="J77" s="338">
        <f t="shared" si="154"/>
        <v>2998</v>
      </c>
      <c r="K77" s="338">
        <f t="shared" si="154"/>
        <v>3574</v>
      </c>
      <c r="L77" s="338">
        <f t="shared" si="154"/>
        <v>3150</v>
      </c>
      <c r="M77" s="338">
        <f t="shared" si="154"/>
        <v>3864</v>
      </c>
      <c r="N77" s="338"/>
      <c r="O77" s="338">
        <f t="shared" ref="O77:S77" si="155">O75*O76</f>
        <v>4398</v>
      </c>
      <c r="P77" s="338">
        <f t="shared" si="155"/>
        <v>4188</v>
      </c>
      <c r="Q77" s="338">
        <f t="shared" si="155"/>
        <v>4480</v>
      </c>
      <c r="R77" s="338">
        <f t="shared" si="155"/>
        <v>3946</v>
      </c>
      <c r="S77" s="338">
        <f t="shared" si="155"/>
        <v>4592</v>
      </c>
      <c r="T77" s="338"/>
      <c r="U77" s="97" t="s">
        <v>46</v>
      </c>
      <c r="V77" s="214"/>
      <c r="W77" s="97"/>
      <c r="Y77" s="272">
        <v>20</v>
      </c>
      <c r="Z77" s="272"/>
      <c r="AA77" s="272"/>
      <c r="AB77" s="272">
        <v>0.35</v>
      </c>
      <c r="AG77" s="77" t="s">
        <v>259</v>
      </c>
      <c r="AH77" s="93">
        <f>AH68/100000000*(AH75^2)/(AH74/1000000)*AH71/1000</f>
        <v>708.39612265624987</v>
      </c>
      <c r="AI77" s="69" t="s">
        <v>255</v>
      </c>
    </row>
    <row r="78" spans="2:35" ht="17.399999999999999" x14ac:dyDescent="0.4">
      <c r="B78" s="97" t="s">
        <v>43</v>
      </c>
      <c r="C78" s="210">
        <v>1950</v>
      </c>
      <c r="D78" s="210">
        <v>1950</v>
      </c>
      <c r="E78" s="210">
        <v>1950</v>
      </c>
      <c r="F78" s="210">
        <v>1950</v>
      </c>
      <c r="G78" s="210">
        <v>1950</v>
      </c>
      <c r="H78" s="339"/>
      <c r="I78" s="339">
        <v>1950</v>
      </c>
      <c r="J78" s="339">
        <v>1950</v>
      </c>
      <c r="K78" s="339">
        <v>1950</v>
      </c>
      <c r="L78" s="339">
        <v>1950</v>
      </c>
      <c r="M78" s="339">
        <v>1950</v>
      </c>
      <c r="N78" s="339"/>
      <c r="O78" s="339">
        <v>1950</v>
      </c>
      <c r="P78" s="339">
        <v>1950</v>
      </c>
      <c r="Q78" s="339">
        <v>1950</v>
      </c>
      <c r="R78" s="339">
        <v>1950</v>
      </c>
      <c r="S78" s="339">
        <v>1950</v>
      </c>
      <c r="T78" s="339"/>
      <c r="U78" s="97" t="s">
        <v>6</v>
      </c>
      <c r="V78" s="214">
        <v>14</v>
      </c>
      <c r="W78" s="100" t="s">
        <v>119</v>
      </c>
      <c r="Y78" s="272">
        <v>30</v>
      </c>
      <c r="Z78" s="272"/>
      <c r="AA78" s="272"/>
      <c r="AB78" s="272">
        <v>0.28939999999999999</v>
      </c>
    </row>
    <row r="79" spans="2:35" ht="17.399999999999999" x14ac:dyDescent="0.4">
      <c r="B79" s="97" t="s">
        <v>356</v>
      </c>
      <c r="C79" s="209">
        <f t="shared" ref="C79:F79" si="156">ROUNDUP(C77/C78*100,0)</f>
        <v>181</v>
      </c>
      <c r="D79" s="209">
        <f t="shared" si="156"/>
        <v>151</v>
      </c>
      <c r="E79" s="209">
        <f t="shared" si="156"/>
        <v>181</v>
      </c>
      <c r="F79" s="209">
        <f t="shared" si="156"/>
        <v>168</v>
      </c>
      <c r="G79" s="209">
        <f t="shared" ref="G79" si="157">ROUNDUP(G77/G78*100,0)</f>
        <v>199</v>
      </c>
      <c r="H79" s="338"/>
      <c r="I79" s="338">
        <f t="shared" ref="I79:M79" si="158">ROUNDUP(I77/I78*100,0)</f>
        <v>186</v>
      </c>
      <c r="J79" s="338">
        <f t="shared" si="158"/>
        <v>154</v>
      </c>
      <c r="K79" s="338">
        <f t="shared" si="158"/>
        <v>184</v>
      </c>
      <c r="L79" s="338">
        <f t="shared" si="158"/>
        <v>162</v>
      </c>
      <c r="M79" s="338">
        <f t="shared" si="158"/>
        <v>199</v>
      </c>
      <c r="N79" s="338"/>
      <c r="O79" s="338">
        <f t="shared" ref="O79:S79" si="159">ROUNDUP(O77/O78*100,0)</f>
        <v>226</v>
      </c>
      <c r="P79" s="338">
        <f t="shared" si="159"/>
        <v>215</v>
      </c>
      <c r="Q79" s="338">
        <f t="shared" si="159"/>
        <v>230</v>
      </c>
      <c r="R79" s="338">
        <f t="shared" si="159"/>
        <v>203</v>
      </c>
      <c r="S79" s="338">
        <f t="shared" si="159"/>
        <v>236</v>
      </c>
      <c r="T79" s="338"/>
      <c r="U79" s="97" t="s">
        <v>7</v>
      </c>
      <c r="V79" s="214"/>
      <c r="W79" s="100" t="s">
        <v>357</v>
      </c>
      <c r="Y79" s="272">
        <v>50</v>
      </c>
      <c r="Z79" s="272"/>
      <c r="AA79" s="272"/>
      <c r="AB79" s="272">
        <v>0.224</v>
      </c>
    </row>
    <row r="80" spans="2:35" ht="17.399999999999999" x14ac:dyDescent="0.4">
      <c r="B80" s="97" t="s">
        <v>140</v>
      </c>
      <c r="C80" s="240">
        <v>6.4000000000000001E-2</v>
      </c>
      <c r="D80" s="240">
        <v>6.4000000000000001E-2</v>
      </c>
      <c r="E80" s="240">
        <v>6.4000000000000001E-2</v>
      </c>
      <c r="F80" s="240">
        <v>6.4000000000000001E-2</v>
      </c>
      <c r="G80" s="240">
        <v>6.4000000000000001E-2</v>
      </c>
      <c r="H80" s="340"/>
      <c r="I80" s="340">
        <v>6.4000000000000001E-2</v>
      </c>
      <c r="J80" s="340">
        <v>6.4000000000000001E-2</v>
      </c>
      <c r="K80" s="340">
        <v>6.4000000000000001E-2</v>
      </c>
      <c r="L80" s="340">
        <v>6.4000000000000001E-2</v>
      </c>
      <c r="M80" s="340">
        <v>6.4000000000000001E-2</v>
      </c>
      <c r="N80" s="340"/>
      <c r="O80" s="340">
        <v>6.4000000000000001E-2</v>
      </c>
      <c r="P80" s="340">
        <v>6.4000000000000001E-2</v>
      </c>
      <c r="Q80" s="340">
        <v>6.4000000000000001E-2</v>
      </c>
      <c r="R80" s="340">
        <v>6.4000000000000001E-2</v>
      </c>
      <c r="S80" s="340">
        <v>6.4000000000000001E-2</v>
      </c>
      <c r="T80" s="340"/>
      <c r="U80" s="97" t="s">
        <v>60</v>
      </c>
      <c r="V80" s="214">
        <v>15</v>
      </c>
      <c r="W80" s="218" t="s">
        <v>119</v>
      </c>
      <c r="Y80" s="272">
        <v>100</v>
      </c>
      <c r="Z80" s="272"/>
      <c r="AA80" s="272"/>
      <c r="AB80" s="272">
        <v>0.161</v>
      </c>
    </row>
    <row r="81" spans="2:31" ht="17.399999999999999" x14ac:dyDescent="0.4">
      <c r="B81" s="97" t="s">
        <v>291</v>
      </c>
      <c r="C81" s="240">
        <v>0.1</v>
      </c>
      <c r="D81" s="240">
        <v>0.1</v>
      </c>
      <c r="E81" s="240">
        <v>0.1</v>
      </c>
      <c r="F81" s="240">
        <v>0.1</v>
      </c>
      <c r="G81" s="240">
        <v>0.1</v>
      </c>
      <c r="H81" s="340"/>
      <c r="I81" s="340">
        <v>0.1</v>
      </c>
      <c r="J81" s="340">
        <v>0.1</v>
      </c>
      <c r="K81" s="340">
        <v>0.1</v>
      </c>
      <c r="L81" s="340">
        <v>0.1</v>
      </c>
      <c r="M81" s="340">
        <v>0.1</v>
      </c>
      <c r="N81" s="340"/>
      <c r="O81" s="340">
        <v>0.1</v>
      </c>
      <c r="P81" s="340">
        <v>0.1</v>
      </c>
      <c r="Q81" s="340">
        <v>0.1</v>
      </c>
      <c r="R81" s="340">
        <v>0.1</v>
      </c>
      <c r="S81" s="340">
        <v>0.1</v>
      </c>
      <c r="T81" s="340"/>
      <c r="U81" s="97" t="s">
        <v>60</v>
      </c>
      <c r="V81" s="214">
        <v>16</v>
      </c>
      <c r="W81" s="218" t="s">
        <v>119</v>
      </c>
      <c r="Y81" s="272">
        <v>200</v>
      </c>
      <c r="Z81" s="272"/>
      <c r="AA81" s="272"/>
      <c r="AB81" s="272">
        <v>7.7600000000000002E-2</v>
      </c>
    </row>
    <row r="82" spans="2:31" ht="17.399999999999999" x14ac:dyDescent="0.4">
      <c r="B82" s="97" t="s">
        <v>141</v>
      </c>
      <c r="C82" s="101">
        <f t="shared" ref="C82:F83" si="160">125-C80*C73</f>
        <v>16.20191277774795</v>
      </c>
      <c r="D82" s="101">
        <f t="shared" si="160"/>
        <v>33.478028819932973</v>
      </c>
      <c r="E82" s="101">
        <f t="shared" si="160"/>
        <v>16.079071395313832</v>
      </c>
      <c r="F82" s="101">
        <f t="shared" si="160"/>
        <v>23.224335143451725</v>
      </c>
      <c r="G82" s="101">
        <f t="shared" ref="G82" si="161">125-G80*G73</f>
        <v>5.5185567376441753</v>
      </c>
      <c r="H82" s="341"/>
      <c r="I82" s="341">
        <f t="shared" ref="I82:M83" si="162">125-I80*I73</f>
        <v>13.561417975237532</v>
      </c>
      <c r="J82" s="341">
        <f t="shared" si="162"/>
        <v>31.412471157001548</v>
      </c>
      <c r="K82" s="341">
        <f t="shared" si="162"/>
        <v>14.291006736596245</v>
      </c>
      <c r="L82" s="341">
        <f t="shared" si="162"/>
        <v>26.863533772359318</v>
      </c>
      <c r="M82" s="341">
        <f t="shared" si="162"/>
        <v>5.851536714969285</v>
      </c>
      <c r="N82" s="341"/>
      <c r="O82" s="341">
        <f t="shared" ref="O82:S82" si="163">125-O80*O73</f>
        <v>-9.350582024762474</v>
      </c>
      <c r="P82" s="341">
        <f t="shared" si="163"/>
        <v>-3.2755288429984546</v>
      </c>
      <c r="Q82" s="341">
        <f t="shared" si="163"/>
        <v>-12.076993263403779</v>
      </c>
      <c r="R82" s="341">
        <f t="shared" si="163"/>
        <v>3.695533772359326</v>
      </c>
      <c r="S82" s="341">
        <f t="shared" si="163"/>
        <v>-15.332463285030713</v>
      </c>
      <c r="T82" s="341"/>
      <c r="U82" s="102" t="s">
        <v>61</v>
      </c>
      <c r="V82" s="214"/>
      <c r="W82" s="100" t="s">
        <v>142</v>
      </c>
      <c r="Y82" s="272">
        <v>300</v>
      </c>
      <c r="Z82" s="272"/>
      <c r="AA82" s="272"/>
      <c r="AB82" s="272">
        <v>5.2400000000000002E-2</v>
      </c>
    </row>
    <row r="83" spans="2:31" ht="17.399999999999999" x14ac:dyDescent="0.4">
      <c r="B83" s="97" t="s">
        <v>143</v>
      </c>
      <c r="C83" s="220">
        <f t="shared" si="160"/>
        <v>120.7</v>
      </c>
      <c r="D83" s="220">
        <f t="shared" si="160"/>
        <v>123.5</v>
      </c>
      <c r="E83" s="220">
        <f t="shared" si="160"/>
        <v>121.5</v>
      </c>
      <c r="F83" s="220">
        <f t="shared" si="160"/>
        <v>123</v>
      </c>
      <c r="G83" s="220">
        <f t="shared" ref="G83" si="164">125-G81*G74</f>
        <v>120.1</v>
      </c>
      <c r="H83" s="332"/>
      <c r="I83" s="332">
        <f t="shared" ref="I83:L83" si="165">125-I81*I74</f>
        <v>120.7</v>
      </c>
      <c r="J83" s="332">
        <f t="shared" si="165"/>
        <v>123.5</v>
      </c>
      <c r="K83" s="332">
        <f t="shared" si="165"/>
        <v>121.5</v>
      </c>
      <c r="L83" s="332">
        <f t="shared" si="165"/>
        <v>122.9</v>
      </c>
      <c r="M83" s="332">
        <f t="shared" si="162"/>
        <v>120.1</v>
      </c>
      <c r="N83" s="332"/>
      <c r="O83" s="332">
        <f t="shared" ref="O83:S83" si="166">125-O81*O74</f>
        <v>117.2</v>
      </c>
      <c r="P83" s="332">
        <f t="shared" si="166"/>
        <v>118.1</v>
      </c>
      <c r="Q83" s="332">
        <f t="shared" si="166"/>
        <v>117.4</v>
      </c>
      <c r="R83" s="332">
        <f t="shared" si="166"/>
        <v>119.3</v>
      </c>
      <c r="S83" s="332">
        <f t="shared" si="166"/>
        <v>116.8</v>
      </c>
      <c r="T83" s="332"/>
      <c r="U83" s="102" t="s">
        <v>61</v>
      </c>
      <c r="V83" s="214"/>
      <c r="W83" s="97"/>
    </row>
    <row r="84" spans="2:31" ht="17.399999999999999" x14ac:dyDescent="0.4">
      <c r="B84" s="97" t="s">
        <v>144</v>
      </c>
      <c r="C84" s="220">
        <f t="shared" ref="C84:F85" si="167">C80*C73</f>
        <v>108.79808722225205</v>
      </c>
      <c r="D84" s="220">
        <f t="shared" si="167"/>
        <v>91.521971180067027</v>
      </c>
      <c r="E84" s="220">
        <f t="shared" si="167"/>
        <v>108.92092860468617</v>
      </c>
      <c r="F84" s="220">
        <f t="shared" si="167"/>
        <v>101.77566485654827</v>
      </c>
      <c r="G84" s="220">
        <f t="shared" ref="G84" si="168">G80*G73</f>
        <v>119.48144326235582</v>
      </c>
      <c r="H84" s="332"/>
      <c r="I84" s="332">
        <f t="shared" ref="I84:M85" si="169">I80*I73</f>
        <v>111.43858202476247</v>
      </c>
      <c r="J84" s="332">
        <f t="shared" si="169"/>
        <v>93.587528842998452</v>
      </c>
      <c r="K84" s="332">
        <f t="shared" si="169"/>
        <v>110.70899326340376</v>
      </c>
      <c r="L84" s="332">
        <f t="shared" si="169"/>
        <v>98.136466227640682</v>
      </c>
      <c r="M84" s="332">
        <f t="shared" si="169"/>
        <v>119.14846328503072</v>
      </c>
      <c r="N84" s="332"/>
      <c r="O84" s="332">
        <f t="shared" ref="O84:S84" si="170">O80*O73</f>
        <v>134.35058202476247</v>
      </c>
      <c r="P84" s="332">
        <f t="shared" si="170"/>
        <v>128.27552884299845</v>
      </c>
      <c r="Q84" s="332">
        <f t="shared" si="170"/>
        <v>137.07699326340378</v>
      </c>
      <c r="R84" s="332">
        <f t="shared" si="170"/>
        <v>121.30446622764067</v>
      </c>
      <c r="S84" s="332">
        <f t="shared" si="170"/>
        <v>140.33246328503071</v>
      </c>
      <c r="T84" s="332"/>
      <c r="U84" s="102" t="s">
        <v>61</v>
      </c>
      <c r="V84" s="214"/>
      <c r="W84" s="97"/>
      <c r="Y84" s="433" t="s">
        <v>630</v>
      </c>
      <c r="Z84" s="433"/>
      <c r="AA84" s="433"/>
      <c r="AC84" s="433" t="s">
        <v>678</v>
      </c>
      <c r="AD84" s="433"/>
      <c r="AE84" s="433"/>
    </row>
    <row r="85" spans="2:31" ht="17.399999999999999" x14ac:dyDescent="0.4">
      <c r="B85" s="97" t="s">
        <v>145</v>
      </c>
      <c r="C85" s="220">
        <f t="shared" si="167"/>
        <v>4.3</v>
      </c>
      <c r="D85" s="220">
        <f t="shared" si="167"/>
        <v>1.5</v>
      </c>
      <c r="E85" s="220">
        <f t="shared" si="167"/>
        <v>3.5</v>
      </c>
      <c r="F85" s="220">
        <f t="shared" si="167"/>
        <v>2</v>
      </c>
      <c r="G85" s="220">
        <f t="shared" ref="G85" si="171">G81*G74</f>
        <v>4.9000000000000004</v>
      </c>
      <c r="H85" s="332"/>
      <c r="I85" s="332">
        <f t="shared" ref="I85:L85" si="172">I81*I74</f>
        <v>4.3</v>
      </c>
      <c r="J85" s="332">
        <f t="shared" si="172"/>
        <v>1.5</v>
      </c>
      <c r="K85" s="332">
        <f t="shared" si="172"/>
        <v>3.5</v>
      </c>
      <c r="L85" s="332">
        <f t="shared" si="172"/>
        <v>2.1</v>
      </c>
      <c r="M85" s="332">
        <f t="shared" si="169"/>
        <v>4.9000000000000004</v>
      </c>
      <c r="N85" s="332"/>
      <c r="O85" s="332">
        <f t="shared" ref="O85:S85" si="173">O81*O74</f>
        <v>7.8000000000000007</v>
      </c>
      <c r="P85" s="332">
        <f t="shared" si="173"/>
        <v>6.9</v>
      </c>
      <c r="Q85" s="332">
        <f t="shared" si="173"/>
        <v>7.6000000000000005</v>
      </c>
      <c r="R85" s="332">
        <f t="shared" si="173"/>
        <v>5.7</v>
      </c>
      <c r="S85" s="332">
        <f t="shared" si="173"/>
        <v>8.2000000000000011</v>
      </c>
      <c r="T85" s="332"/>
      <c r="U85" s="102" t="s">
        <v>61</v>
      </c>
      <c r="V85" s="214"/>
      <c r="W85" s="97"/>
      <c r="Y85" s="275" t="s">
        <v>629</v>
      </c>
      <c r="Z85" s="275" t="s">
        <v>635</v>
      </c>
      <c r="AA85" s="275"/>
      <c r="AC85" s="275" t="s">
        <v>679</v>
      </c>
      <c r="AD85" s="275" t="s">
        <v>680</v>
      </c>
      <c r="AE85" s="275" t="s">
        <v>681</v>
      </c>
    </row>
    <row r="86" spans="2:31" ht="17.399999999999999" x14ac:dyDescent="0.4">
      <c r="B86" s="97" t="s">
        <v>146</v>
      </c>
      <c r="C86" s="240">
        <v>0.03</v>
      </c>
      <c r="D86" s="240">
        <v>0.03</v>
      </c>
      <c r="E86" s="240">
        <v>0.03</v>
      </c>
      <c r="F86" s="240">
        <v>0.03</v>
      </c>
      <c r="G86" s="240">
        <v>0.03</v>
      </c>
      <c r="H86" s="340"/>
      <c r="I86" s="340">
        <v>0.03</v>
      </c>
      <c r="J86" s="340">
        <v>0.03</v>
      </c>
      <c r="K86" s="340">
        <v>0.03</v>
      </c>
      <c r="L86" s="340">
        <v>0.03</v>
      </c>
      <c r="M86" s="340">
        <v>0.03</v>
      </c>
      <c r="N86" s="340"/>
      <c r="O86" s="340">
        <v>0.03</v>
      </c>
      <c r="P86" s="340">
        <v>0.03</v>
      </c>
      <c r="Q86" s="340">
        <v>0.03</v>
      </c>
      <c r="R86" s="340">
        <v>0.03</v>
      </c>
      <c r="S86" s="340">
        <v>0.03</v>
      </c>
      <c r="T86" s="340"/>
      <c r="U86" s="97" t="s">
        <v>60</v>
      </c>
      <c r="V86" s="214">
        <v>17</v>
      </c>
      <c r="W86" s="97" t="s">
        <v>119</v>
      </c>
      <c r="Y86" s="213" t="s">
        <v>627</v>
      </c>
      <c r="Z86" s="213">
        <v>183</v>
      </c>
      <c r="AA86" s="213" t="s">
        <v>50</v>
      </c>
      <c r="AC86" s="260" t="s">
        <v>682</v>
      </c>
      <c r="AD86" s="260" t="s">
        <v>683</v>
      </c>
      <c r="AE86" s="312" t="s">
        <v>684</v>
      </c>
    </row>
    <row r="87" spans="2:31" ht="17.399999999999999" x14ac:dyDescent="0.4">
      <c r="B87" s="97" t="s">
        <v>147</v>
      </c>
      <c r="C87" s="240">
        <v>0.06</v>
      </c>
      <c r="D87" s="240">
        <v>0.06</v>
      </c>
      <c r="E87" s="240">
        <v>0.06</v>
      </c>
      <c r="F87" s="240">
        <v>0.06</v>
      </c>
      <c r="G87" s="240">
        <v>0.06</v>
      </c>
      <c r="H87" s="340"/>
      <c r="I87" s="340">
        <v>0.06</v>
      </c>
      <c r="J87" s="340">
        <v>0.06</v>
      </c>
      <c r="K87" s="340">
        <v>0.06</v>
      </c>
      <c r="L87" s="340">
        <v>0.06</v>
      </c>
      <c r="M87" s="340">
        <v>0.06</v>
      </c>
      <c r="N87" s="340"/>
      <c r="O87" s="340">
        <v>0.06</v>
      </c>
      <c r="P87" s="340">
        <v>0.06</v>
      </c>
      <c r="Q87" s="340">
        <v>0.06</v>
      </c>
      <c r="R87" s="340">
        <v>0.06</v>
      </c>
      <c r="S87" s="340">
        <v>0.06</v>
      </c>
      <c r="T87" s="340"/>
      <c r="U87" s="97" t="s">
        <v>60</v>
      </c>
      <c r="V87" s="214">
        <v>18</v>
      </c>
      <c r="W87" s="97" t="s">
        <v>119</v>
      </c>
      <c r="Y87" s="213" t="s">
        <v>628</v>
      </c>
      <c r="Z87" s="213">
        <v>75</v>
      </c>
      <c r="AA87" s="213" t="s">
        <v>50</v>
      </c>
      <c r="AC87" s="260" t="s">
        <v>685</v>
      </c>
      <c r="AD87" s="260" t="s">
        <v>686</v>
      </c>
      <c r="AE87" s="312" t="s">
        <v>687</v>
      </c>
    </row>
    <row r="88" spans="2:31" ht="17.399999999999999" x14ac:dyDescent="0.4">
      <c r="B88" s="97" t="s">
        <v>148</v>
      </c>
      <c r="C88" s="221">
        <f t="shared" ref="C88:F89" si="174">C82-C86*C73</f>
        <v>-34.797190607682694</v>
      </c>
      <c r="D88" s="221">
        <f t="shared" si="174"/>
        <v>-9.422895170723443</v>
      </c>
      <c r="E88" s="221">
        <f t="shared" si="174"/>
        <v>-34.977613888132808</v>
      </c>
      <c r="F88" s="221">
        <f t="shared" si="174"/>
        <v>-24.48300775805528</v>
      </c>
      <c r="G88" s="221">
        <f t="shared" ref="G88" si="175">G82-G86*G73</f>
        <v>-50.488369791585114</v>
      </c>
      <c r="H88" s="342"/>
      <c r="I88" s="342">
        <f t="shared" ref="I88:M89" si="176">I82-I86*I73</f>
        <v>-38.675417348869871</v>
      </c>
      <c r="J88" s="342">
        <f t="shared" si="176"/>
        <v>-12.456682988153972</v>
      </c>
      <c r="K88" s="342">
        <f t="shared" si="176"/>
        <v>-37.603833855624266</v>
      </c>
      <c r="L88" s="342">
        <f t="shared" si="176"/>
        <v>-19.137934771847249</v>
      </c>
      <c r="M88" s="342">
        <f t="shared" si="176"/>
        <v>-49.999305449888858</v>
      </c>
      <c r="N88" s="342"/>
      <c r="O88" s="342">
        <f t="shared" ref="O88:S88" si="177">O82-O86*O73</f>
        <v>-72.327417348869886</v>
      </c>
      <c r="P88" s="342">
        <f t="shared" si="177"/>
        <v>-63.404682988153979</v>
      </c>
      <c r="Q88" s="342">
        <f t="shared" si="177"/>
        <v>-76.331833855624296</v>
      </c>
      <c r="R88" s="342">
        <f t="shared" si="177"/>
        <v>-53.16593477184724</v>
      </c>
      <c r="S88" s="342">
        <f t="shared" si="177"/>
        <v>-81.113305449888855</v>
      </c>
      <c r="T88" s="342"/>
      <c r="U88" s="102" t="s">
        <v>61</v>
      </c>
      <c r="V88" s="214"/>
      <c r="W88" s="97" t="s">
        <v>142</v>
      </c>
      <c r="Y88" s="213" t="s">
        <v>631</v>
      </c>
      <c r="Z88" s="213">
        <v>9</v>
      </c>
      <c r="AA88" s="213" t="s">
        <v>50</v>
      </c>
      <c r="AC88" s="260" t="s">
        <v>688</v>
      </c>
      <c r="AD88" s="260" t="s">
        <v>689</v>
      </c>
      <c r="AE88" s="312" t="s">
        <v>690</v>
      </c>
    </row>
    <row r="89" spans="2:31" ht="17.399999999999999" x14ac:dyDescent="0.4">
      <c r="B89" s="97" t="s">
        <v>149</v>
      </c>
      <c r="C89" s="220">
        <f t="shared" si="174"/>
        <v>118.12</v>
      </c>
      <c r="D89" s="220">
        <f t="shared" si="174"/>
        <v>122.6</v>
      </c>
      <c r="E89" s="220">
        <f t="shared" si="174"/>
        <v>119.4</v>
      </c>
      <c r="F89" s="220">
        <f t="shared" si="174"/>
        <v>121.8</v>
      </c>
      <c r="G89" s="220">
        <f t="shared" ref="G89" si="178">G83-G87*G74</f>
        <v>117.16</v>
      </c>
      <c r="H89" s="332"/>
      <c r="I89" s="332">
        <f t="shared" ref="I89:L89" si="179">I83-I87*I74</f>
        <v>118.12</v>
      </c>
      <c r="J89" s="332">
        <f t="shared" si="179"/>
        <v>122.6</v>
      </c>
      <c r="K89" s="332">
        <f t="shared" si="179"/>
        <v>119.4</v>
      </c>
      <c r="L89" s="332">
        <f t="shared" si="179"/>
        <v>121.64</v>
      </c>
      <c r="M89" s="332">
        <f t="shared" si="176"/>
        <v>117.16</v>
      </c>
      <c r="N89" s="332"/>
      <c r="O89" s="332">
        <f t="shared" ref="O89:S89" si="180">O83-O87*O74</f>
        <v>112.52000000000001</v>
      </c>
      <c r="P89" s="332">
        <f t="shared" si="180"/>
        <v>113.96</v>
      </c>
      <c r="Q89" s="332">
        <f t="shared" si="180"/>
        <v>112.84</v>
      </c>
      <c r="R89" s="332">
        <f t="shared" si="180"/>
        <v>115.88</v>
      </c>
      <c r="S89" s="332">
        <f t="shared" si="180"/>
        <v>111.88</v>
      </c>
      <c r="T89" s="332"/>
      <c r="U89" s="102" t="s">
        <v>61</v>
      </c>
      <c r="V89" s="214"/>
      <c r="W89" s="97"/>
      <c r="Y89" s="213" t="s">
        <v>632</v>
      </c>
      <c r="Z89" s="213">
        <v>6</v>
      </c>
      <c r="AA89" s="213" t="s">
        <v>50</v>
      </c>
      <c r="AC89" s="260" t="s">
        <v>691</v>
      </c>
      <c r="AD89" s="260" t="s">
        <v>692</v>
      </c>
      <c r="AE89" s="312" t="s">
        <v>693</v>
      </c>
    </row>
    <row r="90" spans="2:31" ht="17.399999999999999" x14ac:dyDescent="0.4">
      <c r="B90" s="97" t="s">
        <v>150</v>
      </c>
      <c r="C90" s="220">
        <f t="shared" ref="C90:F91" si="181">C86*C73</f>
        <v>50.999103385430644</v>
      </c>
      <c r="D90" s="220">
        <f t="shared" si="181"/>
        <v>42.900923990656416</v>
      </c>
      <c r="E90" s="220">
        <f t="shared" si="181"/>
        <v>51.05668528344664</v>
      </c>
      <c r="F90" s="220">
        <f t="shared" si="181"/>
        <v>47.707342901507005</v>
      </c>
      <c r="G90" s="220">
        <f t="shared" ref="G90" si="182">G86*G73</f>
        <v>56.00692652922929</v>
      </c>
      <c r="H90" s="332"/>
      <c r="I90" s="332">
        <f t="shared" ref="I90:M91" si="183">I86*I73</f>
        <v>52.236835324107403</v>
      </c>
      <c r="J90" s="332">
        <f t="shared" si="183"/>
        <v>43.86915414515552</v>
      </c>
      <c r="K90" s="332">
        <f t="shared" si="183"/>
        <v>51.894840592220511</v>
      </c>
      <c r="L90" s="332">
        <f t="shared" si="183"/>
        <v>46.001468544206567</v>
      </c>
      <c r="M90" s="332">
        <f t="shared" si="183"/>
        <v>55.850842164858143</v>
      </c>
      <c r="N90" s="332"/>
      <c r="O90" s="332">
        <f t="shared" ref="O90:S90" si="184">O86*O73</f>
        <v>62.976835324107405</v>
      </c>
      <c r="P90" s="332">
        <f t="shared" si="184"/>
        <v>60.129154145155525</v>
      </c>
      <c r="Q90" s="332">
        <f t="shared" si="184"/>
        <v>64.254840592220518</v>
      </c>
      <c r="R90" s="332">
        <f t="shared" si="184"/>
        <v>56.861468544206566</v>
      </c>
      <c r="S90" s="332">
        <f t="shared" si="184"/>
        <v>65.780842164858143</v>
      </c>
      <c r="T90" s="332"/>
      <c r="U90" s="102" t="s">
        <v>61</v>
      </c>
      <c r="V90" s="214"/>
      <c r="W90" s="97"/>
      <c r="Y90" s="213" t="s">
        <v>633</v>
      </c>
      <c r="Z90" s="213">
        <v>12</v>
      </c>
      <c r="AA90" s="213" t="s">
        <v>50</v>
      </c>
      <c r="AC90" s="260" t="s">
        <v>694</v>
      </c>
      <c r="AD90" s="260" t="s">
        <v>695</v>
      </c>
      <c r="AE90" s="312" t="s">
        <v>696</v>
      </c>
    </row>
    <row r="91" spans="2:31" ht="17.399999999999999" x14ac:dyDescent="0.4">
      <c r="B91" s="97" t="s">
        <v>151</v>
      </c>
      <c r="C91" s="220">
        <f t="shared" si="181"/>
        <v>2.58</v>
      </c>
      <c r="D91" s="220">
        <f t="shared" si="181"/>
        <v>0.89999999999999991</v>
      </c>
      <c r="E91" s="220">
        <f t="shared" si="181"/>
        <v>2.1</v>
      </c>
      <c r="F91" s="220">
        <f t="shared" si="181"/>
        <v>1.2</v>
      </c>
      <c r="G91" s="220">
        <f t="shared" ref="G91" si="185">G87*G74</f>
        <v>2.94</v>
      </c>
      <c r="H91" s="332"/>
      <c r="I91" s="332">
        <f t="shared" ref="I91:L91" si="186">I87*I74</f>
        <v>2.58</v>
      </c>
      <c r="J91" s="332">
        <f t="shared" si="186"/>
        <v>0.89999999999999991</v>
      </c>
      <c r="K91" s="332">
        <f t="shared" si="186"/>
        <v>2.1</v>
      </c>
      <c r="L91" s="332">
        <f t="shared" si="186"/>
        <v>1.26</v>
      </c>
      <c r="M91" s="332">
        <f t="shared" si="183"/>
        <v>2.94</v>
      </c>
      <c r="N91" s="332"/>
      <c r="O91" s="332">
        <f t="shared" ref="O91:S91" si="187">O87*O74</f>
        <v>4.68</v>
      </c>
      <c r="P91" s="332">
        <f t="shared" si="187"/>
        <v>4.1399999999999997</v>
      </c>
      <c r="Q91" s="332">
        <f t="shared" si="187"/>
        <v>4.5599999999999996</v>
      </c>
      <c r="R91" s="332">
        <f t="shared" si="187"/>
        <v>3.42</v>
      </c>
      <c r="S91" s="332">
        <f t="shared" si="187"/>
        <v>4.92</v>
      </c>
      <c r="T91" s="332"/>
      <c r="U91" s="102" t="s">
        <v>61</v>
      </c>
      <c r="V91" s="214"/>
      <c r="W91" s="97"/>
      <c r="Y91" s="213" t="s">
        <v>634</v>
      </c>
      <c r="Z91" s="213">
        <v>78.540000000000006</v>
      </c>
      <c r="AA91" s="213" t="s">
        <v>50</v>
      </c>
      <c r="AC91" s="260" t="s">
        <v>697</v>
      </c>
      <c r="AD91" s="260" t="s">
        <v>698</v>
      </c>
      <c r="AE91" s="312" t="s">
        <v>699</v>
      </c>
    </row>
    <row r="92" spans="2:31" ht="17.399999999999999" x14ac:dyDescent="0.4">
      <c r="B92" s="97" t="s">
        <v>62</v>
      </c>
      <c r="C92" s="220">
        <v>60</v>
      </c>
      <c r="D92" s="220">
        <v>60</v>
      </c>
      <c r="E92" s="220">
        <v>60</v>
      </c>
      <c r="F92" s="220">
        <v>60</v>
      </c>
      <c r="G92" s="220">
        <v>60</v>
      </c>
      <c r="H92" s="332"/>
      <c r="I92" s="332">
        <v>60</v>
      </c>
      <c r="J92" s="332">
        <v>60</v>
      </c>
      <c r="K92" s="332">
        <v>60</v>
      </c>
      <c r="L92" s="332">
        <v>60</v>
      </c>
      <c r="M92" s="332">
        <v>60</v>
      </c>
      <c r="N92" s="332"/>
      <c r="O92" s="332">
        <v>60</v>
      </c>
      <c r="P92" s="332">
        <v>60</v>
      </c>
      <c r="Q92" s="332">
        <v>60</v>
      </c>
      <c r="R92" s="332">
        <v>60</v>
      </c>
      <c r="S92" s="332">
        <v>60</v>
      </c>
      <c r="T92" s="332"/>
      <c r="U92" s="102" t="s">
        <v>61</v>
      </c>
      <c r="V92" s="214"/>
      <c r="W92" s="97" t="s">
        <v>152</v>
      </c>
    </row>
    <row r="93" spans="2:31" ht="17.399999999999999" x14ac:dyDescent="0.4">
      <c r="B93" s="97" t="s">
        <v>63</v>
      </c>
      <c r="C93" s="219">
        <v>8</v>
      </c>
      <c r="D93" s="219">
        <v>8</v>
      </c>
      <c r="E93" s="219">
        <v>8</v>
      </c>
      <c r="F93" s="219">
        <v>8</v>
      </c>
      <c r="G93" s="219">
        <v>8</v>
      </c>
      <c r="H93" s="343"/>
      <c r="I93" s="343">
        <v>8</v>
      </c>
      <c r="J93" s="343">
        <v>8</v>
      </c>
      <c r="K93" s="343">
        <v>8</v>
      </c>
      <c r="L93" s="343">
        <v>8</v>
      </c>
      <c r="M93" s="343">
        <v>8</v>
      </c>
      <c r="N93" s="343"/>
      <c r="O93" s="343">
        <v>8</v>
      </c>
      <c r="P93" s="343">
        <v>8</v>
      </c>
      <c r="Q93" s="343">
        <v>8</v>
      </c>
      <c r="R93" s="343">
        <v>8</v>
      </c>
      <c r="S93" s="343">
        <v>8</v>
      </c>
      <c r="T93" s="343"/>
      <c r="U93" s="102" t="s">
        <v>64</v>
      </c>
      <c r="V93" s="214"/>
      <c r="W93" s="97" t="s">
        <v>153</v>
      </c>
    </row>
    <row r="94" spans="2:31" ht="17.399999999999999" x14ac:dyDescent="0.4">
      <c r="B94" s="97" t="s">
        <v>65</v>
      </c>
      <c r="C94" s="205">
        <f t="shared" ref="C94:F94" si="188">C92-(C77/1000*860/C93/60)</f>
        <v>53.679000000000002</v>
      </c>
      <c r="D94" s="205">
        <f t="shared" si="188"/>
        <v>54.746833333333335</v>
      </c>
      <c r="E94" s="205">
        <f t="shared" si="188"/>
        <v>53.696916666666667</v>
      </c>
      <c r="F94" s="205">
        <f t="shared" si="188"/>
        <v>54.148416666666662</v>
      </c>
      <c r="G94" s="205">
        <f t="shared" ref="G94" si="189">G92-(G77/1000*860/G93/60)</f>
        <v>53.051916666666671</v>
      </c>
      <c r="H94" s="344"/>
      <c r="I94" s="344">
        <f t="shared" ref="I94:M94" si="190">I92-(I77/1000*860/I93/60)</f>
        <v>53.532083333333333</v>
      </c>
      <c r="J94" s="344">
        <f t="shared" si="190"/>
        <v>54.628583333333331</v>
      </c>
      <c r="K94" s="344">
        <f t="shared" si="190"/>
        <v>53.596583333333335</v>
      </c>
      <c r="L94" s="344">
        <f t="shared" si="190"/>
        <v>54.356250000000003</v>
      </c>
      <c r="M94" s="344">
        <f t="shared" si="190"/>
        <v>53.076999999999998</v>
      </c>
      <c r="N94" s="344"/>
      <c r="O94" s="344">
        <f t="shared" ref="O94:S94" si="191">O92-(O77/1000*860/O93/60)</f>
        <v>52.120249999999999</v>
      </c>
      <c r="P94" s="344">
        <f t="shared" si="191"/>
        <v>52.496499999999997</v>
      </c>
      <c r="Q94" s="344">
        <f t="shared" si="191"/>
        <v>51.973333333333329</v>
      </c>
      <c r="R94" s="344">
        <f t="shared" si="191"/>
        <v>52.930083333333336</v>
      </c>
      <c r="S94" s="344">
        <f t="shared" si="191"/>
        <v>51.772666666666666</v>
      </c>
      <c r="T94" s="344"/>
      <c r="U94" s="102" t="s">
        <v>61</v>
      </c>
      <c r="V94" s="214"/>
      <c r="W94" s="97"/>
    </row>
  </sheetData>
  <mergeCells count="30">
    <mergeCell ref="AO3:AQ3"/>
    <mergeCell ref="AK21:AM21"/>
    <mergeCell ref="AC23:AE23"/>
    <mergeCell ref="AG24:AI24"/>
    <mergeCell ref="AG3:AI3"/>
    <mergeCell ref="AK3:AM3"/>
    <mergeCell ref="AC10:AE10"/>
    <mergeCell ref="AK10:AM10"/>
    <mergeCell ref="AC17:AE17"/>
    <mergeCell ref="AG63:AI63"/>
    <mergeCell ref="AD34:AE34"/>
    <mergeCell ref="AK34:AM34"/>
    <mergeCell ref="AK40:AM40"/>
    <mergeCell ref="Y42:AA42"/>
    <mergeCell ref="AG43:AI43"/>
    <mergeCell ref="AK45:AM45"/>
    <mergeCell ref="C1:G1"/>
    <mergeCell ref="I1:M1"/>
    <mergeCell ref="O1:S1"/>
    <mergeCell ref="Y84:AA84"/>
    <mergeCell ref="AC84:AE84"/>
    <mergeCell ref="AC46:AE46"/>
    <mergeCell ref="Y51:AA51"/>
    <mergeCell ref="AC52:AE52"/>
    <mergeCell ref="Y57:AA57"/>
    <mergeCell ref="Y63:AA63"/>
    <mergeCell ref="Y31:AA31"/>
    <mergeCell ref="Y3:AA3"/>
    <mergeCell ref="AC3:AE3"/>
    <mergeCell ref="Y18:AA18"/>
  </mergeCells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D36"/>
  <sheetViews>
    <sheetView workbookViewId="0">
      <selection activeCell="C24" sqref="C24"/>
    </sheetView>
  </sheetViews>
  <sheetFormatPr defaultRowHeight="14.4" x14ac:dyDescent="0.25"/>
  <cols>
    <col min="2" max="2" width="22.19921875" bestFit="1" customWidth="1"/>
    <col min="3" max="3" width="87.8984375" customWidth="1"/>
    <col min="4" max="4" width="57.796875" customWidth="1"/>
  </cols>
  <sheetData>
    <row r="2" spans="2:4" ht="15" thickBot="1" x14ac:dyDescent="0.3"/>
    <row r="3" spans="2:4" ht="16.2" thickBot="1" x14ac:dyDescent="0.3">
      <c r="B3" s="262" t="s">
        <v>614</v>
      </c>
      <c r="C3" s="263" t="s">
        <v>745</v>
      </c>
      <c r="D3" s="263" t="s">
        <v>613</v>
      </c>
    </row>
    <row r="4" spans="2:4" ht="16.2" thickBot="1" x14ac:dyDescent="0.3">
      <c r="B4" s="264" t="s">
        <v>590</v>
      </c>
      <c r="C4" s="262" t="s">
        <v>746</v>
      </c>
      <c r="D4" s="262"/>
    </row>
    <row r="5" spans="2:4" ht="15.6" x14ac:dyDescent="0.25">
      <c r="B5" s="265" t="s">
        <v>591</v>
      </c>
      <c r="C5" s="266" t="s">
        <v>735</v>
      </c>
      <c r="D5" s="266"/>
    </row>
    <row r="6" spans="2:4" ht="15.6" x14ac:dyDescent="0.25">
      <c r="B6" s="265" t="s">
        <v>592</v>
      </c>
      <c r="C6" s="266" t="s">
        <v>734</v>
      </c>
      <c r="D6" s="266"/>
    </row>
    <row r="7" spans="2:4" ht="15.6" x14ac:dyDescent="0.25">
      <c r="B7" s="265" t="s">
        <v>720</v>
      </c>
      <c r="C7" s="318" t="s">
        <v>743</v>
      </c>
      <c r="D7" s="266"/>
    </row>
    <row r="8" spans="2:4" ht="15.6" x14ac:dyDescent="0.25">
      <c r="B8" s="265" t="s">
        <v>593</v>
      </c>
      <c r="C8" s="420" t="s">
        <v>706</v>
      </c>
      <c r="D8" s="267"/>
    </row>
    <row r="9" spans="2:4" ht="15.6" x14ac:dyDescent="0.25">
      <c r="B9" s="265" t="s">
        <v>594</v>
      </c>
      <c r="C9" s="420" t="s">
        <v>747</v>
      </c>
      <c r="D9" s="267"/>
    </row>
    <row r="10" spans="2:4" ht="15.6" x14ac:dyDescent="0.25">
      <c r="B10" s="265" t="s">
        <v>595</v>
      </c>
      <c r="C10" s="420" t="s">
        <v>707</v>
      </c>
      <c r="D10" s="267"/>
    </row>
    <row r="11" spans="2:4" ht="15.6" x14ac:dyDescent="0.25">
      <c r="B11" s="265" t="s">
        <v>596</v>
      </c>
      <c r="C11" s="421" t="s">
        <v>708</v>
      </c>
      <c r="D11" s="268" t="s">
        <v>718</v>
      </c>
    </row>
    <row r="12" spans="2:4" ht="15.6" x14ac:dyDescent="0.25">
      <c r="B12" s="265" t="s">
        <v>744</v>
      </c>
      <c r="C12" s="422" t="s">
        <v>748</v>
      </c>
      <c r="D12" s="422" t="s">
        <v>749</v>
      </c>
    </row>
    <row r="13" spans="2:4" ht="15.6" x14ac:dyDescent="0.25">
      <c r="B13" s="265" t="s">
        <v>597</v>
      </c>
      <c r="C13" s="425" t="s">
        <v>598</v>
      </c>
      <c r="D13" s="267"/>
    </row>
    <row r="14" spans="2:4" ht="62.4" x14ac:dyDescent="0.25">
      <c r="B14" s="315" t="s">
        <v>710</v>
      </c>
      <c r="C14" s="429" t="s">
        <v>773</v>
      </c>
      <c r="D14" s="422" t="s">
        <v>772</v>
      </c>
    </row>
    <row r="15" spans="2:4" ht="46.8" x14ac:dyDescent="0.25">
      <c r="B15" s="265" t="s">
        <v>709</v>
      </c>
      <c r="C15" s="423" t="s">
        <v>750</v>
      </c>
      <c r="D15" s="422" t="s">
        <v>774</v>
      </c>
    </row>
    <row r="16" spans="2:4" ht="17.25" customHeight="1" x14ac:dyDescent="0.25">
      <c r="B16" s="265" t="s">
        <v>602</v>
      </c>
      <c r="C16" s="426" t="s">
        <v>711</v>
      </c>
      <c r="D16" s="268"/>
    </row>
    <row r="17" spans="2:4" ht="21.75" customHeight="1" x14ac:dyDescent="0.25">
      <c r="B17" s="265" t="s">
        <v>603</v>
      </c>
      <c r="C17" s="425" t="s">
        <v>712</v>
      </c>
      <c r="D17" s="268"/>
    </row>
    <row r="18" spans="2:4" ht="109.2" customHeight="1" x14ac:dyDescent="0.25">
      <c r="B18" s="265" t="s">
        <v>601</v>
      </c>
      <c r="C18" s="427" t="s">
        <v>769</v>
      </c>
      <c r="D18" s="268" t="s">
        <v>754</v>
      </c>
    </row>
    <row r="19" spans="2:4" ht="96" customHeight="1" x14ac:dyDescent="0.25">
      <c r="B19" s="265" t="s">
        <v>713</v>
      </c>
      <c r="C19" s="427" t="s">
        <v>770</v>
      </c>
      <c r="D19" s="267"/>
    </row>
    <row r="20" spans="2:4" ht="15.6" x14ac:dyDescent="0.25">
      <c r="B20" s="265" t="s">
        <v>604</v>
      </c>
      <c r="C20" s="424" t="s">
        <v>751</v>
      </c>
      <c r="D20" s="268"/>
    </row>
    <row r="21" spans="2:4" ht="49.8" customHeight="1" x14ac:dyDescent="0.25">
      <c r="B21" s="265" t="s">
        <v>605</v>
      </c>
      <c r="C21" s="424" t="s">
        <v>752</v>
      </c>
      <c r="D21" s="268" t="s">
        <v>753</v>
      </c>
    </row>
    <row r="22" spans="2:4" ht="46.8" x14ac:dyDescent="0.25">
      <c r="B22" s="265" t="s">
        <v>717</v>
      </c>
      <c r="C22" s="424" t="s">
        <v>771</v>
      </c>
      <c r="D22" s="268" t="s">
        <v>760</v>
      </c>
    </row>
    <row r="23" spans="2:4" ht="15.6" x14ac:dyDescent="0.25">
      <c r="B23" s="265" t="s">
        <v>615</v>
      </c>
      <c r="C23" s="424" t="s">
        <v>714</v>
      </c>
      <c r="D23" s="268"/>
    </row>
    <row r="24" spans="2:4" ht="15.6" x14ac:dyDescent="0.25">
      <c r="B24" s="269" t="s">
        <v>606</v>
      </c>
      <c r="C24" s="424"/>
      <c r="D24" s="317"/>
    </row>
    <row r="25" spans="2:4" ht="15.6" x14ac:dyDescent="0.25">
      <c r="B25" s="265" t="s">
        <v>607</v>
      </c>
      <c r="C25" s="425"/>
      <c r="D25" s="267"/>
    </row>
    <row r="26" spans="2:4" ht="15.6" x14ac:dyDescent="0.25">
      <c r="B26" s="265" t="s">
        <v>608</v>
      </c>
      <c r="C26" s="425" t="s">
        <v>755</v>
      </c>
      <c r="D26" s="265"/>
    </row>
    <row r="27" spans="2:4" ht="15.6" x14ac:dyDescent="0.25">
      <c r="B27" s="265" t="s">
        <v>609</v>
      </c>
      <c r="C27" s="425" t="s">
        <v>756</v>
      </c>
      <c r="D27" s="265"/>
    </row>
    <row r="28" spans="2:4" ht="15.6" x14ac:dyDescent="0.25">
      <c r="B28" s="265" t="s">
        <v>610</v>
      </c>
      <c r="C28" s="425" t="s">
        <v>757</v>
      </c>
      <c r="D28" s="265"/>
    </row>
    <row r="29" spans="2:4" ht="15.6" x14ac:dyDescent="0.25">
      <c r="B29" s="265" t="s">
        <v>611</v>
      </c>
      <c r="C29" s="425" t="s">
        <v>758</v>
      </c>
      <c r="D29" s="265"/>
    </row>
    <row r="30" spans="2:4" ht="15.6" x14ac:dyDescent="0.25">
      <c r="B30" s="270" t="s">
        <v>612</v>
      </c>
      <c r="C30" s="425" t="s">
        <v>759</v>
      </c>
      <c r="D30" s="265"/>
    </row>
    <row r="31" spans="2:4" ht="15.6" x14ac:dyDescent="0.25">
      <c r="B31" s="270" t="s">
        <v>672</v>
      </c>
      <c r="C31" s="425" t="s">
        <v>759</v>
      </c>
      <c r="D31" s="270"/>
    </row>
    <row r="32" spans="2:4" ht="15.6" x14ac:dyDescent="0.25">
      <c r="B32" s="265" t="s">
        <v>599</v>
      </c>
      <c r="C32" s="428" t="s">
        <v>600</v>
      </c>
      <c r="D32" s="267"/>
    </row>
    <row r="33" spans="2:4" ht="15.6" x14ac:dyDescent="0.25">
      <c r="B33" s="270" t="s">
        <v>673</v>
      </c>
      <c r="C33" s="270" t="s">
        <v>715</v>
      </c>
      <c r="D33" s="270"/>
    </row>
    <row r="34" spans="2:4" ht="15.6" x14ac:dyDescent="0.25">
      <c r="B34" s="270" t="s">
        <v>675</v>
      </c>
      <c r="C34" s="270" t="s">
        <v>616</v>
      </c>
      <c r="D34" s="270"/>
    </row>
    <row r="35" spans="2:4" ht="15.6" x14ac:dyDescent="0.25">
      <c r="B35" s="270" t="s">
        <v>676</v>
      </c>
      <c r="C35" s="270" t="s">
        <v>616</v>
      </c>
      <c r="D35" s="270"/>
    </row>
    <row r="36" spans="2:4" ht="16.2" thickBot="1" x14ac:dyDescent="0.3">
      <c r="B36" s="271" t="s">
        <v>674</v>
      </c>
      <c r="C36" s="271" t="s">
        <v>716</v>
      </c>
      <c r="D36" s="271"/>
    </row>
  </sheetData>
  <phoneticPr fontId="5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J61"/>
  <sheetViews>
    <sheetView workbookViewId="0">
      <selection activeCell="J20" sqref="J20"/>
    </sheetView>
  </sheetViews>
  <sheetFormatPr defaultRowHeight="14.4" x14ac:dyDescent="0.25"/>
  <cols>
    <col min="2" max="2" width="10.3984375" bestFit="1" customWidth="1"/>
    <col min="3" max="3" width="15" bestFit="1" customWidth="1"/>
    <col min="4" max="4" width="16.69921875" bestFit="1" customWidth="1"/>
    <col min="5" max="5" width="18.09765625" customWidth="1"/>
    <col min="6" max="6" width="7.59765625" bestFit="1" customWidth="1"/>
  </cols>
  <sheetData>
    <row r="2" spans="2:6" ht="27.6" x14ac:dyDescent="0.25">
      <c r="B2" s="452" t="s">
        <v>589</v>
      </c>
      <c r="C2" s="453"/>
      <c r="D2" s="453"/>
      <c r="E2" s="453"/>
      <c r="F2" s="454"/>
    </row>
    <row r="3" spans="2:6" ht="21" x14ac:dyDescent="0.25">
      <c r="B3" s="455" t="s">
        <v>509</v>
      </c>
      <c r="C3" s="455"/>
      <c r="D3" s="449"/>
      <c r="E3" s="450"/>
      <c r="F3" s="451"/>
    </row>
    <row r="4" spans="2:6" ht="21" x14ac:dyDescent="0.25">
      <c r="B4" s="242" t="s">
        <v>510</v>
      </c>
      <c r="C4" s="243" t="s">
        <v>775</v>
      </c>
      <c r="D4" s="244" t="s">
        <v>511</v>
      </c>
      <c r="E4" s="456" t="s">
        <v>762</v>
      </c>
      <c r="F4" s="457"/>
    </row>
    <row r="5" spans="2:6" ht="21" x14ac:dyDescent="0.25">
      <c r="B5" s="245" t="s">
        <v>512</v>
      </c>
      <c r="C5" s="350" t="s">
        <v>763</v>
      </c>
      <c r="D5" s="244" t="s">
        <v>513</v>
      </c>
      <c r="E5" s="449" t="s">
        <v>761</v>
      </c>
      <c r="F5" s="451"/>
    </row>
    <row r="6" spans="2:6" ht="21" x14ac:dyDescent="0.25">
      <c r="B6" s="449" t="s">
        <v>514</v>
      </c>
      <c r="C6" s="450"/>
      <c r="D6" s="450"/>
      <c r="E6" s="450"/>
      <c r="F6" s="451"/>
    </row>
    <row r="7" spans="2:6" ht="17.399999999999999" x14ac:dyDescent="0.25">
      <c r="B7" s="239">
        <v>1</v>
      </c>
      <c r="C7" s="70" t="s">
        <v>515</v>
      </c>
      <c r="D7" s="246" t="s">
        <v>515</v>
      </c>
      <c r="E7" s="247"/>
      <c r="F7" s="248" t="s">
        <v>516</v>
      </c>
    </row>
    <row r="8" spans="2:6" ht="16.5" hidden="1" customHeight="1" x14ac:dyDescent="0.25">
      <c r="B8" s="249"/>
      <c r="C8" s="249"/>
      <c r="D8" s="246" t="s">
        <v>517</v>
      </c>
      <c r="E8" s="247">
        <v>1</v>
      </c>
      <c r="F8" s="248" t="s">
        <v>518</v>
      </c>
    </row>
    <row r="9" spans="2:6" ht="20.25" hidden="1" customHeight="1" x14ac:dyDescent="0.25">
      <c r="B9" s="249"/>
      <c r="C9" s="249"/>
      <c r="D9" s="250" t="s">
        <v>519</v>
      </c>
      <c r="E9" s="251">
        <f>(10*10^6)/E8</f>
        <v>10000000</v>
      </c>
      <c r="F9" s="252"/>
    </row>
    <row r="10" spans="2:6" ht="16.5" hidden="1" customHeight="1" x14ac:dyDescent="0.25">
      <c r="B10" s="249"/>
      <c r="C10" s="249"/>
      <c r="D10" s="250" t="s">
        <v>520</v>
      </c>
      <c r="E10" s="251">
        <v>100000</v>
      </c>
      <c r="F10" s="252">
        <v>50000</v>
      </c>
    </row>
    <row r="11" spans="2:6" ht="16.5" hidden="1" customHeight="1" x14ac:dyDescent="0.25">
      <c r="B11" s="249"/>
      <c r="C11" s="249"/>
      <c r="D11" s="250" t="s">
        <v>521</v>
      </c>
      <c r="E11" s="251">
        <f>$E9/(E10/10)</f>
        <v>1000</v>
      </c>
      <c r="F11" s="252">
        <f>$E9/(F10/10)</f>
        <v>2000</v>
      </c>
    </row>
    <row r="12" spans="2:6" ht="16.5" hidden="1" customHeight="1" x14ac:dyDescent="0.25">
      <c r="B12" s="249"/>
      <c r="C12" s="249"/>
      <c r="D12" s="250" t="s">
        <v>522</v>
      </c>
      <c r="E12" s="251">
        <f>E11/2</f>
        <v>500</v>
      </c>
      <c r="F12" s="252">
        <f>F11/2</f>
        <v>1000</v>
      </c>
    </row>
    <row r="13" spans="2:6" ht="16.5" customHeight="1" x14ac:dyDescent="0.25">
      <c r="B13" s="439">
        <v>2</v>
      </c>
      <c r="C13" s="442" t="s">
        <v>523</v>
      </c>
      <c r="D13" s="246" t="s">
        <v>524</v>
      </c>
      <c r="E13" s="247">
        <v>400</v>
      </c>
      <c r="F13" s="70" t="s">
        <v>525</v>
      </c>
    </row>
    <row r="14" spans="2:6" ht="17.399999999999999" x14ac:dyDescent="0.25">
      <c r="B14" s="441"/>
      <c r="C14" s="444"/>
      <c r="D14" s="246" t="s">
        <v>526</v>
      </c>
      <c r="E14" s="253">
        <v>40</v>
      </c>
      <c r="F14" s="70" t="s">
        <v>525</v>
      </c>
    </row>
    <row r="15" spans="2:6" ht="17.399999999999999" x14ac:dyDescent="0.25">
      <c r="B15" s="439">
        <v>3</v>
      </c>
      <c r="C15" s="442" t="s">
        <v>527</v>
      </c>
      <c r="D15" s="246" t="s">
        <v>527</v>
      </c>
      <c r="E15" s="247">
        <v>380</v>
      </c>
      <c r="F15" s="70" t="s">
        <v>528</v>
      </c>
    </row>
    <row r="16" spans="2:6" ht="17.399999999999999" x14ac:dyDescent="0.25">
      <c r="B16" s="440"/>
      <c r="C16" s="443"/>
      <c r="D16" s="254" t="s">
        <v>529</v>
      </c>
      <c r="E16" s="247">
        <v>763</v>
      </c>
      <c r="F16" s="70" t="s">
        <v>530</v>
      </c>
    </row>
    <row r="17" spans="2:10" ht="17.399999999999999" x14ac:dyDescent="0.25">
      <c r="B17" s="440"/>
      <c r="C17" s="443"/>
      <c r="D17" s="254" t="s">
        <v>531</v>
      </c>
      <c r="E17" s="247">
        <v>400</v>
      </c>
      <c r="F17" s="70" t="s">
        <v>530</v>
      </c>
    </row>
    <row r="18" spans="2:10" ht="17.399999999999999" x14ac:dyDescent="0.25">
      <c r="B18" s="441"/>
      <c r="C18" s="444"/>
      <c r="D18" s="254" t="s">
        <v>532</v>
      </c>
      <c r="E18" s="247">
        <v>350</v>
      </c>
      <c r="F18" s="70" t="s">
        <v>530</v>
      </c>
    </row>
    <row r="19" spans="2:10" ht="17.399999999999999" x14ac:dyDescent="0.25">
      <c r="B19" s="439">
        <v>4</v>
      </c>
      <c r="C19" s="442" t="s">
        <v>533</v>
      </c>
      <c r="D19" s="246" t="s">
        <v>534</v>
      </c>
      <c r="E19" s="247">
        <v>1000</v>
      </c>
      <c r="F19" s="70" t="s">
        <v>535</v>
      </c>
    </row>
    <row r="20" spans="2:10" ht="17.399999999999999" x14ac:dyDescent="0.25">
      <c r="B20" s="441"/>
      <c r="C20" s="444"/>
      <c r="D20" s="254" t="s">
        <v>536</v>
      </c>
      <c r="E20" s="247">
        <v>1000</v>
      </c>
      <c r="F20" s="70" t="s">
        <v>537</v>
      </c>
    </row>
    <row r="21" spans="2:10" ht="17.399999999999999" x14ac:dyDescent="0.25">
      <c r="B21" s="439">
        <v>5</v>
      </c>
      <c r="C21" s="442" t="s">
        <v>538</v>
      </c>
      <c r="D21" s="255" t="s">
        <v>539</v>
      </c>
      <c r="E21" s="256">
        <v>33</v>
      </c>
      <c r="F21" s="68" t="s">
        <v>540</v>
      </c>
    </row>
    <row r="22" spans="2:10" ht="17.399999999999999" x14ac:dyDescent="0.25">
      <c r="B22" s="440"/>
      <c r="C22" s="443"/>
      <c r="D22" s="255" t="s">
        <v>541</v>
      </c>
      <c r="E22" s="247">
        <v>7</v>
      </c>
      <c r="F22" s="68" t="s">
        <v>542</v>
      </c>
    </row>
    <row r="23" spans="2:10" ht="16.5" customHeight="1" x14ac:dyDescent="0.25">
      <c r="B23" s="440"/>
      <c r="C23" s="443"/>
      <c r="D23" s="255" t="s">
        <v>543</v>
      </c>
      <c r="E23" s="247">
        <v>1000</v>
      </c>
      <c r="F23" s="68" t="s">
        <v>544</v>
      </c>
    </row>
    <row r="24" spans="2:10" ht="17.399999999999999" x14ac:dyDescent="0.25">
      <c r="B24" s="440"/>
      <c r="C24" s="443"/>
      <c r="D24" s="255" t="s">
        <v>545</v>
      </c>
      <c r="E24" s="247">
        <v>500</v>
      </c>
      <c r="F24" s="68" t="s">
        <v>537</v>
      </c>
      <c r="G24" t="s">
        <v>765</v>
      </c>
      <c r="J24" t="s">
        <v>764</v>
      </c>
    </row>
    <row r="25" spans="2:10" ht="17.399999999999999" x14ac:dyDescent="0.25">
      <c r="B25" s="440"/>
      <c r="C25" s="443"/>
      <c r="D25" s="70" t="s">
        <v>546</v>
      </c>
      <c r="E25" s="251">
        <f>(3/(E21/E22))*E23</f>
        <v>636.36363636363637</v>
      </c>
      <c r="F25" s="68" t="s">
        <v>537</v>
      </c>
    </row>
    <row r="26" spans="2:10" ht="17.399999999999999" x14ac:dyDescent="0.25">
      <c r="B26" s="440"/>
      <c r="C26" s="443"/>
      <c r="D26" s="70" t="s">
        <v>547</v>
      </c>
      <c r="E26" s="251">
        <f>E25*1.11</f>
        <v>706.36363636363649</v>
      </c>
      <c r="F26" s="68" t="s">
        <v>537</v>
      </c>
    </row>
    <row r="27" spans="2:10" ht="17.399999999999999" x14ac:dyDescent="0.25">
      <c r="B27" s="441"/>
      <c r="C27" s="444"/>
      <c r="D27" s="257" t="s">
        <v>548</v>
      </c>
      <c r="E27" s="247">
        <v>1250</v>
      </c>
      <c r="F27" s="68" t="s">
        <v>537</v>
      </c>
    </row>
    <row r="28" spans="2:10" ht="16.5" customHeight="1" x14ac:dyDescent="0.25">
      <c r="B28" s="439">
        <v>6</v>
      </c>
      <c r="C28" s="448" t="s">
        <v>549</v>
      </c>
      <c r="D28" s="257" t="s">
        <v>524</v>
      </c>
      <c r="E28" s="247">
        <v>400</v>
      </c>
      <c r="F28" s="159" t="s">
        <v>550</v>
      </c>
    </row>
    <row r="29" spans="2:10" ht="16.5" customHeight="1" x14ac:dyDescent="0.25">
      <c r="B29" s="441"/>
      <c r="C29" s="444"/>
      <c r="D29" s="257" t="s">
        <v>526</v>
      </c>
      <c r="E29" s="253">
        <v>40</v>
      </c>
      <c r="F29" s="159" t="s">
        <v>550</v>
      </c>
    </row>
    <row r="30" spans="2:10" ht="17.399999999999999" x14ac:dyDescent="0.25">
      <c r="B30" s="439">
        <v>7</v>
      </c>
      <c r="C30" s="442" t="s">
        <v>551</v>
      </c>
      <c r="D30" s="257" t="s">
        <v>524</v>
      </c>
      <c r="E30" s="247"/>
      <c r="F30" s="159" t="s">
        <v>550</v>
      </c>
    </row>
    <row r="31" spans="2:10" ht="17.399999999999999" x14ac:dyDescent="0.25">
      <c r="B31" s="441"/>
      <c r="C31" s="444"/>
      <c r="D31" s="257" t="s">
        <v>526</v>
      </c>
      <c r="E31" s="253"/>
      <c r="F31" s="159" t="s">
        <v>550</v>
      </c>
    </row>
    <row r="32" spans="2:10" ht="17.399999999999999" x14ac:dyDescent="0.25">
      <c r="B32" s="439">
        <v>8</v>
      </c>
      <c r="C32" s="442" t="s">
        <v>552</v>
      </c>
      <c r="D32" s="257" t="s">
        <v>524</v>
      </c>
      <c r="E32" s="247"/>
      <c r="F32" s="159" t="s">
        <v>553</v>
      </c>
    </row>
    <row r="33" spans="2:6" ht="17.399999999999999" x14ac:dyDescent="0.25">
      <c r="B33" s="441"/>
      <c r="C33" s="444"/>
      <c r="D33" s="257" t="s">
        <v>526</v>
      </c>
      <c r="E33" s="247"/>
      <c r="F33" s="159" t="s">
        <v>553</v>
      </c>
    </row>
    <row r="34" spans="2:6" ht="17.399999999999999" x14ac:dyDescent="0.25">
      <c r="B34" s="439">
        <v>9</v>
      </c>
      <c r="C34" s="442" t="s">
        <v>554</v>
      </c>
      <c r="D34" s="257" t="s">
        <v>555</v>
      </c>
      <c r="E34" s="316">
        <v>0.33</v>
      </c>
      <c r="F34" s="159" t="s">
        <v>556</v>
      </c>
    </row>
    <row r="35" spans="2:6" ht="17.399999999999999" x14ac:dyDescent="0.25">
      <c r="B35" s="440"/>
      <c r="C35" s="443"/>
      <c r="D35" s="257" t="s">
        <v>557</v>
      </c>
      <c r="E35" s="247">
        <v>3500</v>
      </c>
      <c r="F35" s="159" t="s">
        <v>530</v>
      </c>
    </row>
    <row r="36" spans="2:6" ht="17.399999999999999" x14ac:dyDescent="0.25">
      <c r="B36" s="441"/>
      <c r="C36" s="444"/>
      <c r="D36" s="257" t="s">
        <v>558</v>
      </c>
      <c r="E36" s="247">
        <v>3500</v>
      </c>
      <c r="F36" s="159" t="s">
        <v>530</v>
      </c>
    </row>
    <row r="37" spans="2:6" ht="17.399999999999999" x14ac:dyDescent="0.25">
      <c r="B37" s="239">
        <v>10</v>
      </c>
      <c r="C37" s="70" t="s">
        <v>559</v>
      </c>
      <c r="D37" s="257" t="s">
        <v>560</v>
      </c>
      <c r="E37" s="247">
        <v>1.5</v>
      </c>
      <c r="F37" s="68" t="s">
        <v>544</v>
      </c>
    </row>
    <row r="38" spans="2:6" ht="17.399999999999999" x14ac:dyDescent="0.25">
      <c r="B38" s="439">
        <v>11</v>
      </c>
      <c r="C38" s="442" t="s">
        <v>561</v>
      </c>
      <c r="D38" s="257" t="s">
        <v>526</v>
      </c>
      <c r="E38" s="247">
        <v>150000</v>
      </c>
      <c r="F38" s="68" t="s">
        <v>553</v>
      </c>
    </row>
    <row r="39" spans="2:6" ht="16.5" customHeight="1" x14ac:dyDescent="0.25">
      <c r="B39" s="440"/>
      <c r="C39" s="443"/>
      <c r="D39" s="257" t="s">
        <v>524</v>
      </c>
      <c r="E39" s="247">
        <v>1000000</v>
      </c>
      <c r="F39" s="68" t="s">
        <v>553</v>
      </c>
    </row>
    <row r="40" spans="2:6" ht="17.399999999999999" x14ac:dyDescent="0.25">
      <c r="B40" s="440"/>
      <c r="C40" s="443"/>
      <c r="D40" s="257" t="s">
        <v>562</v>
      </c>
      <c r="E40" s="247"/>
      <c r="F40" s="68" t="s">
        <v>553</v>
      </c>
    </row>
    <row r="41" spans="2:6" ht="17.399999999999999" x14ac:dyDescent="0.25">
      <c r="B41" s="441"/>
      <c r="C41" s="444"/>
      <c r="D41" s="257" t="s">
        <v>563</v>
      </c>
      <c r="E41" s="247"/>
      <c r="F41" s="68" t="s">
        <v>553</v>
      </c>
    </row>
    <row r="42" spans="2:6" ht="17.399999999999999" x14ac:dyDescent="0.25">
      <c r="B42" s="439">
        <v>12</v>
      </c>
      <c r="C42" s="442" t="s">
        <v>564</v>
      </c>
      <c r="D42" s="257" t="s">
        <v>564</v>
      </c>
      <c r="E42" s="247"/>
      <c r="F42" s="159" t="s">
        <v>565</v>
      </c>
    </row>
    <row r="43" spans="2:6" ht="17.399999999999999" hidden="1" x14ac:dyDescent="0.25">
      <c r="B43" s="440"/>
      <c r="C43" s="443"/>
      <c r="D43" s="252" t="s">
        <v>566</v>
      </c>
      <c r="E43" s="251">
        <f>(100*10^6)/E8</f>
        <v>100000000</v>
      </c>
      <c r="F43" s="70"/>
    </row>
    <row r="44" spans="2:6" ht="17.399999999999999" hidden="1" x14ac:dyDescent="0.25">
      <c r="B44" s="441"/>
      <c r="C44" s="444"/>
      <c r="D44" s="70" t="s">
        <v>567</v>
      </c>
      <c r="E44" s="251">
        <v>400</v>
      </c>
      <c r="F44" s="159" t="s">
        <v>568</v>
      </c>
    </row>
    <row r="45" spans="2:6" ht="17.399999999999999" x14ac:dyDescent="0.25">
      <c r="B45" s="439">
        <v>13</v>
      </c>
      <c r="C45" s="442" t="s">
        <v>569</v>
      </c>
      <c r="D45" s="257" t="s">
        <v>570</v>
      </c>
      <c r="E45" s="257" t="s">
        <v>571</v>
      </c>
      <c r="F45" s="258" t="s">
        <v>572</v>
      </c>
    </row>
    <row r="46" spans="2:6" ht="17.399999999999999" x14ac:dyDescent="0.25">
      <c r="B46" s="440"/>
      <c r="C46" s="443"/>
      <c r="D46" s="257" t="s">
        <v>573</v>
      </c>
      <c r="E46" s="257" t="s">
        <v>574</v>
      </c>
      <c r="F46" s="258" t="s">
        <v>572</v>
      </c>
    </row>
    <row r="47" spans="2:6" ht="17.399999999999999" x14ac:dyDescent="0.25">
      <c r="B47" s="440"/>
      <c r="C47" s="443"/>
      <c r="D47" s="257" t="s">
        <v>575</v>
      </c>
      <c r="E47" s="257" t="s">
        <v>576</v>
      </c>
      <c r="F47" s="258" t="s">
        <v>572</v>
      </c>
    </row>
    <row r="48" spans="2:6" ht="17.399999999999999" x14ac:dyDescent="0.25">
      <c r="B48" s="440"/>
      <c r="C48" s="443"/>
      <c r="D48" s="257" t="s">
        <v>577</v>
      </c>
      <c r="E48" s="257" t="s">
        <v>578</v>
      </c>
      <c r="F48" s="258" t="s">
        <v>572</v>
      </c>
    </row>
    <row r="49" spans="2:6" ht="17.399999999999999" x14ac:dyDescent="0.25">
      <c r="B49" s="440"/>
      <c r="C49" s="443"/>
      <c r="D49" s="257" t="s">
        <v>579</v>
      </c>
      <c r="E49" s="257" t="s">
        <v>580</v>
      </c>
      <c r="F49" s="258" t="s">
        <v>572</v>
      </c>
    </row>
    <row r="50" spans="2:6" ht="17.399999999999999" x14ac:dyDescent="0.25">
      <c r="B50" s="440"/>
      <c r="C50" s="443"/>
      <c r="D50" s="257" t="s">
        <v>581</v>
      </c>
      <c r="E50" s="257" t="s">
        <v>582</v>
      </c>
      <c r="F50" s="258" t="s">
        <v>583</v>
      </c>
    </row>
    <row r="51" spans="2:6" ht="17.399999999999999" x14ac:dyDescent="0.25">
      <c r="B51" s="440"/>
      <c r="C51" s="443"/>
      <c r="D51" s="257" t="s">
        <v>584</v>
      </c>
      <c r="E51" s="257" t="s">
        <v>585</v>
      </c>
      <c r="F51" s="258" t="s">
        <v>572</v>
      </c>
    </row>
    <row r="52" spans="2:6" ht="37.5" customHeight="1" x14ac:dyDescent="0.25">
      <c r="B52" s="440"/>
      <c r="C52" s="443"/>
      <c r="D52" s="257" t="s">
        <v>651</v>
      </c>
      <c r="E52" s="309" t="s">
        <v>652</v>
      </c>
      <c r="F52" s="258" t="s">
        <v>653</v>
      </c>
    </row>
    <row r="53" spans="2:6" ht="17.399999999999999" x14ac:dyDescent="0.25">
      <c r="B53" s="440"/>
      <c r="C53" s="443"/>
      <c r="D53" s="257" t="s">
        <v>654</v>
      </c>
      <c r="E53" s="257" t="s">
        <v>655</v>
      </c>
      <c r="F53" s="258" t="s">
        <v>656</v>
      </c>
    </row>
    <row r="54" spans="2:6" ht="17.399999999999999" x14ac:dyDescent="0.25">
      <c r="B54" s="440"/>
      <c r="C54" s="443"/>
      <c r="D54" s="257" t="s">
        <v>657</v>
      </c>
      <c r="E54" s="259" t="s">
        <v>658</v>
      </c>
      <c r="F54" s="258" t="s">
        <v>656</v>
      </c>
    </row>
    <row r="55" spans="2:6" ht="17.399999999999999" x14ac:dyDescent="0.25">
      <c r="B55" s="440"/>
      <c r="C55" s="443"/>
      <c r="D55" s="257"/>
      <c r="E55" s="259" t="s">
        <v>659</v>
      </c>
      <c r="F55" s="258" t="s">
        <v>656</v>
      </c>
    </row>
    <row r="56" spans="2:6" ht="17.399999999999999" x14ac:dyDescent="0.25">
      <c r="B56" s="440"/>
      <c r="C56" s="443"/>
      <c r="D56" s="257"/>
      <c r="E56" s="259" t="s">
        <v>660</v>
      </c>
      <c r="F56" s="258" t="s">
        <v>656</v>
      </c>
    </row>
    <row r="57" spans="2:6" ht="17.399999999999999" x14ac:dyDescent="0.25">
      <c r="B57" s="441"/>
      <c r="C57" s="443"/>
      <c r="D57" s="257"/>
      <c r="E57" s="259" t="s">
        <v>661</v>
      </c>
      <c r="F57" s="258" t="s">
        <v>656</v>
      </c>
    </row>
    <row r="58" spans="2:6" ht="17.399999999999999" x14ac:dyDescent="0.25">
      <c r="B58" s="239">
        <v>14</v>
      </c>
      <c r="C58" s="260" t="s">
        <v>586</v>
      </c>
      <c r="D58" s="445" t="s">
        <v>719</v>
      </c>
      <c r="E58" s="446"/>
      <c r="F58" s="447"/>
    </row>
    <row r="59" spans="2:6" ht="17.399999999999999" x14ac:dyDescent="0.25">
      <c r="B59" s="239">
        <v>15</v>
      </c>
      <c r="C59" s="260" t="s">
        <v>587</v>
      </c>
      <c r="D59" s="445" t="s">
        <v>671</v>
      </c>
      <c r="E59" s="446"/>
      <c r="F59" s="447"/>
    </row>
    <row r="60" spans="2:6" x14ac:dyDescent="0.25">
      <c r="B60" s="4"/>
      <c r="C60" s="4"/>
      <c r="D60" s="4"/>
      <c r="E60" s="241"/>
      <c r="F60" s="4"/>
    </row>
    <row r="61" spans="2:6" ht="100.5" customHeight="1" x14ac:dyDescent="0.25">
      <c r="B61" s="261" t="s">
        <v>588</v>
      </c>
      <c r="C61" s="436" t="s">
        <v>766</v>
      </c>
      <c r="D61" s="437"/>
      <c r="E61" s="437"/>
      <c r="F61" s="438"/>
    </row>
  </sheetData>
  <mergeCells count="31">
    <mergeCell ref="B6:F6"/>
    <mergeCell ref="B2:F2"/>
    <mergeCell ref="B3:C3"/>
    <mergeCell ref="D3:F3"/>
    <mergeCell ref="E4:F4"/>
    <mergeCell ref="E5:F5"/>
    <mergeCell ref="B13:B14"/>
    <mergeCell ref="C13:C14"/>
    <mergeCell ref="B15:B18"/>
    <mergeCell ref="C15:C18"/>
    <mergeCell ref="B19:B20"/>
    <mergeCell ref="C19:C20"/>
    <mergeCell ref="B21:B27"/>
    <mergeCell ref="C21:C27"/>
    <mergeCell ref="B28:B29"/>
    <mergeCell ref="C28:C29"/>
    <mergeCell ref="B30:B31"/>
    <mergeCell ref="C30:C31"/>
    <mergeCell ref="B32:B33"/>
    <mergeCell ref="C32:C33"/>
    <mergeCell ref="B34:B36"/>
    <mergeCell ref="C34:C36"/>
    <mergeCell ref="B38:B41"/>
    <mergeCell ref="C38:C41"/>
    <mergeCell ref="C61:F61"/>
    <mergeCell ref="B42:B44"/>
    <mergeCell ref="C42:C44"/>
    <mergeCell ref="B45:B57"/>
    <mergeCell ref="C45:C57"/>
    <mergeCell ref="D58:F58"/>
    <mergeCell ref="D59:F59"/>
  </mergeCells>
  <phoneticPr fontId="5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47"/>
  <sheetViews>
    <sheetView topLeftCell="B1" workbookViewId="0">
      <selection activeCell="A29" sqref="A29:XFD29"/>
    </sheetView>
  </sheetViews>
  <sheetFormatPr defaultRowHeight="14.4" x14ac:dyDescent="0.25"/>
  <cols>
    <col min="13" max="13" width="14.19921875" bestFit="1" customWidth="1"/>
    <col min="14" max="14" width="20.3984375" bestFit="1" customWidth="1"/>
    <col min="17" max="17" width="23.796875" bestFit="1" customWidth="1"/>
    <col min="18" max="18" width="11.3984375" bestFit="1" customWidth="1"/>
    <col min="19" max="19" width="25.09765625" bestFit="1" customWidth="1"/>
    <col min="20" max="20" width="8" bestFit="1" customWidth="1"/>
    <col min="21" max="21" width="10" bestFit="1" customWidth="1"/>
    <col min="22" max="22" width="30.796875" bestFit="1" customWidth="1"/>
  </cols>
  <sheetData>
    <row r="1" spans="1:22" ht="15" thickBot="1" x14ac:dyDescent="0.3"/>
    <row r="2" spans="1:22" ht="18" thickBot="1" x14ac:dyDescent="0.3">
      <c r="A2" s="458" t="s">
        <v>382</v>
      </c>
      <c r="B2" s="460" t="s">
        <v>383</v>
      </c>
      <c r="C2" s="460" t="s">
        <v>384</v>
      </c>
      <c r="D2" s="460" t="s">
        <v>385</v>
      </c>
      <c r="E2" s="460" t="s">
        <v>386</v>
      </c>
      <c r="F2" s="462" t="s">
        <v>387</v>
      </c>
      <c r="G2" s="464" t="s">
        <v>388</v>
      </c>
      <c r="H2" s="460" t="s">
        <v>389</v>
      </c>
      <c r="I2" s="464" t="s">
        <v>390</v>
      </c>
      <c r="J2" s="466" t="s">
        <v>391</v>
      </c>
      <c r="K2" s="460" t="s">
        <v>392</v>
      </c>
      <c r="L2" s="462" t="s">
        <v>393</v>
      </c>
      <c r="M2" s="460" t="s">
        <v>394</v>
      </c>
      <c r="N2" s="460" t="s">
        <v>395</v>
      </c>
      <c r="O2" s="462" t="s">
        <v>396</v>
      </c>
      <c r="P2" s="460" t="s">
        <v>397</v>
      </c>
      <c r="Q2" s="460" t="s">
        <v>398</v>
      </c>
      <c r="R2" s="460"/>
      <c r="S2" s="464" t="s">
        <v>399</v>
      </c>
      <c r="T2" s="468" t="s">
        <v>400</v>
      </c>
      <c r="U2" s="470" t="s">
        <v>401</v>
      </c>
      <c r="V2" s="470" t="s">
        <v>402</v>
      </c>
    </row>
    <row r="3" spans="1:22" ht="18" thickBot="1" x14ac:dyDescent="0.3">
      <c r="A3" s="459"/>
      <c r="B3" s="461"/>
      <c r="C3" s="461"/>
      <c r="D3" s="461"/>
      <c r="E3" s="461"/>
      <c r="F3" s="463"/>
      <c r="G3" s="465"/>
      <c r="H3" s="461"/>
      <c r="I3" s="465"/>
      <c r="J3" s="467"/>
      <c r="K3" s="461"/>
      <c r="L3" s="463"/>
      <c r="M3" s="461"/>
      <c r="N3" s="461"/>
      <c r="O3" s="463"/>
      <c r="P3" s="461"/>
      <c r="Q3" s="279" t="s">
        <v>403</v>
      </c>
      <c r="R3" s="279" t="s">
        <v>404</v>
      </c>
      <c r="S3" s="465"/>
      <c r="T3" s="469"/>
      <c r="U3" s="471"/>
      <c r="V3" s="471"/>
    </row>
    <row r="4" spans="1:22" ht="18" thickTop="1" x14ac:dyDescent="0.4">
      <c r="A4" s="280">
        <v>20</v>
      </c>
      <c r="B4" s="281">
        <v>220</v>
      </c>
      <c r="C4" s="282">
        <f t="shared" ref="C4:C47" si="0">ROUNDUP(A4/(B4*0.9)/3^0.5*1000/0.9,0)</f>
        <v>65</v>
      </c>
      <c r="D4" s="282">
        <f t="shared" ref="D4:D47" si="1">ROUNDUP(B4*2^0.5*0.93,0)</f>
        <v>290</v>
      </c>
      <c r="E4" s="282">
        <f t="shared" ref="E4:E47" si="2">ROUNDUP(A4*1000/D4,0)</f>
        <v>69</v>
      </c>
      <c r="F4" s="283">
        <f t="shared" ref="F4:F47" si="3">30.8*100*C4/(1000*10)</f>
        <v>20.02</v>
      </c>
      <c r="G4" s="284">
        <f t="shared" ref="G4:G47" si="4">C4/(H4*I4)</f>
        <v>1.8571428571428572</v>
      </c>
      <c r="H4" s="281">
        <v>35</v>
      </c>
      <c r="I4" s="281">
        <v>1</v>
      </c>
      <c r="J4" s="281">
        <f t="shared" ref="J4:J47" si="5">L4*0.052</f>
        <v>3.9</v>
      </c>
      <c r="K4" s="281">
        <v>16</v>
      </c>
      <c r="L4" s="281">
        <v>75</v>
      </c>
      <c r="M4" s="281" t="s">
        <v>405</v>
      </c>
      <c r="N4" s="281" t="s">
        <v>406</v>
      </c>
      <c r="O4" s="285">
        <f t="shared" ref="O4:O47" si="6">SUM(C4*1.25)</f>
        <v>81.25</v>
      </c>
      <c r="P4" s="281" t="s">
        <v>407</v>
      </c>
      <c r="Q4" s="281" t="s">
        <v>408</v>
      </c>
      <c r="R4" s="281"/>
      <c r="S4" s="286" t="s">
        <v>409</v>
      </c>
      <c r="T4" s="286" t="s">
        <v>410</v>
      </c>
      <c r="U4" s="281" t="s">
        <v>411</v>
      </c>
      <c r="V4" s="287" t="s">
        <v>412</v>
      </c>
    </row>
    <row r="5" spans="1:22" ht="17.399999999999999" x14ac:dyDescent="0.4">
      <c r="A5" s="280">
        <v>20</v>
      </c>
      <c r="B5" s="281">
        <v>380</v>
      </c>
      <c r="C5" s="282">
        <f t="shared" si="0"/>
        <v>38</v>
      </c>
      <c r="D5" s="282">
        <f t="shared" si="1"/>
        <v>500</v>
      </c>
      <c r="E5" s="282">
        <f t="shared" si="2"/>
        <v>40</v>
      </c>
      <c r="F5" s="283">
        <f t="shared" si="3"/>
        <v>11.704000000000001</v>
      </c>
      <c r="G5" s="284">
        <f t="shared" si="4"/>
        <v>1.52</v>
      </c>
      <c r="H5" s="281">
        <v>25</v>
      </c>
      <c r="I5" s="281">
        <v>1</v>
      </c>
      <c r="J5" s="281">
        <f t="shared" si="5"/>
        <v>2.6</v>
      </c>
      <c r="K5" s="281">
        <v>16</v>
      </c>
      <c r="L5" s="281">
        <v>50</v>
      </c>
      <c r="M5" s="281" t="s">
        <v>413</v>
      </c>
      <c r="N5" s="281" t="s">
        <v>414</v>
      </c>
      <c r="O5" s="285">
        <f t="shared" si="6"/>
        <v>47.5</v>
      </c>
      <c r="P5" s="281" t="s">
        <v>415</v>
      </c>
      <c r="Q5" s="281" t="s">
        <v>408</v>
      </c>
      <c r="R5" s="281"/>
      <c r="S5" s="286" t="s">
        <v>409</v>
      </c>
      <c r="T5" s="286" t="s">
        <v>407</v>
      </c>
      <c r="U5" s="281" t="s">
        <v>416</v>
      </c>
      <c r="V5" s="287" t="s">
        <v>412</v>
      </c>
    </row>
    <row r="6" spans="1:22" ht="17.399999999999999" x14ac:dyDescent="0.4">
      <c r="A6" s="280">
        <v>20</v>
      </c>
      <c r="B6" s="281">
        <v>440</v>
      </c>
      <c r="C6" s="282">
        <f t="shared" si="0"/>
        <v>33</v>
      </c>
      <c r="D6" s="282">
        <f t="shared" si="1"/>
        <v>579</v>
      </c>
      <c r="E6" s="282">
        <f t="shared" si="2"/>
        <v>35</v>
      </c>
      <c r="F6" s="283">
        <f t="shared" si="3"/>
        <v>10.164</v>
      </c>
      <c r="G6" s="284">
        <f t="shared" si="4"/>
        <v>1.32</v>
      </c>
      <c r="H6" s="281">
        <v>25</v>
      </c>
      <c r="I6" s="281">
        <v>1</v>
      </c>
      <c r="J6" s="281">
        <f t="shared" si="5"/>
        <v>2.6</v>
      </c>
      <c r="K6" s="281">
        <v>16</v>
      </c>
      <c r="L6" s="281">
        <v>50</v>
      </c>
      <c r="M6" s="281" t="s">
        <v>413</v>
      </c>
      <c r="N6" s="281" t="s">
        <v>414</v>
      </c>
      <c r="O6" s="285">
        <f t="shared" si="6"/>
        <v>41.25</v>
      </c>
      <c r="P6" s="281" t="s">
        <v>415</v>
      </c>
      <c r="Q6" s="281" t="s">
        <v>408</v>
      </c>
      <c r="R6" s="281"/>
      <c r="S6" s="286" t="s">
        <v>409</v>
      </c>
      <c r="T6" s="286" t="s">
        <v>407</v>
      </c>
      <c r="U6" s="281" t="s">
        <v>416</v>
      </c>
      <c r="V6" s="287" t="s">
        <v>412</v>
      </c>
    </row>
    <row r="7" spans="1:22" ht="17.399999999999999" x14ac:dyDescent="0.4">
      <c r="A7" s="280">
        <v>30</v>
      </c>
      <c r="B7" s="281">
        <v>220</v>
      </c>
      <c r="C7" s="282">
        <f t="shared" si="0"/>
        <v>98</v>
      </c>
      <c r="D7" s="282">
        <f t="shared" si="1"/>
        <v>290</v>
      </c>
      <c r="E7" s="282">
        <f t="shared" si="2"/>
        <v>104</v>
      </c>
      <c r="F7" s="283">
        <f t="shared" si="3"/>
        <v>30.184000000000001</v>
      </c>
      <c r="G7" s="284">
        <f t="shared" si="4"/>
        <v>1.96</v>
      </c>
      <c r="H7" s="281">
        <v>50</v>
      </c>
      <c r="I7" s="281">
        <v>1</v>
      </c>
      <c r="J7" s="281">
        <f t="shared" si="5"/>
        <v>6.5</v>
      </c>
      <c r="K7" s="281">
        <v>16</v>
      </c>
      <c r="L7" s="281">
        <v>125</v>
      </c>
      <c r="M7" s="281" t="s">
        <v>417</v>
      </c>
      <c r="N7" s="281" t="s">
        <v>418</v>
      </c>
      <c r="O7" s="285">
        <f t="shared" si="6"/>
        <v>122.5</v>
      </c>
      <c r="P7" s="281" t="s">
        <v>419</v>
      </c>
      <c r="Q7" s="281" t="s">
        <v>408</v>
      </c>
      <c r="R7" s="288" t="s">
        <v>412</v>
      </c>
      <c r="S7" s="286" t="s">
        <v>409</v>
      </c>
      <c r="T7" s="286" t="s">
        <v>420</v>
      </c>
      <c r="U7" s="281" t="s">
        <v>416</v>
      </c>
      <c r="V7" s="287" t="s">
        <v>412</v>
      </c>
    </row>
    <row r="8" spans="1:22" ht="17.399999999999999" x14ac:dyDescent="0.4">
      <c r="A8" s="280">
        <v>30</v>
      </c>
      <c r="B8" s="281">
        <v>380</v>
      </c>
      <c r="C8" s="282">
        <f t="shared" si="0"/>
        <v>57</v>
      </c>
      <c r="D8" s="282">
        <f t="shared" si="1"/>
        <v>500</v>
      </c>
      <c r="E8" s="282">
        <f t="shared" si="2"/>
        <v>60</v>
      </c>
      <c r="F8" s="283">
        <f t="shared" si="3"/>
        <v>17.556000000000001</v>
      </c>
      <c r="G8" s="284">
        <f t="shared" si="4"/>
        <v>1.6285714285714286</v>
      </c>
      <c r="H8" s="281">
        <v>35</v>
      </c>
      <c r="I8" s="281">
        <v>1</v>
      </c>
      <c r="J8" s="281">
        <f t="shared" si="5"/>
        <v>3.9</v>
      </c>
      <c r="K8" s="281">
        <v>16</v>
      </c>
      <c r="L8" s="281">
        <v>75</v>
      </c>
      <c r="M8" s="281" t="s">
        <v>405</v>
      </c>
      <c r="N8" s="281" t="s">
        <v>406</v>
      </c>
      <c r="O8" s="285">
        <f t="shared" si="6"/>
        <v>71.25</v>
      </c>
      <c r="P8" s="281" t="s">
        <v>407</v>
      </c>
      <c r="Q8" s="281" t="s">
        <v>408</v>
      </c>
      <c r="R8" s="288" t="s">
        <v>412</v>
      </c>
      <c r="S8" s="286" t="s">
        <v>409</v>
      </c>
      <c r="T8" s="286" t="s">
        <v>407</v>
      </c>
      <c r="U8" s="281" t="s">
        <v>416</v>
      </c>
      <c r="V8" s="287" t="s">
        <v>412</v>
      </c>
    </row>
    <row r="9" spans="1:22" ht="17.399999999999999" x14ac:dyDescent="0.4">
      <c r="A9" s="280">
        <v>30</v>
      </c>
      <c r="B9" s="281">
        <v>440</v>
      </c>
      <c r="C9" s="282">
        <f t="shared" si="0"/>
        <v>49</v>
      </c>
      <c r="D9" s="282">
        <f t="shared" si="1"/>
        <v>579</v>
      </c>
      <c r="E9" s="282">
        <f t="shared" si="2"/>
        <v>52</v>
      </c>
      <c r="F9" s="283">
        <f t="shared" si="3"/>
        <v>15.092000000000001</v>
      </c>
      <c r="G9" s="284">
        <f t="shared" si="4"/>
        <v>1.4</v>
      </c>
      <c r="H9" s="281">
        <v>35</v>
      </c>
      <c r="I9" s="281">
        <v>1</v>
      </c>
      <c r="J9" s="281">
        <f t="shared" si="5"/>
        <v>3.9</v>
      </c>
      <c r="K9" s="281">
        <v>16</v>
      </c>
      <c r="L9" s="281">
        <v>75</v>
      </c>
      <c r="M9" s="281" t="s">
        <v>405</v>
      </c>
      <c r="N9" s="281" t="s">
        <v>406</v>
      </c>
      <c r="O9" s="285">
        <f t="shared" si="6"/>
        <v>61.25</v>
      </c>
      <c r="P9" s="281" t="s">
        <v>407</v>
      </c>
      <c r="Q9" s="281" t="s">
        <v>408</v>
      </c>
      <c r="R9" s="288" t="s">
        <v>412</v>
      </c>
      <c r="S9" s="286" t="s">
        <v>409</v>
      </c>
      <c r="T9" s="286" t="s">
        <v>407</v>
      </c>
      <c r="U9" s="281" t="s">
        <v>416</v>
      </c>
      <c r="V9" s="287" t="s">
        <v>412</v>
      </c>
    </row>
    <row r="10" spans="1:22" ht="17.399999999999999" x14ac:dyDescent="0.4">
      <c r="A10" s="280">
        <v>50</v>
      </c>
      <c r="B10" s="281">
        <v>220</v>
      </c>
      <c r="C10" s="282">
        <f t="shared" si="0"/>
        <v>162</v>
      </c>
      <c r="D10" s="282">
        <f t="shared" si="1"/>
        <v>290</v>
      </c>
      <c r="E10" s="282">
        <f t="shared" si="2"/>
        <v>173</v>
      </c>
      <c r="F10" s="283">
        <f t="shared" si="3"/>
        <v>49.896000000000001</v>
      </c>
      <c r="G10" s="284">
        <f t="shared" si="4"/>
        <v>2.3142857142857145</v>
      </c>
      <c r="H10" s="281">
        <v>70</v>
      </c>
      <c r="I10" s="281">
        <v>1</v>
      </c>
      <c r="J10" s="281">
        <f t="shared" si="5"/>
        <v>10.4</v>
      </c>
      <c r="K10" s="281">
        <v>16</v>
      </c>
      <c r="L10" s="281">
        <v>200</v>
      </c>
      <c r="M10" s="281" t="s">
        <v>421</v>
      </c>
      <c r="N10" s="281" t="s">
        <v>422</v>
      </c>
      <c r="O10" s="285">
        <f t="shared" si="6"/>
        <v>202.5</v>
      </c>
      <c r="P10" s="281" t="s">
        <v>423</v>
      </c>
      <c r="Q10" s="281" t="s">
        <v>424</v>
      </c>
      <c r="R10" s="288" t="s">
        <v>412</v>
      </c>
      <c r="S10" s="286" t="s">
        <v>425</v>
      </c>
      <c r="T10" s="286" t="s">
        <v>426</v>
      </c>
      <c r="U10" s="472" t="s">
        <v>427</v>
      </c>
      <c r="V10" s="473"/>
    </row>
    <row r="11" spans="1:22" ht="17.399999999999999" x14ac:dyDescent="0.4">
      <c r="A11" s="280">
        <v>50</v>
      </c>
      <c r="B11" s="281">
        <v>380</v>
      </c>
      <c r="C11" s="282">
        <f t="shared" si="0"/>
        <v>94</v>
      </c>
      <c r="D11" s="282">
        <f t="shared" si="1"/>
        <v>500</v>
      </c>
      <c r="E11" s="282">
        <f t="shared" si="2"/>
        <v>100</v>
      </c>
      <c r="F11" s="283">
        <f t="shared" si="3"/>
        <v>28.952000000000002</v>
      </c>
      <c r="G11" s="284">
        <f t="shared" si="4"/>
        <v>1.3428571428571427</v>
      </c>
      <c r="H11" s="281">
        <v>70</v>
      </c>
      <c r="I11" s="281">
        <v>1</v>
      </c>
      <c r="J11" s="281">
        <f t="shared" si="5"/>
        <v>6.5</v>
      </c>
      <c r="K11" s="281">
        <v>16</v>
      </c>
      <c r="L11" s="281">
        <v>125</v>
      </c>
      <c r="M11" s="281" t="s">
        <v>428</v>
      </c>
      <c r="N11" s="281" t="s">
        <v>418</v>
      </c>
      <c r="O11" s="285">
        <f t="shared" si="6"/>
        <v>117.5</v>
      </c>
      <c r="P11" s="281" t="s">
        <v>419</v>
      </c>
      <c r="Q11" s="281" t="s">
        <v>408</v>
      </c>
      <c r="R11" s="288" t="s">
        <v>412</v>
      </c>
      <c r="S11" s="286" t="s">
        <v>409</v>
      </c>
      <c r="T11" s="286" t="s">
        <v>420</v>
      </c>
      <c r="U11" s="281" t="s">
        <v>416</v>
      </c>
      <c r="V11" s="287" t="s">
        <v>412</v>
      </c>
    </row>
    <row r="12" spans="1:22" ht="17.399999999999999" x14ac:dyDescent="0.4">
      <c r="A12" s="280">
        <v>50</v>
      </c>
      <c r="B12" s="281">
        <v>440</v>
      </c>
      <c r="C12" s="282">
        <f t="shared" si="0"/>
        <v>81</v>
      </c>
      <c r="D12" s="282">
        <f t="shared" si="1"/>
        <v>579</v>
      </c>
      <c r="E12" s="282">
        <f t="shared" si="2"/>
        <v>87</v>
      </c>
      <c r="F12" s="283">
        <f t="shared" si="3"/>
        <v>24.948</v>
      </c>
      <c r="G12" s="284">
        <f t="shared" si="4"/>
        <v>1.1571428571428573</v>
      </c>
      <c r="H12" s="281">
        <v>70</v>
      </c>
      <c r="I12" s="281">
        <v>1</v>
      </c>
      <c r="J12" s="281">
        <f t="shared" si="5"/>
        <v>5.2</v>
      </c>
      <c r="K12" s="281">
        <v>16</v>
      </c>
      <c r="L12" s="281">
        <v>100</v>
      </c>
      <c r="M12" s="281" t="s">
        <v>428</v>
      </c>
      <c r="N12" s="281" t="s">
        <v>418</v>
      </c>
      <c r="O12" s="285">
        <f t="shared" si="6"/>
        <v>101.25</v>
      </c>
      <c r="P12" s="281" t="s">
        <v>419</v>
      </c>
      <c r="Q12" s="281" t="s">
        <v>408</v>
      </c>
      <c r="R12" s="288" t="s">
        <v>412</v>
      </c>
      <c r="S12" s="286" t="s">
        <v>409</v>
      </c>
      <c r="T12" s="286" t="s">
        <v>420</v>
      </c>
      <c r="U12" s="281" t="s">
        <v>416</v>
      </c>
      <c r="V12" s="287" t="s">
        <v>412</v>
      </c>
    </row>
    <row r="13" spans="1:22" ht="17.399999999999999" x14ac:dyDescent="0.4">
      <c r="A13" s="280">
        <v>75</v>
      </c>
      <c r="B13" s="281">
        <v>220</v>
      </c>
      <c r="C13" s="282">
        <f t="shared" si="0"/>
        <v>243</v>
      </c>
      <c r="D13" s="282">
        <f t="shared" si="1"/>
        <v>290</v>
      </c>
      <c r="E13" s="282">
        <f t="shared" si="2"/>
        <v>259</v>
      </c>
      <c r="F13" s="283">
        <f t="shared" si="3"/>
        <v>74.843999999999994</v>
      </c>
      <c r="G13" s="284">
        <f t="shared" si="4"/>
        <v>1.7357142857142858</v>
      </c>
      <c r="H13" s="281">
        <v>70</v>
      </c>
      <c r="I13" s="281">
        <v>2</v>
      </c>
      <c r="J13" s="281">
        <f t="shared" si="5"/>
        <v>15.6</v>
      </c>
      <c r="K13" s="281">
        <v>16</v>
      </c>
      <c r="L13" s="281">
        <v>300</v>
      </c>
      <c r="M13" s="281" t="s">
        <v>429</v>
      </c>
      <c r="N13" s="281" t="s">
        <v>430</v>
      </c>
      <c r="O13" s="285">
        <f t="shared" si="6"/>
        <v>303.75</v>
      </c>
      <c r="P13" s="281" t="s">
        <v>431</v>
      </c>
      <c r="Q13" s="281" t="s">
        <v>424</v>
      </c>
      <c r="R13" s="288" t="s">
        <v>412</v>
      </c>
      <c r="S13" s="286" t="s">
        <v>432</v>
      </c>
      <c r="T13" s="286" t="s">
        <v>431</v>
      </c>
      <c r="U13" s="472" t="s">
        <v>427</v>
      </c>
      <c r="V13" s="473"/>
    </row>
    <row r="14" spans="1:22" ht="17.399999999999999" x14ac:dyDescent="0.4">
      <c r="A14" s="280">
        <v>75</v>
      </c>
      <c r="B14" s="281">
        <v>380</v>
      </c>
      <c r="C14" s="282">
        <f t="shared" si="0"/>
        <v>141</v>
      </c>
      <c r="D14" s="282">
        <f t="shared" si="1"/>
        <v>500</v>
      </c>
      <c r="E14" s="282">
        <f t="shared" si="2"/>
        <v>150</v>
      </c>
      <c r="F14" s="283">
        <f t="shared" si="3"/>
        <v>43.427999999999997</v>
      </c>
      <c r="G14" s="284">
        <f t="shared" si="4"/>
        <v>2.0142857142857142</v>
      </c>
      <c r="H14" s="281">
        <v>70</v>
      </c>
      <c r="I14" s="281">
        <v>1</v>
      </c>
      <c r="J14" s="281">
        <f t="shared" si="5"/>
        <v>9.1</v>
      </c>
      <c r="K14" s="281">
        <v>16</v>
      </c>
      <c r="L14" s="281">
        <v>175</v>
      </c>
      <c r="M14" s="281" t="s">
        <v>421</v>
      </c>
      <c r="N14" s="281" t="s">
        <v>422</v>
      </c>
      <c r="O14" s="285">
        <f t="shared" si="6"/>
        <v>176.25</v>
      </c>
      <c r="P14" s="281" t="s">
        <v>423</v>
      </c>
      <c r="Q14" s="281" t="s">
        <v>424</v>
      </c>
      <c r="R14" s="288" t="s">
        <v>412</v>
      </c>
      <c r="S14" s="286" t="s">
        <v>432</v>
      </c>
      <c r="T14" s="286" t="s">
        <v>423</v>
      </c>
      <c r="U14" s="472" t="s">
        <v>427</v>
      </c>
      <c r="V14" s="473"/>
    </row>
    <row r="15" spans="1:22" ht="17.399999999999999" x14ac:dyDescent="0.4">
      <c r="A15" s="280">
        <v>75</v>
      </c>
      <c r="B15" s="281">
        <v>440</v>
      </c>
      <c r="C15" s="282">
        <f t="shared" si="0"/>
        <v>122</v>
      </c>
      <c r="D15" s="282">
        <f t="shared" si="1"/>
        <v>579</v>
      </c>
      <c r="E15" s="282">
        <f t="shared" si="2"/>
        <v>130</v>
      </c>
      <c r="F15" s="283">
        <f t="shared" si="3"/>
        <v>37.576000000000001</v>
      </c>
      <c r="G15" s="284">
        <f t="shared" si="4"/>
        <v>1.7428571428571429</v>
      </c>
      <c r="H15" s="281">
        <v>70</v>
      </c>
      <c r="I15" s="281">
        <v>1</v>
      </c>
      <c r="J15" s="281">
        <f t="shared" si="5"/>
        <v>7.8</v>
      </c>
      <c r="K15" s="281">
        <v>16</v>
      </c>
      <c r="L15" s="281">
        <v>150</v>
      </c>
      <c r="M15" s="281" t="s">
        <v>421</v>
      </c>
      <c r="N15" s="281" t="s">
        <v>422</v>
      </c>
      <c r="O15" s="285">
        <f t="shared" si="6"/>
        <v>152.5</v>
      </c>
      <c r="P15" s="281" t="s">
        <v>423</v>
      </c>
      <c r="Q15" s="281" t="s">
        <v>424</v>
      </c>
      <c r="R15" s="288" t="s">
        <v>412</v>
      </c>
      <c r="S15" s="286" t="s">
        <v>432</v>
      </c>
      <c r="T15" s="286" t="s">
        <v>423</v>
      </c>
      <c r="U15" s="472" t="s">
        <v>427</v>
      </c>
      <c r="V15" s="473"/>
    </row>
    <row r="16" spans="1:22" ht="17.399999999999999" x14ac:dyDescent="0.4">
      <c r="A16" s="280">
        <v>100</v>
      </c>
      <c r="B16" s="281">
        <v>380</v>
      </c>
      <c r="C16" s="282">
        <f t="shared" si="0"/>
        <v>188</v>
      </c>
      <c r="D16" s="282">
        <f t="shared" si="1"/>
        <v>500</v>
      </c>
      <c r="E16" s="282">
        <f t="shared" si="2"/>
        <v>200</v>
      </c>
      <c r="F16" s="283">
        <f t="shared" si="3"/>
        <v>57.904000000000003</v>
      </c>
      <c r="G16" s="284">
        <f t="shared" si="4"/>
        <v>1.9789473684210526</v>
      </c>
      <c r="H16" s="281">
        <v>95</v>
      </c>
      <c r="I16" s="281">
        <v>1</v>
      </c>
      <c r="J16" s="281">
        <f t="shared" si="5"/>
        <v>10.4</v>
      </c>
      <c r="K16" s="281">
        <v>16</v>
      </c>
      <c r="L16" s="281">
        <v>200</v>
      </c>
      <c r="M16" s="281" t="s">
        <v>421</v>
      </c>
      <c r="N16" s="281" t="s">
        <v>433</v>
      </c>
      <c r="O16" s="285">
        <f t="shared" si="6"/>
        <v>235</v>
      </c>
      <c r="P16" s="281" t="s">
        <v>434</v>
      </c>
      <c r="Q16" s="281" t="s">
        <v>424</v>
      </c>
      <c r="R16" s="288" t="s">
        <v>412</v>
      </c>
      <c r="S16" s="286" t="s">
        <v>432</v>
      </c>
      <c r="T16" s="286" t="s">
        <v>431</v>
      </c>
      <c r="U16" s="472" t="s">
        <v>427</v>
      </c>
      <c r="V16" s="473"/>
    </row>
    <row r="17" spans="1:22" ht="17.399999999999999" x14ac:dyDescent="0.4">
      <c r="A17" s="280">
        <v>100</v>
      </c>
      <c r="B17" s="281">
        <v>440</v>
      </c>
      <c r="C17" s="282">
        <f t="shared" si="0"/>
        <v>162</v>
      </c>
      <c r="D17" s="282">
        <f t="shared" si="1"/>
        <v>579</v>
      </c>
      <c r="E17" s="282">
        <f t="shared" si="2"/>
        <v>173</v>
      </c>
      <c r="F17" s="283">
        <f t="shared" si="3"/>
        <v>49.896000000000001</v>
      </c>
      <c r="G17" s="284">
        <f t="shared" si="4"/>
        <v>1.7052631578947368</v>
      </c>
      <c r="H17" s="281">
        <v>95</v>
      </c>
      <c r="I17" s="281">
        <v>1</v>
      </c>
      <c r="J17" s="281">
        <f t="shared" si="5"/>
        <v>10.4</v>
      </c>
      <c r="K17" s="281">
        <v>16</v>
      </c>
      <c r="L17" s="281">
        <v>200</v>
      </c>
      <c r="M17" s="281" t="s">
        <v>421</v>
      </c>
      <c r="N17" s="281" t="s">
        <v>433</v>
      </c>
      <c r="O17" s="285">
        <f t="shared" si="6"/>
        <v>202.5</v>
      </c>
      <c r="P17" s="281" t="s">
        <v>434</v>
      </c>
      <c r="Q17" s="281" t="s">
        <v>424</v>
      </c>
      <c r="R17" s="288" t="s">
        <v>412</v>
      </c>
      <c r="S17" s="286" t="s">
        <v>432</v>
      </c>
      <c r="T17" s="286" t="s">
        <v>431</v>
      </c>
      <c r="U17" s="472" t="s">
        <v>427</v>
      </c>
      <c r="V17" s="473"/>
    </row>
    <row r="18" spans="1:22" ht="17.399999999999999" x14ac:dyDescent="0.4">
      <c r="A18" s="280">
        <v>125</v>
      </c>
      <c r="B18" s="281">
        <v>380</v>
      </c>
      <c r="C18" s="282">
        <f t="shared" si="0"/>
        <v>235</v>
      </c>
      <c r="D18" s="282">
        <f t="shared" si="1"/>
        <v>500</v>
      </c>
      <c r="E18" s="282">
        <f t="shared" si="2"/>
        <v>250</v>
      </c>
      <c r="F18" s="283">
        <f t="shared" si="3"/>
        <v>72.38</v>
      </c>
      <c r="G18" s="284">
        <f t="shared" si="4"/>
        <v>1.6785714285714286</v>
      </c>
      <c r="H18" s="281">
        <v>70</v>
      </c>
      <c r="I18" s="281">
        <v>2</v>
      </c>
      <c r="J18" s="281">
        <f t="shared" si="5"/>
        <v>13</v>
      </c>
      <c r="K18" s="281">
        <v>16</v>
      </c>
      <c r="L18" s="281">
        <v>250</v>
      </c>
      <c r="M18" s="281" t="s">
        <v>429</v>
      </c>
      <c r="N18" s="281" t="s">
        <v>430</v>
      </c>
      <c r="O18" s="285">
        <f t="shared" si="6"/>
        <v>293.75</v>
      </c>
      <c r="P18" s="281" t="s">
        <v>431</v>
      </c>
      <c r="Q18" s="281" t="s">
        <v>424</v>
      </c>
      <c r="R18" s="288" t="s">
        <v>412</v>
      </c>
      <c r="S18" s="286" t="s">
        <v>435</v>
      </c>
      <c r="T18" s="286" t="s">
        <v>431</v>
      </c>
      <c r="U18" s="472" t="s">
        <v>427</v>
      </c>
      <c r="V18" s="473"/>
    </row>
    <row r="19" spans="1:22" ht="17.399999999999999" x14ac:dyDescent="0.4">
      <c r="A19" s="280">
        <v>125</v>
      </c>
      <c r="B19" s="281">
        <v>440</v>
      </c>
      <c r="C19" s="282">
        <f t="shared" si="0"/>
        <v>203</v>
      </c>
      <c r="D19" s="282">
        <f t="shared" si="1"/>
        <v>579</v>
      </c>
      <c r="E19" s="282">
        <f t="shared" si="2"/>
        <v>216</v>
      </c>
      <c r="F19" s="283">
        <f t="shared" si="3"/>
        <v>62.524000000000001</v>
      </c>
      <c r="G19" s="284">
        <f t="shared" si="4"/>
        <v>1.45</v>
      </c>
      <c r="H19" s="281">
        <v>70</v>
      </c>
      <c r="I19" s="281">
        <v>2</v>
      </c>
      <c r="J19" s="281">
        <f t="shared" si="5"/>
        <v>13</v>
      </c>
      <c r="K19" s="281">
        <v>16</v>
      </c>
      <c r="L19" s="281">
        <v>250</v>
      </c>
      <c r="M19" s="281" t="s">
        <v>436</v>
      </c>
      <c r="N19" s="281" t="s">
        <v>433</v>
      </c>
      <c r="O19" s="285">
        <f t="shared" si="6"/>
        <v>253.75</v>
      </c>
      <c r="P19" s="281" t="s">
        <v>431</v>
      </c>
      <c r="Q19" s="281" t="s">
        <v>424</v>
      </c>
      <c r="R19" s="288" t="s">
        <v>412</v>
      </c>
      <c r="S19" s="286" t="s">
        <v>435</v>
      </c>
      <c r="T19" s="286" t="s">
        <v>431</v>
      </c>
      <c r="U19" s="472" t="s">
        <v>427</v>
      </c>
      <c r="V19" s="473"/>
    </row>
    <row r="20" spans="1:22" ht="17.399999999999999" x14ac:dyDescent="0.4">
      <c r="A20" s="280">
        <v>150</v>
      </c>
      <c r="B20" s="281">
        <v>380</v>
      </c>
      <c r="C20" s="282">
        <f t="shared" si="0"/>
        <v>282</v>
      </c>
      <c r="D20" s="282">
        <f t="shared" si="1"/>
        <v>500</v>
      </c>
      <c r="E20" s="282">
        <f t="shared" si="2"/>
        <v>300</v>
      </c>
      <c r="F20" s="283">
        <f t="shared" si="3"/>
        <v>86.855999999999995</v>
      </c>
      <c r="G20" s="284">
        <f t="shared" si="4"/>
        <v>2.0142857142857142</v>
      </c>
      <c r="H20" s="281">
        <v>70</v>
      </c>
      <c r="I20" s="281">
        <v>2</v>
      </c>
      <c r="J20" s="281">
        <f t="shared" si="5"/>
        <v>15.6</v>
      </c>
      <c r="K20" s="281">
        <v>25</v>
      </c>
      <c r="L20" s="281">
        <v>300</v>
      </c>
      <c r="M20" s="281" t="s">
        <v>429</v>
      </c>
      <c r="N20" s="281" t="s">
        <v>430</v>
      </c>
      <c r="O20" s="285">
        <f t="shared" si="6"/>
        <v>352.5</v>
      </c>
      <c r="P20" s="281" t="s">
        <v>437</v>
      </c>
      <c r="Q20" s="281" t="s">
        <v>424</v>
      </c>
      <c r="R20" s="288" t="s">
        <v>412</v>
      </c>
      <c r="S20" s="286" t="s">
        <v>435</v>
      </c>
      <c r="T20" s="286" t="s">
        <v>437</v>
      </c>
      <c r="U20" s="472" t="s">
        <v>427</v>
      </c>
      <c r="V20" s="473"/>
    </row>
    <row r="21" spans="1:22" ht="17.399999999999999" x14ac:dyDescent="0.4">
      <c r="A21" s="280">
        <v>150</v>
      </c>
      <c r="B21" s="281">
        <v>440</v>
      </c>
      <c r="C21" s="282">
        <f t="shared" si="0"/>
        <v>243</v>
      </c>
      <c r="D21" s="282">
        <f t="shared" si="1"/>
        <v>579</v>
      </c>
      <c r="E21" s="282">
        <f t="shared" si="2"/>
        <v>260</v>
      </c>
      <c r="F21" s="283">
        <f t="shared" si="3"/>
        <v>74.843999999999994</v>
      </c>
      <c r="G21" s="284">
        <f t="shared" si="4"/>
        <v>1.7357142857142858</v>
      </c>
      <c r="H21" s="281">
        <v>70</v>
      </c>
      <c r="I21" s="281">
        <v>2</v>
      </c>
      <c r="J21" s="281">
        <f t="shared" si="5"/>
        <v>15.6</v>
      </c>
      <c r="K21" s="281">
        <v>25</v>
      </c>
      <c r="L21" s="281">
        <v>300</v>
      </c>
      <c r="M21" s="281" t="s">
        <v>429</v>
      </c>
      <c r="N21" s="281" t="s">
        <v>430</v>
      </c>
      <c r="O21" s="285">
        <f t="shared" si="6"/>
        <v>303.75</v>
      </c>
      <c r="P21" s="281" t="s">
        <v>431</v>
      </c>
      <c r="Q21" s="281" t="s">
        <v>424</v>
      </c>
      <c r="R21" s="288" t="s">
        <v>412</v>
      </c>
      <c r="S21" s="286" t="s">
        <v>435</v>
      </c>
      <c r="T21" s="286" t="s">
        <v>437</v>
      </c>
      <c r="U21" s="472" t="s">
        <v>427</v>
      </c>
      <c r="V21" s="473"/>
    </row>
    <row r="22" spans="1:22" ht="17.399999999999999" x14ac:dyDescent="0.4">
      <c r="A22" s="280">
        <v>200</v>
      </c>
      <c r="B22" s="281">
        <v>380</v>
      </c>
      <c r="C22" s="282">
        <f t="shared" si="0"/>
        <v>376</v>
      </c>
      <c r="D22" s="282">
        <f t="shared" si="1"/>
        <v>500</v>
      </c>
      <c r="E22" s="282">
        <f t="shared" si="2"/>
        <v>400</v>
      </c>
      <c r="F22" s="283">
        <f t="shared" si="3"/>
        <v>115.80800000000001</v>
      </c>
      <c r="G22" s="284">
        <f t="shared" si="4"/>
        <v>1.9789473684210526</v>
      </c>
      <c r="H22" s="281">
        <v>95</v>
      </c>
      <c r="I22" s="281">
        <v>2</v>
      </c>
      <c r="J22" s="281">
        <f t="shared" si="5"/>
        <v>20.8</v>
      </c>
      <c r="K22" s="281">
        <v>25</v>
      </c>
      <c r="L22" s="281">
        <v>400</v>
      </c>
      <c r="M22" s="281" t="s">
        <v>438</v>
      </c>
      <c r="N22" s="281" t="s">
        <v>430</v>
      </c>
      <c r="O22" s="285">
        <f t="shared" si="6"/>
        <v>470</v>
      </c>
      <c r="P22" s="281" t="s">
        <v>439</v>
      </c>
      <c r="Q22" s="281" t="s">
        <v>440</v>
      </c>
      <c r="R22" s="288" t="s">
        <v>412</v>
      </c>
      <c r="S22" s="286" t="s">
        <v>435</v>
      </c>
      <c r="T22" s="286" t="s">
        <v>439</v>
      </c>
      <c r="U22" s="472" t="s">
        <v>427</v>
      </c>
      <c r="V22" s="473"/>
    </row>
    <row r="23" spans="1:22" ht="17.399999999999999" x14ac:dyDescent="0.4">
      <c r="A23" s="280">
        <v>200</v>
      </c>
      <c r="B23" s="281">
        <v>440</v>
      </c>
      <c r="C23" s="282">
        <f t="shared" si="0"/>
        <v>324</v>
      </c>
      <c r="D23" s="282">
        <f t="shared" si="1"/>
        <v>579</v>
      </c>
      <c r="E23" s="282">
        <f t="shared" si="2"/>
        <v>346</v>
      </c>
      <c r="F23" s="283">
        <f t="shared" si="3"/>
        <v>99.792000000000002</v>
      </c>
      <c r="G23" s="284">
        <f t="shared" si="4"/>
        <v>1.7052631578947368</v>
      </c>
      <c r="H23" s="281">
        <v>95</v>
      </c>
      <c r="I23" s="281">
        <v>2</v>
      </c>
      <c r="J23" s="281">
        <f t="shared" si="5"/>
        <v>20.8</v>
      </c>
      <c r="K23" s="281">
        <v>25</v>
      </c>
      <c r="L23" s="281">
        <v>400</v>
      </c>
      <c r="M23" s="281" t="s">
        <v>438</v>
      </c>
      <c r="N23" s="281" t="s">
        <v>430</v>
      </c>
      <c r="O23" s="285">
        <f t="shared" si="6"/>
        <v>405</v>
      </c>
      <c r="P23" s="281" t="s">
        <v>437</v>
      </c>
      <c r="Q23" s="281" t="s">
        <v>440</v>
      </c>
      <c r="R23" s="288" t="s">
        <v>412</v>
      </c>
      <c r="S23" s="286" t="s">
        <v>435</v>
      </c>
      <c r="T23" s="286" t="s">
        <v>439</v>
      </c>
      <c r="U23" s="472" t="s">
        <v>427</v>
      </c>
      <c r="V23" s="473"/>
    </row>
    <row r="24" spans="1:22" ht="17.399999999999999" x14ac:dyDescent="0.4">
      <c r="A24" s="280">
        <v>250</v>
      </c>
      <c r="B24" s="281">
        <v>380</v>
      </c>
      <c r="C24" s="282">
        <f t="shared" si="0"/>
        <v>469</v>
      </c>
      <c r="D24" s="282">
        <f t="shared" si="1"/>
        <v>500</v>
      </c>
      <c r="E24" s="282">
        <f t="shared" si="2"/>
        <v>500</v>
      </c>
      <c r="F24" s="283">
        <f t="shared" si="3"/>
        <v>144.452</v>
      </c>
      <c r="G24" s="284">
        <f t="shared" si="4"/>
        <v>1.9541666666666666</v>
      </c>
      <c r="H24" s="281">
        <v>120</v>
      </c>
      <c r="I24" s="281">
        <v>2</v>
      </c>
      <c r="J24" s="281">
        <f t="shared" si="5"/>
        <v>26</v>
      </c>
      <c r="K24" s="281">
        <v>35</v>
      </c>
      <c r="L24" s="281">
        <v>500</v>
      </c>
      <c r="M24" s="281" t="s">
        <v>441</v>
      </c>
      <c r="N24" s="281" t="s">
        <v>442</v>
      </c>
      <c r="O24" s="285">
        <f t="shared" si="6"/>
        <v>586.25</v>
      </c>
      <c r="P24" s="281" t="s">
        <v>443</v>
      </c>
      <c r="Q24" s="281" t="s">
        <v>440</v>
      </c>
      <c r="R24" s="288" t="s">
        <v>412</v>
      </c>
      <c r="S24" s="286" t="s">
        <v>444</v>
      </c>
      <c r="T24" s="286" t="s">
        <v>443</v>
      </c>
      <c r="U24" s="472" t="s">
        <v>427</v>
      </c>
      <c r="V24" s="473"/>
    </row>
    <row r="25" spans="1:22" ht="17.399999999999999" x14ac:dyDescent="0.4">
      <c r="A25" s="280">
        <v>250</v>
      </c>
      <c r="B25" s="281">
        <v>440</v>
      </c>
      <c r="C25" s="282">
        <f t="shared" si="0"/>
        <v>405</v>
      </c>
      <c r="D25" s="282">
        <f t="shared" si="1"/>
        <v>579</v>
      </c>
      <c r="E25" s="282">
        <f t="shared" si="2"/>
        <v>432</v>
      </c>
      <c r="F25" s="283">
        <f t="shared" si="3"/>
        <v>124.74</v>
      </c>
      <c r="G25" s="284">
        <f t="shared" si="4"/>
        <v>1.6875</v>
      </c>
      <c r="H25" s="281">
        <v>120</v>
      </c>
      <c r="I25" s="281">
        <v>2</v>
      </c>
      <c r="J25" s="281">
        <f t="shared" si="5"/>
        <v>26</v>
      </c>
      <c r="K25" s="281">
        <v>35</v>
      </c>
      <c r="L25" s="281">
        <v>500</v>
      </c>
      <c r="M25" s="281" t="s">
        <v>441</v>
      </c>
      <c r="N25" s="281" t="s">
        <v>445</v>
      </c>
      <c r="O25" s="285">
        <f t="shared" si="6"/>
        <v>506.25</v>
      </c>
      <c r="P25" s="281" t="s">
        <v>439</v>
      </c>
      <c r="Q25" s="281" t="s">
        <v>440</v>
      </c>
      <c r="R25" s="288" t="s">
        <v>412</v>
      </c>
      <c r="S25" s="286" t="s">
        <v>444</v>
      </c>
      <c r="T25" s="286" t="s">
        <v>443</v>
      </c>
      <c r="U25" s="472" t="s">
        <v>427</v>
      </c>
      <c r="V25" s="473"/>
    </row>
    <row r="26" spans="1:22" ht="17.399999999999999" x14ac:dyDescent="0.4">
      <c r="A26" s="280">
        <v>300</v>
      </c>
      <c r="B26" s="281">
        <v>380</v>
      </c>
      <c r="C26" s="282">
        <f t="shared" si="0"/>
        <v>563</v>
      </c>
      <c r="D26" s="282">
        <f t="shared" si="1"/>
        <v>500</v>
      </c>
      <c r="E26" s="282">
        <f t="shared" si="2"/>
        <v>600</v>
      </c>
      <c r="F26" s="283">
        <f t="shared" si="3"/>
        <v>173.404</v>
      </c>
      <c r="G26" s="284">
        <f t="shared" si="4"/>
        <v>1.8766666666666667</v>
      </c>
      <c r="H26" s="281">
        <v>150</v>
      </c>
      <c r="I26" s="281">
        <v>2</v>
      </c>
      <c r="J26" s="281">
        <f t="shared" si="5"/>
        <v>32.76</v>
      </c>
      <c r="K26" s="281">
        <v>35</v>
      </c>
      <c r="L26" s="281">
        <v>630</v>
      </c>
      <c r="M26" s="281" t="s">
        <v>446</v>
      </c>
      <c r="N26" s="281" t="s">
        <v>442</v>
      </c>
      <c r="O26" s="285">
        <f t="shared" si="6"/>
        <v>703.75</v>
      </c>
      <c r="P26" s="281" t="s">
        <v>447</v>
      </c>
      <c r="Q26" s="281" t="s">
        <v>440</v>
      </c>
      <c r="R26" s="288" t="s">
        <v>412</v>
      </c>
      <c r="S26" s="286" t="s">
        <v>444</v>
      </c>
      <c r="T26" s="286" t="s">
        <v>447</v>
      </c>
      <c r="U26" s="472" t="s">
        <v>427</v>
      </c>
      <c r="V26" s="473"/>
    </row>
    <row r="27" spans="1:22" ht="17.399999999999999" x14ac:dyDescent="0.4">
      <c r="A27" s="280">
        <v>300</v>
      </c>
      <c r="B27" s="281">
        <v>440</v>
      </c>
      <c r="C27" s="282">
        <f t="shared" si="0"/>
        <v>486</v>
      </c>
      <c r="D27" s="282">
        <f t="shared" si="1"/>
        <v>579</v>
      </c>
      <c r="E27" s="282">
        <f t="shared" si="2"/>
        <v>519</v>
      </c>
      <c r="F27" s="283">
        <f t="shared" si="3"/>
        <v>149.68799999999999</v>
      </c>
      <c r="G27" s="284">
        <f t="shared" si="4"/>
        <v>1.62</v>
      </c>
      <c r="H27" s="281">
        <v>150</v>
      </c>
      <c r="I27" s="281">
        <v>2</v>
      </c>
      <c r="J27" s="281">
        <f t="shared" si="5"/>
        <v>32.76</v>
      </c>
      <c r="K27" s="281">
        <v>35</v>
      </c>
      <c r="L27" s="281">
        <v>630</v>
      </c>
      <c r="M27" s="281" t="s">
        <v>446</v>
      </c>
      <c r="N27" s="281" t="s">
        <v>442</v>
      </c>
      <c r="O27" s="285">
        <f t="shared" si="6"/>
        <v>607.5</v>
      </c>
      <c r="P27" s="281" t="s">
        <v>443</v>
      </c>
      <c r="Q27" s="281" t="s">
        <v>440</v>
      </c>
      <c r="R27" s="288" t="s">
        <v>412</v>
      </c>
      <c r="S27" s="286" t="s">
        <v>444</v>
      </c>
      <c r="T27" s="286" t="s">
        <v>447</v>
      </c>
      <c r="U27" s="472" t="s">
        <v>427</v>
      </c>
      <c r="V27" s="473"/>
    </row>
    <row r="28" spans="1:22" ht="17.399999999999999" x14ac:dyDescent="0.4">
      <c r="A28" s="280">
        <v>350</v>
      </c>
      <c r="B28" s="281">
        <v>440</v>
      </c>
      <c r="C28" s="282">
        <f t="shared" si="0"/>
        <v>567</v>
      </c>
      <c r="D28" s="282">
        <f t="shared" si="1"/>
        <v>579</v>
      </c>
      <c r="E28" s="282">
        <f t="shared" si="2"/>
        <v>605</v>
      </c>
      <c r="F28" s="283">
        <f t="shared" si="3"/>
        <v>174.636</v>
      </c>
      <c r="G28" s="284">
        <f t="shared" si="4"/>
        <v>1.89</v>
      </c>
      <c r="H28" s="281">
        <v>150</v>
      </c>
      <c r="I28" s="281">
        <v>2</v>
      </c>
      <c r="J28" s="281">
        <f t="shared" si="5"/>
        <v>36.4</v>
      </c>
      <c r="K28" s="281">
        <v>50</v>
      </c>
      <c r="L28" s="281">
        <v>700</v>
      </c>
      <c r="M28" s="281" t="s">
        <v>448</v>
      </c>
      <c r="N28" s="281" t="s">
        <v>449</v>
      </c>
      <c r="O28" s="285">
        <f t="shared" si="6"/>
        <v>708.75</v>
      </c>
      <c r="P28" s="281" t="s">
        <v>447</v>
      </c>
      <c r="Q28" s="281" t="s">
        <v>440</v>
      </c>
      <c r="R28" s="288" t="s">
        <v>412</v>
      </c>
      <c r="S28" s="286" t="s">
        <v>444</v>
      </c>
      <c r="T28" s="286" t="s">
        <v>447</v>
      </c>
      <c r="U28" s="472" t="s">
        <v>427</v>
      </c>
      <c r="V28" s="473"/>
    </row>
    <row r="29" spans="1:22" ht="17.399999999999999" x14ac:dyDescent="0.4">
      <c r="A29" s="280">
        <v>400</v>
      </c>
      <c r="B29" s="281">
        <v>440</v>
      </c>
      <c r="C29" s="282">
        <f t="shared" si="0"/>
        <v>648</v>
      </c>
      <c r="D29" s="282">
        <f t="shared" si="1"/>
        <v>579</v>
      </c>
      <c r="E29" s="282">
        <f t="shared" si="2"/>
        <v>691</v>
      </c>
      <c r="F29" s="283">
        <f t="shared" si="3"/>
        <v>199.584</v>
      </c>
      <c r="G29" s="284">
        <f t="shared" si="4"/>
        <v>2.16</v>
      </c>
      <c r="H29" s="281">
        <v>150</v>
      </c>
      <c r="I29" s="281">
        <v>2</v>
      </c>
      <c r="J29" s="281">
        <f t="shared" si="5"/>
        <v>41.6</v>
      </c>
      <c r="K29" s="281">
        <v>50</v>
      </c>
      <c r="L29" s="281">
        <v>800</v>
      </c>
      <c r="M29" s="281" t="s">
        <v>448</v>
      </c>
      <c r="N29" s="281" t="s">
        <v>449</v>
      </c>
      <c r="O29" s="285">
        <f t="shared" si="6"/>
        <v>810</v>
      </c>
      <c r="P29" s="281" t="s">
        <v>447</v>
      </c>
      <c r="Q29" s="281" t="s">
        <v>450</v>
      </c>
      <c r="R29" s="288" t="s">
        <v>412</v>
      </c>
      <c r="S29" s="286" t="s">
        <v>444</v>
      </c>
      <c r="T29" s="286" t="s">
        <v>451</v>
      </c>
      <c r="U29" s="472" t="s">
        <v>427</v>
      </c>
      <c r="V29" s="473"/>
    </row>
    <row r="30" spans="1:22" ht="17.399999999999999" x14ac:dyDescent="0.4">
      <c r="A30" s="280">
        <v>450</v>
      </c>
      <c r="B30" s="281">
        <v>440</v>
      </c>
      <c r="C30" s="282">
        <f t="shared" si="0"/>
        <v>729</v>
      </c>
      <c r="D30" s="282">
        <f t="shared" si="1"/>
        <v>579</v>
      </c>
      <c r="E30" s="282">
        <f t="shared" si="2"/>
        <v>778</v>
      </c>
      <c r="F30" s="283"/>
      <c r="G30" s="284">
        <f t="shared" si="4"/>
        <v>1.9702702702702704</v>
      </c>
      <c r="H30" s="281">
        <v>185</v>
      </c>
      <c r="I30" s="281">
        <v>2</v>
      </c>
      <c r="J30" s="281">
        <f t="shared" si="5"/>
        <v>41.6</v>
      </c>
      <c r="K30" s="281">
        <v>50</v>
      </c>
      <c r="L30" s="281">
        <v>800</v>
      </c>
      <c r="M30" s="281" t="s">
        <v>448</v>
      </c>
      <c r="N30" s="281" t="s">
        <v>452</v>
      </c>
      <c r="O30" s="285">
        <f t="shared" si="6"/>
        <v>911.25</v>
      </c>
      <c r="P30" s="281" t="s">
        <v>453</v>
      </c>
      <c r="Q30" s="281" t="s">
        <v>450</v>
      </c>
      <c r="R30" s="288" t="s">
        <v>412</v>
      </c>
      <c r="S30" s="286" t="s">
        <v>444</v>
      </c>
      <c r="T30" s="286" t="s">
        <v>451</v>
      </c>
      <c r="U30" s="472" t="s">
        <v>427</v>
      </c>
      <c r="V30" s="473"/>
    </row>
    <row r="31" spans="1:22" ht="17.399999999999999" x14ac:dyDescent="0.4">
      <c r="A31" s="280">
        <v>500</v>
      </c>
      <c r="B31" s="281">
        <v>440</v>
      </c>
      <c r="C31" s="282">
        <f t="shared" si="0"/>
        <v>810</v>
      </c>
      <c r="D31" s="282">
        <f t="shared" si="1"/>
        <v>579</v>
      </c>
      <c r="E31" s="282">
        <f t="shared" si="2"/>
        <v>864</v>
      </c>
      <c r="F31" s="283">
        <f t="shared" si="3"/>
        <v>249.48</v>
      </c>
      <c r="G31" s="284">
        <f t="shared" si="4"/>
        <v>2.189189189189189</v>
      </c>
      <c r="H31" s="281">
        <v>185</v>
      </c>
      <c r="I31" s="281">
        <v>2</v>
      </c>
      <c r="J31" s="281">
        <f t="shared" si="5"/>
        <v>52</v>
      </c>
      <c r="K31" s="281">
        <v>70</v>
      </c>
      <c r="L31" s="281">
        <v>1000</v>
      </c>
      <c r="M31" s="281" t="s">
        <v>454</v>
      </c>
      <c r="N31" s="281" t="s">
        <v>455</v>
      </c>
      <c r="O31" s="285">
        <f t="shared" si="6"/>
        <v>1012.5</v>
      </c>
      <c r="P31" s="281" t="s">
        <v>451</v>
      </c>
      <c r="Q31" s="281" t="s">
        <v>450</v>
      </c>
      <c r="R31" s="288" t="s">
        <v>412</v>
      </c>
      <c r="S31" s="286" t="s">
        <v>456</v>
      </c>
      <c r="T31" s="286" t="s">
        <v>457</v>
      </c>
      <c r="U31" s="472" t="s">
        <v>427</v>
      </c>
      <c r="V31" s="473"/>
    </row>
    <row r="32" spans="1:22" ht="17.399999999999999" x14ac:dyDescent="0.4">
      <c r="A32" s="280">
        <v>600</v>
      </c>
      <c r="B32" s="281">
        <v>460</v>
      </c>
      <c r="C32" s="282">
        <f t="shared" si="0"/>
        <v>930</v>
      </c>
      <c r="D32" s="282">
        <f t="shared" si="1"/>
        <v>606</v>
      </c>
      <c r="E32" s="282">
        <f t="shared" si="2"/>
        <v>991</v>
      </c>
      <c r="F32" s="283">
        <f t="shared" si="3"/>
        <v>286.44</v>
      </c>
      <c r="G32" s="284">
        <f t="shared" si="4"/>
        <v>1.6756756756756757</v>
      </c>
      <c r="H32" s="281">
        <v>185</v>
      </c>
      <c r="I32" s="281">
        <v>3</v>
      </c>
      <c r="J32" s="281">
        <f t="shared" si="5"/>
        <v>62.4</v>
      </c>
      <c r="K32" s="281">
        <v>70</v>
      </c>
      <c r="L32" s="281">
        <v>1200</v>
      </c>
      <c r="M32" s="281" t="s">
        <v>458</v>
      </c>
      <c r="N32" s="281" t="s">
        <v>455</v>
      </c>
      <c r="O32" s="285">
        <f t="shared" si="6"/>
        <v>1162.5</v>
      </c>
      <c r="P32" s="281" t="s">
        <v>459</v>
      </c>
      <c r="Q32" s="281" t="s">
        <v>450</v>
      </c>
      <c r="R32" s="288" t="s">
        <v>412</v>
      </c>
      <c r="S32" s="286" t="s">
        <v>460</v>
      </c>
      <c r="T32" s="286" t="s">
        <v>457</v>
      </c>
      <c r="U32" s="281" t="s">
        <v>461</v>
      </c>
      <c r="V32" s="289" t="s">
        <v>462</v>
      </c>
    </row>
    <row r="33" spans="1:22" ht="17.399999999999999" x14ac:dyDescent="0.4">
      <c r="A33" s="280">
        <v>700</v>
      </c>
      <c r="B33" s="281">
        <v>460</v>
      </c>
      <c r="C33" s="282">
        <f t="shared" si="0"/>
        <v>1085</v>
      </c>
      <c r="D33" s="282">
        <f t="shared" si="1"/>
        <v>606</v>
      </c>
      <c r="E33" s="282">
        <f t="shared" si="2"/>
        <v>1156</v>
      </c>
      <c r="F33" s="283">
        <f t="shared" si="3"/>
        <v>334.18</v>
      </c>
      <c r="G33" s="284">
        <f t="shared" si="4"/>
        <v>1.4662162162162162</v>
      </c>
      <c r="H33" s="281">
        <v>185</v>
      </c>
      <c r="I33" s="281">
        <v>4</v>
      </c>
      <c r="J33" s="281">
        <f t="shared" si="5"/>
        <v>65</v>
      </c>
      <c r="K33" s="281">
        <v>70</v>
      </c>
      <c r="L33" s="281">
        <v>1250</v>
      </c>
      <c r="M33" s="281" t="s">
        <v>463</v>
      </c>
      <c r="N33" s="281" t="s">
        <v>464</v>
      </c>
      <c r="O33" s="285">
        <f t="shared" si="6"/>
        <v>1356.25</v>
      </c>
      <c r="P33" s="288" t="s">
        <v>465</v>
      </c>
      <c r="Q33" s="281" t="s">
        <v>466</v>
      </c>
      <c r="R33" s="288" t="s">
        <v>465</v>
      </c>
      <c r="S33" s="286" t="s">
        <v>467</v>
      </c>
      <c r="T33" s="286" t="s">
        <v>468</v>
      </c>
      <c r="U33" s="281" t="s">
        <v>469</v>
      </c>
      <c r="V33" s="289" t="s">
        <v>470</v>
      </c>
    </row>
    <row r="34" spans="1:22" ht="17.399999999999999" x14ac:dyDescent="0.4">
      <c r="A34" s="280">
        <v>750</v>
      </c>
      <c r="B34" s="281">
        <v>460</v>
      </c>
      <c r="C34" s="282">
        <f t="shared" si="0"/>
        <v>1163</v>
      </c>
      <c r="D34" s="282">
        <f t="shared" si="1"/>
        <v>606</v>
      </c>
      <c r="E34" s="282">
        <f t="shared" si="2"/>
        <v>1238</v>
      </c>
      <c r="F34" s="283">
        <f t="shared" si="3"/>
        <v>358.20400000000001</v>
      </c>
      <c r="G34" s="284">
        <f t="shared" si="4"/>
        <v>1.5716216216216217</v>
      </c>
      <c r="H34" s="281">
        <v>185</v>
      </c>
      <c r="I34" s="281">
        <v>4</v>
      </c>
      <c r="J34" s="281">
        <f t="shared" si="5"/>
        <v>65</v>
      </c>
      <c r="K34" s="281">
        <v>70</v>
      </c>
      <c r="L34" s="281">
        <v>1250</v>
      </c>
      <c r="M34" s="281" t="s">
        <v>463</v>
      </c>
      <c r="N34" s="281" t="s">
        <v>464</v>
      </c>
      <c r="O34" s="285">
        <f t="shared" si="6"/>
        <v>1453.75</v>
      </c>
      <c r="P34" s="288" t="s">
        <v>465</v>
      </c>
      <c r="Q34" s="281" t="s">
        <v>466</v>
      </c>
      <c r="R34" s="288" t="s">
        <v>465</v>
      </c>
      <c r="S34" s="286" t="s">
        <v>467</v>
      </c>
      <c r="T34" s="286" t="s">
        <v>471</v>
      </c>
      <c r="U34" s="281" t="s">
        <v>469</v>
      </c>
      <c r="V34" s="289" t="s">
        <v>470</v>
      </c>
    </row>
    <row r="35" spans="1:22" ht="17.399999999999999" x14ac:dyDescent="0.4">
      <c r="A35" s="280">
        <v>800</v>
      </c>
      <c r="B35" s="281">
        <v>460</v>
      </c>
      <c r="C35" s="282">
        <f t="shared" si="0"/>
        <v>1240</v>
      </c>
      <c r="D35" s="282">
        <f t="shared" si="1"/>
        <v>606</v>
      </c>
      <c r="E35" s="282">
        <f t="shared" si="2"/>
        <v>1321</v>
      </c>
      <c r="F35" s="283">
        <f t="shared" si="3"/>
        <v>381.92</v>
      </c>
      <c r="G35" s="284">
        <f t="shared" si="4"/>
        <v>1.6756756756756757</v>
      </c>
      <c r="H35" s="281">
        <v>185</v>
      </c>
      <c r="I35" s="281">
        <v>4</v>
      </c>
      <c r="J35" s="281">
        <f t="shared" si="5"/>
        <v>83.2</v>
      </c>
      <c r="K35" s="281">
        <v>95</v>
      </c>
      <c r="L35" s="281">
        <v>1600</v>
      </c>
      <c r="M35" s="281" t="s">
        <v>472</v>
      </c>
      <c r="N35" s="281" t="s">
        <v>473</v>
      </c>
      <c r="O35" s="285">
        <f t="shared" si="6"/>
        <v>1550</v>
      </c>
      <c r="P35" s="288" t="s">
        <v>465</v>
      </c>
      <c r="Q35" s="281" t="s">
        <v>466</v>
      </c>
      <c r="R35" s="288" t="s">
        <v>465</v>
      </c>
      <c r="S35" s="286" t="s">
        <v>467</v>
      </c>
      <c r="T35" s="286" t="s">
        <v>471</v>
      </c>
      <c r="U35" s="281" t="s">
        <v>469</v>
      </c>
      <c r="V35" s="289" t="s">
        <v>470</v>
      </c>
    </row>
    <row r="36" spans="1:22" ht="17.399999999999999" x14ac:dyDescent="0.4">
      <c r="A36" s="280">
        <v>1000</v>
      </c>
      <c r="B36" s="281">
        <v>460</v>
      </c>
      <c r="C36" s="282">
        <f t="shared" si="0"/>
        <v>1550</v>
      </c>
      <c r="D36" s="282">
        <f t="shared" si="1"/>
        <v>606</v>
      </c>
      <c r="E36" s="282">
        <f t="shared" si="2"/>
        <v>1651</v>
      </c>
      <c r="F36" s="283">
        <f t="shared" si="3"/>
        <v>477.4</v>
      </c>
      <c r="G36" s="284">
        <f t="shared" si="4"/>
        <v>1.6145833333333333</v>
      </c>
      <c r="H36" s="281">
        <v>240</v>
      </c>
      <c r="I36" s="281">
        <v>4</v>
      </c>
      <c r="J36" s="281">
        <f t="shared" si="5"/>
        <v>104</v>
      </c>
      <c r="K36" s="281">
        <v>120</v>
      </c>
      <c r="L36" s="281">
        <v>2000</v>
      </c>
      <c r="M36" s="281" t="s">
        <v>474</v>
      </c>
      <c r="N36" s="281" t="s">
        <v>475</v>
      </c>
      <c r="O36" s="285">
        <f t="shared" si="6"/>
        <v>1937.5</v>
      </c>
      <c r="P36" s="288" t="s">
        <v>465</v>
      </c>
      <c r="Q36" s="281" t="s">
        <v>476</v>
      </c>
      <c r="R36" s="281" t="s">
        <v>477</v>
      </c>
      <c r="S36" s="286" t="s">
        <v>467</v>
      </c>
      <c r="T36" s="286" t="s">
        <v>478</v>
      </c>
      <c r="U36" s="281" t="s">
        <v>469</v>
      </c>
      <c r="V36" s="289" t="s">
        <v>470</v>
      </c>
    </row>
    <row r="37" spans="1:22" ht="17.399999999999999" x14ac:dyDescent="0.4">
      <c r="A37" s="280">
        <v>1200</v>
      </c>
      <c r="B37" s="281">
        <v>460</v>
      </c>
      <c r="C37" s="282">
        <f t="shared" si="0"/>
        <v>1860</v>
      </c>
      <c r="D37" s="282">
        <f t="shared" si="1"/>
        <v>606</v>
      </c>
      <c r="E37" s="282">
        <f t="shared" si="2"/>
        <v>1981</v>
      </c>
      <c r="F37" s="283">
        <f t="shared" si="3"/>
        <v>572.88</v>
      </c>
      <c r="G37" s="284">
        <f t="shared" si="4"/>
        <v>1.55</v>
      </c>
      <c r="H37" s="281">
        <v>300</v>
      </c>
      <c r="I37" s="281">
        <v>4</v>
      </c>
      <c r="J37" s="281">
        <f t="shared" si="5"/>
        <v>130</v>
      </c>
      <c r="K37" s="281">
        <v>150</v>
      </c>
      <c r="L37" s="281">
        <v>2500</v>
      </c>
      <c r="M37" s="281" t="s">
        <v>479</v>
      </c>
      <c r="N37" s="281" t="s">
        <v>480</v>
      </c>
      <c r="O37" s="285">
        <f t="shared" si="6"/>
        <v>2325</v>
      </c>
      <c r="P37" s="288" t="s">
        <v>465</v>
      </c>
      <c r="Q37" s="281"/>
      <c r="R37" s="281" t="s">
        <v>477</v>
      </c>
      <c r="S37" s="286" t="s">
        <v>467</v>
      </c>
      <c r="T37" s="286" t="s">
        <v>478</v>
      </c>
      <c r="U37" s="281" t="s">
        <v>469</v>
      </c>
      <c r="V37" s="289" t="s">
        <v>481</v>
      </c>
    </row>
    <row r="38" spans="1:22" ht="17.399999999999999" x14ac:dyDescent="0.4">
      <c r="A38" s="280">
        <v>1250</v>
      </c>
      <c r="B38" s="281">
        <v>460</v>
      </c>
      <c r="C38" s="282">
        <f t="shared" si="0"/>
        <v>1937</v>
      </c>
      <c r="D38" s="282">
        <f t="shared" si="1"/>
        <v>606</v>
      </c>
      <c r="E38" s="282">
        <f t="shared" si="2"/>
        <v>2063</v>
      </c>
      <c r="F38" s="283">
        <f t="shared" si="3"/>
        <v>596.596</v>
      </c>
      <c r="G38" s="284">
        <f t="shared" si="4"/>
        <v>1.6141666666666667</v>
      </c>
      <c r="H38" s="281">
        <v>300</v>
      </c>
      <c r="I38" s="281">
        <v>4</v>
      </c>
      <c r="J38" s="281">
        <f t="shared" si="5"/>
        <v>130</v>
      </c>
      <c r="K38" s="281">
        <v>150</v>
      </c>
      <c r="L38" s="281">
        <v>2500</v>
      </c>
      <c r="M38" s="281" t="s">
        <v>482</v>
      </c>
      <c r="N38" s="281" t="s">
        <v>483</v>
      </c>
      <c r="O38" s="285">
        <f t="shared" si="6"/>
        <v>2421.25</v>
      </c>
      <c r="P38" s="288" t="s">
        <v>484</v>
      </c>
      <c r="Q38" s="281"/>
      <c r="R38" s="281" t="s">
        <v>485</v>
      </c>
      <c r="S38" s="286" t="s">
        <v>486</v>
      </c>
      <c r="T38" s="286" t="s">
        <v>487</v>
      </c>
      <c r="U38" s="281" t="s">
        <v>488</v>
      </c>
      <c r="V38" s="289" t="s">
        <v>481</v>
      </c>
    </row>
    <row r="39" spans="1:22" ht="17.399999999999999" x14ac:dyDescent="0.4">
      <c r="A39" s="280">
        <v>1500</v>
      </c>
      <c r="B39" s="281">
        <v>460</v>
      </c>
      <c r="C39" s="282">
        <f t="shared" si="0"/>
        <v>2325</v>
      </c>
      <c r="D39" s="282">
        <f t="shared" si="1"/>
        <v>606</v>
      </c>
      <c r="E39" s="282">
        <f t="shared" si="2"/>
        <v>2476</v>
      </c>
      <c r="F39" s="283">
        <f t="shared" si="3"/>
        <v>716.1</v>
      </c>
      <c r="G39" s="284">
        <f t="shared" si="4"/>
        <v>1.55</v>
      </c>
      <c r="H39" s="281">
        <v>300</v>
      </c>
      <c r="I39" s="281">
        <v>5</v>
      </c>
      <c r="J39" s="281">
        <f t="shared" si="5"/>
        <v>130</v>
      </c>
      <c r="K39" s="281">
        <v>150</v>
      </c>
      <c r="L39" s="281">
        <v>2500</v>
      </c>
      <c r="M39" s="281" t="s">
        <v>482</v>
      </c>
      <c r="N39" s="281" t="s">
        <v>483</v>
      </c>
      <c r="O39" s="285">
        <f t="shared" si="6"/>
        <v>2906.25</v>
      </c>
      <c r="P39" s="288" t="s">
        <v>484</v>
      </c>
      <c r="Q39" s="281" t="s">
        <v>489</v>
      </c>
      <c r="R39" s="281" t="s">
        <v>485</v>
      </c>
      <c r="S39" s="286" t="s">
        <v>486</v>
      </c>
      <c r="T39" s="286" t="s">
        <v>490</v>
      </c>
      <c r="U39" s="281" t="s">
        <v>469</v>
      </c>
      <c r="V39" s="289" t="s">
        <v>491</v>
      </c>
    </row>
    <row r="40" spans="1:22" ht="17.399999999999999" x14ac:dyDescent="0.4">
      <c r="A40" s="280">
        <v>1500</v>
      </c>
      <c r="B40" s="281">
        <v>650</v>
      </c>
      <c r="C40" s="282">
        <f t="shared" si="0"/>
        <v>1645</v>
      </c>
      <c r="D40" s="282">
        <f t="shared" si="1"/>
        <v>855</v>
      </c>
      <c r="E40" s="282">
        <f t="shared" si="2"/>
        <v>1755</v>
      </c>
      <c r="F40" s="283">
        <f t="shared" si="3"/>
        <v>506.66</v>
      </c>
      <c r="G40" s="284">
        <f t="shared" si="4"/>
        <v>1.7135416666666667</v>
      </c>
      <c r="H40" s="281">
        <v>240</v>
      </c>
      <c r="I40" s="281">
        <v>4</v>
      </c>
      <c r="J40" s="281">
        <f t="shared" si="5"/>
        <v>104</v>
      </c>
      <c r="K40" s="281">
        <v>120</v>
      </c>
      <c r="L40" s="281">
        <v>2000</v>
      </c>
      <c r="M40" s="281" t="s">
        <v>474</v>
      </c>
      <c r="N40" s="281" t="s">
        <v>475</v>
      </c>
      <c r="O40" s="285">
        <f t="shared" si="6"/>
        <v>2056.25</v>
      </c>
      <c r="P40" s="288" t="s">
        <v>465</v>
      </c>
      <c r="Q40" s="281"/>
      <c r="R40" s="281" t="s">
        <v>477</v>
      </c>
      <c r="S40" s="286" t="s">
        <v>467</v>
      </c>
      <c r="T40" s="286" t="s">
        <v>478</v>
      </c>
      <c r="U40" s="281" t="s">
        <v>469</v>
      </c>
      <c r="V40" s="289" t="s">
        <v>491</v>
      </c>
    </row>
    <row r="41" spans="1:22" ht="17.399999999999999" x14ac:dyDescent="0.4">
      <c r="A41" s="280">
        <v>1600</v>
      </c>
      <c r="B41" s="281">
        <v>690</v>
      </c>
      <c r="C41" s="282">
        <f>ROUNDUP(A41/(B41*0.9)/3^0.5*1000/0.9,0)</f>
        <v>1653</v>
      </c>
      <c r="D41" s="282">
        <f>ROUNDUP(B41*2^0.5*0.93,0)</f>
        <v>908</v>
      </c>
      <c r="E41" s="282">
        <f>ROUNDUP(A41*1000/D41,0)</f>
        <v>1763</v>
      </c>
      <c r="F41" s="283">
        <f>30.8*100*C41/(1000*10)</f>
        <v>509.12400000000002</v>
      </c>
      <c r="G41" s="284">
        <f>C41/(H41*I41)</f>
        <v>1.721875</v>
      </c>
      <c r="H41" s="281">
        <v>240</v>
      </c>
      <c r="I41" s="281">
        <v>4</v>
      </c>
      <c r="J41" s="281">
        <f>L41*0.052</f>
        <v>104</v>
      </c>
      <c r="K41" s="281">
        <v>120</v>
      </c>
      <c r="L41" s="281">
        <v>2000</v>
      </c>
      <c r="M41" s="281" t="s">
        <v>474</v>
      </c>
      <c r="N41" s="281" t="s">
        <v>475</v>
      </c>
      <c r="O41" s="285">
        <f>SUM(C41*1.25)</f>
        <v>2066.25</v>
      </c>
      <c r="P41" s="288" t="s">
        <v>412</v>
      </c>
      <c r="Q41" s="281"/>
      <c r="R41" s="281" t="s">
        <v>477</v>
      </c>
      <c r="S41" s="286" t="s">
        <v>467</v>
      </c>
      <c r="T41" s="286" t="s">
        <v>478</v>
      </c>
      <c r="U41" s="281" t="s">
        <v>461</v>
      </c>
      <c r="V41" s="289" t="s">
        <v>650</v>
      </c>
    </row>
    <row r="42" spans="1:22" ht="17.399999999999999" x14ac:dyDescent="0.4">
      <c r="A42" s="280">
        <v>2000</v>
      </c>
      <c r="B42" s="281">
        <v>460</v>
      </c>
      <c r="C42" s="282">
        <f t="shared" si="0"/>
        <v>3100</v>
      </c>
      <c r="D42" s="282">
        <f t="shared" si="1"/>
        <v>606</v>
      </c>
      <c r="E42" s="282">
        <f t="shared" si="2"/>
        <v>3301</v>
      </c>
      <c r="F42" s="283">
        <f t="shared" si="3"/>
        <v>954.8</v>
      </c>
      <c r="G42" s="284">
        <f t="shared" si="4"/>
        <v>1.2916666666666667</v>
      </c>
      <c r="H42" s="281">
        <v>400</v>
      </c>
      <c r="I42" s="281">
        <v>6</v>
      </c>
      <c r="J42" s="281">
        <f t="shared" si="5"/>
        <v>166.4</v>
      </c>
      <c r="K42" s="281">
        <v>185</v>
      </c>
      <c r="L42" s="281">
        <v>3200</v>
      </c>
      <c r="M42" s="281" t="s">
        <v>492</v>
      </c>
      <c r="N42" s="281" t="s">
        <v>493</v>
      </c>
      <c r="O42" s="285">
        <f t="shared" si="6"/>
        <v>3875</v>
      </c>
      <c r="P42" s="288" t="s">
        <v>465</v>
      </c>
      <c r="Q42" s="281" t="s">
        <v>494</v>
      </c>
      <c r="R42" s="281" t="s">
        <v>495</v>
      </c>
      <c r="S42" s="286" t="s">
        <v>467</v>
      </c>
      <c r="T42" s="286" t="s">
        <v>496</v>
      </c>
      <c r="U42" s="281" t="s">
        <v>469</v>
      </c>
      <c r="V42" s="289" t="s">
        <v>497</v>
      </c>
    </row>
    <row r="43" spans="1:22" ht="17.399999999999999" x14ac:dyDescent="0.4">
      <c r="A43" s="280">
        <v>2000</v>
      </c>
      <c r="B43" s="281">
        <v>650</v>
      </c>
      <c r="C43" s="282">
        <f t="shared" si="0"/>
        <v>2194</v>
      </c>
      <c r="D43" s="282">
        <f t="shared" si="1"/>
        <v>855</v>
      </c>
      <c r="E43" s="282">
        <f t="shared" si="2"/>
        <v>2340</v>
      </c>
      <c r="F43" s="283">
        <f t="shared" si="3"/>
        <v>675.75199999999995</v>
      </c>
      <c r="G43" s="284">
        <f t="shared" si="4"/>
        <v>1.4626666666666666</v>
      </c>
      <c r="H43" s="281">
        <v>300</v>
      </c>
      <c r="I43" s="281">
        <v>5</v>
      </c>
      <c r="J43" s="281">
        <f t="shared" si="5"/>
        <v>130</v>
      </c>
      <c r="K43" s="281">
        <v>150</v>
      </c>
      <c r="L43" s="281">
        <v>2500</v>
      </c>
      <c r="M43" s="281" t="s">
        <v>479</v>
      </c>
      <c r="N43" s="281" t="s">
        <v>480</v>
      </c>
      <c r="O43" s="285">
        <f t="shared" si="6"/>
        <v>2742.5</v>
      </c>
      <c r="P43" s="288" t="s">
        <v>465</v>
      </c>
      <c r="Q43" s="281" t="s">
        <v>498</v>
      </c>
      <c r="R43" s="281" t="s">
        <v>477</v>
      </c>
      <c r="S43" s="286" t="s">
        <v>467</v>
      </c>
      <c r="T43" s="286" t="s">
        <v>490</v>
      </c>
      <c r="U43" s="281" t="s">
        <v>469</v>
      </c>
      <c r="V43" s="289" t="s">
        <v>491</v>
      </c>
    </row>
    <row r="44" spans="1:22" ht="17.399999999999999" x14ac:dyDescent="0.4">
      <c r="A44" s="280">
        <v>2500</v>
      </c>
      <c r="B44" s="281">
        <v>460</v>
      </c>
      <c r="C44" s="282">
        <f t="shared" si="0"/>
        <v>3874</v>
      </c>
      <c r="D44" s="282">
        <f t="shared" si="1"/>
        <v>606</v>
      </c>
      <c r="E44" s="282">
        <f t="shared" si="2"/>
        <v>4126</v>
      </c>
      <c r="F44" s="283">
        <f t="shared" si="3"/>
        <v>1193.192</v>
      </c>
      <c r="G44" s="284">
        <f t="shared" si="4"/>
        <v>1.6141666666666667</v>
      </c>
      <c r="H44" s="281">
        <v>400</v>
      </c>
      <c r="I44" s="281">
        <v>6</v>
      </c>
      <c r="J44" s="281">
        <f t="shared" si="5"/>
        <v>208</v>
      </c>
      <c r="K44" s="281">
        <v>240</v>
      </c>
      <c r="L44" s="281">
        <v>4000</v>
      </c>
      <c r="M44" s="281" t="s">
        <v>499</v>
      </c>
      <c r="N44" s="281" t="s">
        <v>493</v>
      </c>
      <c r="O44" s="285">
        <f t="shared" si="6"/>
        <v>4842.5</v>
      </c>
      <c r="P44" s="288" t="s">
        <v>465</v>
      </c>
      <c r="Q44" s="281" t="s">
        <v>494</v>
      </c>
      <c r="R44" s="281" t="s">
        <v>495</v>
      </c>
      <c r="S44" s="286" t="s">
        <v>467</v>
      </c>
      <c r="T44" s="286" t="s">
        <v>500</v>
      </c>
      <c r="U44" s="281" t="s">
        <v>469</v>
      </c>
      <c r="V44" s="289" t="s">
        <v>497</v>
      </c>
    </row>
    <row r="45" spans="1:22" ht="17.399999999999999" x14ac:dyDescent="0.4">
      <c r="A45" s="290">
        <v>2500</v>
      </c>
      <c r="B45" s="281">
        <v>650</v>
      </c>
      <c r="C45" s="282">
        <f t="shared" si="0"/>
        <v>2742</v>
      </c>
      <c r="D45" s="282">
        <f t="shared" si="1"/>
        <v>855</v>
      </c>
      <c r="E45" s="282">
        <f t="shared" si="2"/>
        <v>2924</v>
      </c>
      <c r="F45" s="291"/>
      <c r="G45" s="284">
        <f t="shared" si="4"/>
        <v>1.1425000000000001</v>
      </c>
      <c r="H45" s="281">
        <v>400</v>
      </c>
      <c r="I45" s="281">
        <v>6</v>
      </c>
      <c r="J45" s="281">
        <f t="shared" si="5"/>
        <v>166.4</v>
      </c>
      <c r="K45" s="281">
        <v>185</v>
      </c>
      <c r="L45" s="281">
        <v>3200</v>
      </c>
      <c r="M45" s="281" t="s">
        <v>492</v>
      </c>
      <c r="N45" s="281" t="s">
        <v>493</v>
      </c>
      <c r="O45" s="285">
        <f t="shared" si="6"/>
        <v>3427.5</v>
      </c>
      <c r="P45" s="288" t="s">
        <v>465</v>
      </c>
      <c r="Q45" s="281" t="s">
        <v>494</v>
      </c>
      <c r="R45" s="281" t="s">
        <v>495</v>
      </c>
      <c r="S45" s="286" t="s">
        <v>467</v>
      </c>
      <c r="T45" s="286" t="s">
        <v>496</v>
      </c>
      <c r="U45" s="281" t="s">
        <v>469</v>
      </c>
      <c r="V45" s="289" t="s">
        <v>497</v>
      </c>
    </row>
    <row r="46" spans="1:22" ht="17.399999999999999" x14ac:dyDescent="0.4">
      <c r="A46" s="290">
        <v>3000</v>
      </c>
      <c r="B46" s="292">
        <v>460</v>
      </c>
      <c r="C46" s="293">
        <f>ROUNDUP(A46/(B46*0.9)/3^0.5*1000/0.9,0)</f>
        <v>4649</v>
      </c>
      <c r="D46" s="293">
        <f t="shared" si="1"/>
        <v>606</v>
      </c>
      <c r="E46" s="293">
        <f t="shared" si="2"/>
        <v>4951</v>
      </c>
      <c r="F46" s="291">
        <f>30.8*100*C46/(1000*10)</f>
        <v>1431.8920000000001</v>
      </c>
      <c r="G46" s="294">
        <f t="shared" si="4"/>
        <v>1.5496666666666667</v>
      </c>
      <c r="H46" s="292">
        <v>500</v>
      </c>
      <c r="I46" s="292">
        <v>6</v>
      </c>
      <c r="J46" s="292">
        <f t="shared" si="5"/>
        <v>208</v>
      </c>
      <c r="K46" s="292">
        <v>240</v>
      </c>
      <c r="L46" s="292">
        <v>4000</v>
      </c>
      <c r="M46" s="292" t="s">
        <v>499</v>
      </c>
      <c r="N46" s="292" t="s">
        <v>493</v>
      </c>
      <c r="O46" s="295">
        <f t="shared" si="6"/>
        <v>5811.25</v>
      </c>
      <c r="P46" s="296" t="s">
        <v>465</v>
      </c>
      <c r="Q46" s="292" t="s">
        <v>494</v>
      </c>
      <c r="R46" s="292" t="s">
        <v>495</v>
      </c>
      <c r="S46" s="286" t="s">
        <v>467</v>
      </c>
      <c r="T46" s="297" t="s">
        <v>501</v>
      </c>
      <c r="U46" s="292" t="s">
        <v>488</v>
      </c>
      <c r="V46" s="298" t="s">
        <v>502</v>
      </c>
    </row>
    <row r="47" spans="1:22" ht="18" thickBot="1" x14ac:dyDescent="0.45">
      <c r="A47" s="299">
        <v>3000</v>
      </c>
      <c r="B47" s="300">
        <v>650</v>
      </c>
      <c r="C47" s="301">
        <f t="shared" si="0"/>
        <v>3290</v>
      </c>
      <c r="D47" s="301">
        <f t="shared" si="1"/>
        <v>855</v>
      </c>
      <c r="E47" s="301">
        <f t="shared" si="2"/>
        <v>3509</v>
      </c>
      <c r="F47" s="302">
        <f t="shared" si="3"/>
        <v>1013.32</v>
      </c>
      <c r="G47" s="303">
        <f t="shared" si="4"/>
        <v>1.3708333333333333</v>
      </c>
      <c r="H47" s="300">
        <v>400</v>
      </c>
      <c r="I47" s="300">
        <v>6</v>
      </c>
      <c r="J47" s="300">
        <f t="shared" si="5"/>
        <v>166.4</v>
      </c>
      <c r="K47" s="300">
        <v>185</v>
      </c>
      <c r="L47" s="300">
        <v>3200</v>
      </c>
      <c r="M47" s="300" t="s">
        <v>503</v>
      </c>
      <c r="N47" s="300" t="s">
        <v>504</v>
      </c>
      <c r="O47" s="304">
        <f t="shared" si="6"/>
        <v>4112.5</v>
      </c>
      <c r="P47" s="305" t="s">
        <v>505</v>
      </c>
      <c r="Q47" s="300" t="s">
        <v>494</v>
      </c>
      <c r="R47" s="300" t="s">
        <v>506</v>
      </c>
      <c r="S47" s="306" t="s">
        <v>507</v>
      </c>
      <c r="T47" s="300" t="s">
        <v>508</v>
      </c>
      <c r="U47" s="300" t="s">
        <v>461</v>
      </c>
      <c r="V47" s="307" t="s">
        <v>502</v>
      </c>
    </row>
  </sheetData>
  <mergeCells count="41">
    <mergeCell ref="U27:V27"/>
    <mergeCell ref="U28:V28"/>
    <mergeCell ref="U29:V29"/>
    <mergeCell ref="U30:V30"/>
    <mergeCell ref="U31:V31"/>
    <mergeCell ref="V2:V3"/>
    <mergeCell ref="U10:V10"/>
    <mergeCell ref="U13:V13"/>
    <mergeCell ref="U14:V14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P2:P3"/>
    <mergeCell ref="Q2:R2"/>
    <mergeCell ref="S2:S3"/>
    <mergeCell ref="T2:T3"/>
    <mergeCell ref="U2:U3"/>
    <mergeCell ref="K2:K3"/>
    <mergeCell ref="L2:L3"/>
    <mergeCell ref="M2:M3"/>
    <mergeCell ref="N2:N3"/>
    <mergeCell ref="O2:O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7"/>
  <sheetViews>
    <sheetView zoomScale="93" zoomScaleNormal="93" workbookViewId="0">
      <selection activeCell="P31" sqref="P31"/>
    </sheetView>
  </sheetViews>
  <sheetFormatPr defaultRowHeight="14.4" x14ac:dyDescent="0.25"/>
  <cols>
    <col min="1" max="1" width="22.296875" customWidth="1"/>
    <col min="2" max="2" width="9.296875" customWidth="1"/>
    <col min="6" max="6" width="10.09765625" customWidth="1"/>
    <col min="13" max="13" width="10.296875" customWidth="1"/>
    <col min="15" max="15" width="16.3984375" customWidth="1"/>
    <col min="24" max="24" width="10.09765625" customWidth="1"/>
  </cols>
  <sheetData>
    <row r="1" spans="1:24" ht="17.399999999999999" x14ac:dyDescent="0.4">
      <c r="A1" s="103" t="s">
        <v>293</v>
      </c>
      <c r="B1" s="104"/>
      <c r="C1" s="474" t="s">
        <v>294</v>
      </c>
      <c r="D1" s="475"/>
      <c r="E1" s="475"/>
      <c r="F1" s="475"/>
      <c r="G1" s="475"/>
      <c r="H1" s="475"/>
      <c r="I1" s="475"/>
      <c r="J1" s="475"/>
      <c r="K1" s="475"/>
      <c r="L1" s="476"/>
      <c r="M1" s="105"/>
      <c r="O1" s="477" t="s">
        <v>295</v>
      </c>
      <c r="P1" s="478"/>
      <c r="Q1" s="478"/>
      <c r="R1" s="478"/>
      <c r="S1" s="478"/>
      <c r="T1" s="478"/>
      <c r="U1" s="478"/>
      <c r="V1" s="478"/>
      <c r="W1" s="478"/>
      <c r="X1" s="479"/>
    </row>
    <row r="2" spans="1:24" ht="18" thickBot="1" x14ac:dyDescent="0.45">
      <c r="A2" s="106" t="s">
        <v>296</v>
      </c>
      <c r="B2" s="107" t="s">
        <v>297</v>
      </c>
      <c r="C2" s="480" t="s">
        <v>298</v>
      </c>
      <c r="D2" s="481"/>
      <c r="E2" s="481"/>
      <c r="F2" s="481"/>
      <c r="G2" s="481"/>
      <c r="H2" s="481"/>
      <c r="I2" s="481"/>
      <c r="J2" s="481"/>
      <c r="K2" s="481"/>
      <c r="L2" s="482"/>
      <c r="M2" s="108"/>
      <c r="O2" s="109" t="s">
        <v>299</v>
      </c>
      <c r="P2" s="110" t="s">
        <v>300</v>
      </c>
      <c r="Q2" s="110" t="s">
        <v>300</v>
      </c>
      <c r="R2" s="110" t="s">
        <v>300</v>
      </c>
      <c r="S2" s="110" t="s">
        <v>300</v>
      </c>
      <c r="T2" s="111" t="s">
        <v>300</v>
      </c>
      <c r="U2" s="111" t="s">
        <v>300</v>
      </c>
      <c r="V2" s="111" t="s">
        <v>300</v>
      </c>
      <c r="W2" s="111" t="s">
        <v>300</v>
      </c>
      <c r="X2" s="112"/>
    </row>
    <row r="3" spans="1:24" ht="17.399999999999999" x14ac:dyDescent="0.4">
      <c r="A3" s="113" t="s">
        <v>301</v>
      </c>
      <c r="B3" s="114">
        <v>1.8</v>
      </c>
      <c r="C3" s="114">
        <v>20</v>
      </c>
      <c r="D3" s="115">
        <v>20</v>
      </c>
      <c r="E3" s="115">
        <v>20</v>
      </c>
      <c r="F3" s="115">
        <v>20</v>
      </c>
      <c r="G3" s="115">
        <v>20</v>
      </c>
      <c r="H3" s="116">
        <v>20</v>
      </c>
      <c r="I3" s="114">
        <v>20</v>
      </c>
      <c r="J3" s="115">
        <v>20</v>
      </c>
      <c r="K3" s="115">
        <v>20</v>
      </c>
      <c r="L3" s="116">
        <v>20</v>
      </c>
      <c r="M3" s="117" t="s">
        <v>216</v>
      </c>
      <c r="O3" s="106" t="s">
        <v>302</v>
      </c>
      <c r="P3" s="118">
        <v>14.2</v>
      </c>
      <c r="Q3" s="118">
        <v>14.2</v>
      </c>
      <c r="R3" s="118">
        <v>14.2</v>
      </c>
      <c r="S3" s="118">
        <v>14.2</v>
      </c>
      <c r="T3" s="119">
        <v>14.2</v>
      </c>
      <c r="U3" s="119">
        <v>14.2</v>
      </c>
      <c r="V3" s="119">
        <v>14.2</v>
      </c>
      <c r="W3" s="119">
        <v>14.2</v>
      </c>
      <c r="X3" s="120" t="s">
        <v>216</v>
      </c>
    </row>
    <row r="4" spans="1:24" ht="17.399999999999999" x14ac:dyDescent="0.4">
      <c r="A4" s="113" t="s">
        <v>217</v>
      </c>
      <c r="B4" s="121">
        <v>4.0410000000000003E-3</v>
      </c>
      <c r="C4" s="121">
        <v>5.0000000000000001E-3</v>
      </c>
      <c r="D4" s="122">
        <v>5.0000000000000001E-3</v>
      </c>
      <c r="E4" s="122">
        <v>5.0000000000000001E-3</v>
      </c>
      <c r="F4" s="122">
        <v>5.0000000000000001E-3</v>
      </c>
      <c r="G4" s="122">
        <v>5.0000000000000001E-3</v>
      </c>
      <c r="H4" s="123">
        <v>5.0000000000000001E-3</v>
      </c>
      <c r="I4" s="121">
        <v>5.0000000000000001E-3</v>
      </c>
      <c r="J4" s="122">
        <v>5.0000000000000001E-3</v>
      </c>
      <c r="K4" s="122">
        <v>5.0000000000000001E-3</v>
      </c>
      <c r="L4" s="123">
        <v>5.0000000000000001E-3</v>
      </c>
      <c r="M4" s="117" t="s">
        <v>218</v>
      </c>
      <c r="O4" s="106" t="s">
        <v>303</v>
      </c>
      <c r="P4" s="118">
        <v>6.6E-3</v>
      </c>
      <c r="Q4" s="118">
        <v>6.6E-3</v>
      </c>
      <c r="R4" s="118">
        <v>6.6E-3</v>
      </c>
      <c r="S4" s="118">
        <v>6.6E-3</v>
      </c>
      <c r="T4" s="119">
        <v>6.6E-3</v>
      </c>
      <c r="U4" s="119">
        <v>6.6E-3</v>
      </c>
      <c r="V4" s="119">
        <v>6.6E-3</v>
      </c>
      <c r="W4" s="119">
        <v>6.6E-3</v>
      </c>
      <c r="X4" s="120" t="s">
        <v>218</v>
      </c>
    </row>
    <row r="5" spans="1:24" ht="17.399999999999999" x14ac:dyDescent="0.4">
      <c r="A5" s="113" t="s">
        <v>219</v>
      </c>
      <c r="B5" s="121">
        <v>100</v>
      </c>
      <c r="C5" s="121">
        <v>350</v>
      </c>
      <c r="D5" s="122">
        <v>350</v>
      </c>
      <c r="E5" s="122">
        <v>350</v>
      </c>
      <c r="F5" s="122">
        <v>350</v>
      </c>
      <c r="G5" s="122">
        <v>350</v>
      </c>
      <c r="H5" s="123">
        <v>350</v>
      </c>
      <c r="I5" s="121">
        <v>350</v>
      </c>
      <c r="J5" s="122">
        <v>350</v>
      </c>
      <c r="K5" s="122">
        <v>350</v>
      </c>
      <c r="L5" s="123">
        <v>350</v>
      </c>
      <c r="M5" s="117" t="s">
        <v>48</v>
      </c>
      <c r="O5" s="106" t="s">
        <v>304</v>
      </c>
      <c r="P5" s="118">
        <v>500</v>
      </c>
      <c r="Q5" s="118">
        <v>500</v>
      </c>
      <c r="R5" s="118">
        <v>500</v>
      </c>
      <c r="S5" s="118">
        <v>500</v>
      </c>
      <c r="T5" s="119">
        <v>500</v>
      </c>
      <c r="U5" s="119">
        <v>500</v>
      </c>
      <c r="V5" s="119">
        <v>500</v>
      </c>
      <c r="W5" s="119">
        <v>500</v>
      </c>
      <c r="X5" s="120" t="s">
        <v>48</v>
      </c>
    </row>
    <row r="6" spans="1:24" ht="17.399999999999999" x14ac:dyDescent="0.4">
      <c r="A6" s="113" t="s">
        <v>305</v>
      </c>
      <c r="B6" s="121">
        <f>B3*(1+B4*(B5-20))</f>
        <v>2.381904</v>
      </c>
      <c r="C6" s="121">
        <f t="shared" ref="C6:L6" si="0">C3*(1+C4*(C5-20))</f>
        <v>53.000000000000007</v>
      </c>
      <c r="D6" s="122">
        <f t="shared" si="0"/>
        <v>53.000000000000007</v>
      </c>
      <c r="E6" s="122">
        <f t="shared" si="0"/>
        <v>53.000000000000007</v>
      </c>
      <c r="F6" s="122">
        <f t="shared" si="0"/>
        <v>53.000000000000007</v>
      </c>
      <c r="G6" s="122">
        <f t="shared" si="0"/>
        <v>53.000000000000007</v>
      </c>
      <c r="H6" s="123">
        <f t="shared" si="0"/>
        <v>53.000000000000007</v>
      </c>
      <c r="I6" s="121">
        <f t="shared" si="0"/>
        <v>53.000000000000007</v>
      </c>
      <c r="J6" s="122">
        <f t="shared" si="0"/>
        <v>53.000000000000007</v>
      </c>
      <c r="K6" s="122">
        <f t="shared" si="0"/>
        <v>53.000000000000007</v>
      </c>
      <c r="L6" s="123">
        <f t="shared" si="0"/>
        <v>53.000000000000007</v>
      </c>
      <c r="M6" s="117" t="s">
        <v>216</v>
      </c>
      <c r="O6" s="106" t="s">
        <v>306</v>
      </c>
      <c r="P6" s="118">
        <f>P3*(1+P4*(P5-20))</f>
        <v>59.185600000000001</v>
      </c>
      <c r="Q6" s="118">
        <f>Q3*(1+Q4*(Q5-20))</f>
        <v>59.185600000000001</v>
      </c>
      <c r="R6" s="118">
        <f t="shared" ref="R6:W6" si="1">R3*(1+R4*(R5-20))</f>
        <v>59.185600000000001</v>
      </c>
      <c r="S6" s="118">
        <f t="shared" si="1"/>
        <v>59.185600000000001</v>
      </c>
      <c r="T6" s="119">
        <f t="shared" si="1"/>
        <v>59.185600000000001</v>
      </c>
      <c r="U6" s="119">
        <f t="shared" si="1"/>
        <v>59.185600000000001</v>
      </c>
      <c r="V6" s="119">
        <f t="shared" si="1"/>
        <v>59.185600000000001</v>
      </c>
      <c r="W6" s="119">
        <f t="shared" si="1"/>
        <v>59.185600000000001</v>
      </c>
      <c r="X6" s="120" t="s">
        <v>216</v>
      </c>
    </row>
    <row r="7" spans="1:24" ht="17.399999999999999" x14ac:dyDescent="0.4">
      <c r="A7" s="113"/>
      <c r="B7" s="121">
        <f>1/B6*100000000</f>
        <v>41983220.146571822</v>
      </c>
      <c r="C7" s="121"/>
      <c r="D7" s="122"/>
      <c r="E7" s="122"/>
      <c r="F7" s="122"/>
      <c r="G7" s="122"/>
      <c r="H7" s="123"/>
      <c r="I7" s="121"/>
      <c r="J7" s="122"/>
      <c r="K7" s="122"/>
      <c r="L7" s="123"/>
      <c r="M7" s="117"/>
      <c r="O7" s="106" t="s">
        <v>307</v>
      </c>
      <c r="P7" s="124">
        <f>1/(P6/100000000)</f>
        <v>1689600.1730150576</v>
      </c>
      <c r="Q7" s="124">
        <f>1/(Q6/100000000)</f>
        <v>1689600.1730150576</v>
      </c>
      <c r="R7" s="124">
        <f t="shared" ref="R7:W7" si="2">1/(R6/100000000)</f>
        <v>1689600.1730150576</v>
      </c>
      <c r="S7" s="124">
        <f t="shared" si="2"/>
        <v>1689600.1730150576</v>
      </c>
      <c r="T7" s="125">
        <f t="shared" si="2"/>
        <v>1689600.1730150576</v>
      </c>
      <c r="U7" s="125">
        <f t="shared" si="2"/>
        <v>1689600.1730150576</v>
      </c>
      <c r="V7" s="125">
        <f t="shared" si="2"/>
        <v>1689600.1730150576</v>
      </c>
      <c r="W7" s="125">
        <f t="shared" si="2"/>
        <v>1689600.1730150576</v>
      </c>
      <c r="X7" s="120" t="s">
        <v>308</v>
      </c>
    </row>
    <row r="8" spans="1:24" ht="19.5" customHeight="1" x14ac:dyDescent="0.4">
      <c r="A8" s="113" t="s">
        <v>223</v>
      </c>
      <c r="B8" s="106">
        <v>1</v>
      </c>
      <c r="C8" s="106">
        <v>100</v>
      </c>
      <c r="D8" s="126">
        <v>50</v>
      </c>
      <c r="E8" s="126">
        <v>40</v>
      </c>
      <c r="F8" s="126">
        <v>20</v>
      </c>
      <c r="G8" s="126">
        <v>10</v>
      </c>
      <c r="H8" s="120">
        <v>5</v>
      </c>
      <c r="I8" s="106">
        <v>100</v>
      </c>
      <c r="J8" s="126">
        <v>50</v>
      </c>
      <c r="K8" s="126">
        <v>10</v>
      </c>
      <c r="L8" s="120">
        <v>5</v>
      </c>
      <c r="M8" s="117" t="s">
        <v>224</v>
      </c>
      <c r="O8" s="127" t="s">
        <v>309</v>
      </c>
      <c r="P8" s="128">
        <v>20</v>
      </c>
      <c r="Q8" s="128">
        <v>50</v>
      </c>
      <c r="R8" s="128">
        <v>80</v>
      </c>
      <c r="S8" s="128">
        <v>100</v>
      </c>
      <c r="T8" s="128">
        <v>20</v>
      </c>
      <c r="U8" s="128">
        <v>50</v>
      </c>
      <c r="V8" s="128">
        <v>80</v>
      </c>
      <c r="W8" s="128">
        <v>100</v>
      </c>
      <c r="X8" s="120" t="s">
        <v>310</v>
      </c>
    </row>
    <row r="9" spans="1:24" ht="17.399999999999999" x14ac:dyDescent="0.4">
      <c r="A9" s="113" t="s">
        <v>311</v>
      </c>
      <c r="B9" s="129">
        <v>10000</v>
      </c>
      <c r="C9" s="129">
        <v>80000</v>
      </c>
      <c r="D9" s="119">
        <v>80000</v>
      </c>
      <c r="E9" s="119">
        <v>80000</v>
      </c>
      <c r="F9" s="119">
        <v>80000</v>
      </c>
      <c r="G9" s="119">
        <v>80000</v>
      </c>
      <c r="H9" s="130">
        <v>80000</v>
      </c>
      <c r="I9" s="131">
        <v>50000</v>
      </c>
      <c r="J9" s="132">
        <v>50000</v>
      </c>
      <c r="K9" s="132">
        <v>50000</v>
      </c>
      <c r="L9" s="133">
        <v>50000</v>
      </c>
      <c r="M9" s="117" t="s">
        <v>225</v>
      </c>
      <c r="O9" s="106" t="s">
        <v>312</v>
      </c>
      <c r="P9" s="134">
        <v>50</v>
      </c>
      <c r="Q9" s="134">
        <v>50</v>
      </c>
      <c r="R9" s="134">
        <v>50</v>
      </c>
      <c r="S9" s="134">
        <v>50</v>
      </c>
      <c r="T9" s="135">
        <v>80</v>
      </c>
      <c r="U9" s="135">
        <v>80</v>
      </c>
      <c r="V9" s="135">
        <v>80</v>
      </c>
      <c r="W9" s="135">
        <v>80</v>
      </c>
      <c r="X9" s="136" t="s">
        <v>314</v>
      </c>
    </row>
    <row r="10" spans="1:24" ht="17.399999999999999" x14ac:dyDescent="0.4">
      <c r="A10" s="113" t="s">
        <v>316</v>
      </c>
      <c r="B10" s="137">
        <f>503.3*SQRT((B6/100000000)/(B8*B9))</f>
        <v>7.7676394234964339E-4</v>
      </c>
      <c r="C10" s="137">
        <f t="shared" ref="C10:L10" si="3">503.3*SQRT((C6/100000000)/(C8*C9))</f>
        <v>1.2954476624896894E-4</v>
      </c>
      <c r="D10" s="138">
        <f t="shared" si="3"/>
        <v>1.8320396536374427E-4</v>
      </c>
      <c r="E10" s="138">
        <f t="shared" si="3"/>
        <v>2.0482826015042458E-4</v>
      </c>
      <c r="F10" s="138">
        <f t="shared" si="3"/>
        <v>2.8967090346201501E-4</v>
      </c>
      <c r="G10" s="138">
        <f t="shared" si="3"/>
        <v>4.0965652030084917E-4</v>
      </c>
      <c r="H10" s="139">
        <f t="shared" si="3"/>
        <v>5.7934180692403002E-4</v>
      </c>
      <c r="I10" s="137">
        <f t="shared" si="3"/>
        <v>1.6386260812033967E-4</v>
      </c>
      <c r="J10" s="138">
        <f t="shared" si="3"/>
        <v>2.3173672276961203E-4</v>
      </c>
      <c r="K10" s="138">
        <f t="shared" si="3"/>
        <v>5.1817906499587577E-4</v>
      </c>
      <c r="L10" s="139">
        <f t="shared" si="3"/>
        <v>7.3281586145497706E-4</v>
      </c>
      <c r="M10" s="117" t="s">
        <v>317</v>
      </c>
      <c r="O10" s="106" t="s">
        <v>316</v>
      </c>
      <c r="P10" s="140">
        <f>503.3*SQRT((P6/100000000)/(P8*P9*1000))</f>
        <v>3.8719965148723988E-4</v>
      </c>
      <c r="Q10" s="140">
        <f>503.3*SQRT((Q6/100000000)/(Q8*Q9*1000))</f>
        <v>2.4488656158461614E-4</v>
      </c>
      <c r="R10" s="140">
        <f t="shared" ref="R10:W10" si="4">503.3*SQRT((R6/100000000)/(R8*R9*1000))</f>
        <v>1.9359982574361994E-4</v>
      </c>
      <c r="S10" s="140">
        <f t="shared" si="4"/>
        <v>1.7316094831793918E-4</v>
      </c>
      <c r="T10" s="141">
        <f t="shared" si="4"/>
        <v>3.0610820198077019E-4</v>
      </c>
      <c r="U10" s="141">
        <f t="shared" si="4"/>
        <v>1.9359982574361994E-4</v>
      </c>
      <c r="V10" s="141">
        <f t="shared" si="4"/>
        <v>1.530541009903851E-4</v>
      </c>
      <c r="W10" s="141">
        <f t="shared" si="4"/>
        <v>1.3689574961984758E-4</v>
      </c>
      <c r="X10" s="120" t="s">
        <v>317</v>
      </c>
    </row>
    <row r="11" spans="1:24" ht="18" thickBot="1" x14ac:dyDescent="0.45">
      <c r="A11" s="142" t="s">
        <v>318</v>
      </c>
      <c r="B11" s="143">
        <f>B10*1000</f>
        <v>0.77676394234964341</v>
      </c>
      <c r="C11" s="143">
        <f t="shared" ref="C11:L11" si="5">C10*1000</f>
        <v>0.12954476624896893</v>
      </c>
      <c r="D11" s="144">
        <f t="shared" si="5"/>
        <v>0.18320396536374425</v>
      </c>
      <c r="E11" s="144">
        <f t="shared" si="5"/>
        <v>0.20482826015042457</v>
      </c>
      <c r="F11" s="144">
        <f t="shared" si="5"/>
        <v>0.28967090346201502</v>
      </c>
      <c r="G11" s="144">
        <f t="shared" si="5"/>
        <v>0.40965652030084915</v>
      </c>
      <c r="H11" s="145">
        <f t="shared" si="5"/>
        <v>0.57934180692403003</v>
      </c>
      <c r="I11" s="146">
        <f t="shared" si="5"/>
        <v>0.16386260812033968</v>
      </c>
      <c r="J11" s="147">
        <f t="shared" si="5"/>
        <v>0.23173672276961202</v>
      </c>
      <c r="K11" s="147">
        <f t="shared" si="5"/>
        <v>0.51817906499587574</v>
      </c>
      <c r="L11" s="148">
        <f t="shared" si="5"/>
        <v>0.73281586145497701</v>
      </c>
      <c r="M11" s="149" t="s">
        <v>227</v>
      </c>
      <c r="O11" s="106" t="s">
        <v>318</v>
      </c>
      <c r="P11" s="150">
        <f>P10*1000</f>
        <v>0.38719965148723989</v>
      </c>
      <c r="Q11" s="150">
        <f>Q10*1000</f>
        <v>0.24488656158461614</v>
      </c>
      <c r="R11" s="150">
        <f t="shared" ref="R11:W11" si="6">R10*1000</f>
        <v>0.19359982574361995</v>
      </c>
      <c r="S11" s="150">
        <f t="shared" si="6"/>
        <v>0.17316094831793918</v>
      </c>
      <c r="T11" s="151">
        <f t="shared" si="6"/>
        <v>0.30610820198077021</v>
      </c>
      <c r="U11" s="151">
        <f t="shared" si="6"/>
        <v>0.19359982574361995</v>
      </c>
      <c r="V11" s="151">
        <f t="shared" si="6"/>
        <v>0.15305410099038511</v>
      </c>
      <c r="W11" s="151">
        <f t="shared" si="6"/>
        <v>0.13689574961984757</v>
      </c>
      <c r="X11" s="120" t="s">
        <v>227</v>
      </c>
    </row>
    <row r="12" spans="1:24" ht="30.75" customHeight="1" x14ac:dyDescent="0.4">
      <c r="O12" s="127" t="s">
        <v>319</v>
      </c>
      <c r="P12" s="152">
        <f>P11*3</f>
        <v>1.1615989544617196</v>
      </c>
      <c r="Q12" s="152">
        <f>Q11*3</f>
        <v>0.73465968475384846</v>
      </c>
      <c r="R12" s="152">
        <f t="shared" ref="R12:W12" si="7">R11*3</f>
        <v>0.58079947723085978</v>
      </c>
      <c r="S12" s="152">
        <f t="shared" si="7"/>
        <v>0.51948284495381758</v>
      </c>
      <c r="T12" s="153">
        <f t="shared" si="7"/>
        <v>0.91832460594231069</v>
      </c>
      <c r="U12" s="153">
        <f t="shared" si="7"/>
        <v>0.58079947723085978</v>
      </c>
      <c r="V12" s="153">
        <f t="shared" si="7"/>
        <v>0.45916230297115534</v>
      </c>
      <c r="W12" s="153">
        <f t="shared" si="7"/>
        <v>0.41068724885954272</v>
      </c>
      <c r="X12" s="136" t="s">
        <v>320</v>
      </c>
    </row>
    <row r="13" spans="1:24" ht="32.25" customHeight="1" thickBot="1" x14ac:dyDescent="0.45">
      <c r="O13" s="154" t="s">
        <v>321</v>
      </c>
      <c r="P13" s="155">
        <f t="shared" ref="P13:W13" si="8">P11*3.5</f>
        <v>1.3551987802053396</v>
      </c>
      <c r="Q13" s="155">
        <f t="shared" si="8"/>
        <v>0.8571029655461565</v>
      </c>
      <c r="R13" s="155">
        <f t="shared" si="8"/>
        <v>0.67759939010266979</v>
      </c>
      <c r="S13" s="155">
        <f t="shared" si="8"/>
        <v>0.6060633191127871</v>
      </c>
      <c r="T13" s="156">
        <f t="shared" si="8"/>
        <v>1.0713787069326957</v>
      </c>
      <c r="U13" s="156">
        <f t="shared" si="8"/>
        <v>0.67759939010266979</v>
      </c>
      <c r="V13" s="156">
        <f t="shared" si="8"/>
        <v>0.53568935346634783</v>
      </c>
      <c r="W13" s="156">
        <f t="shared" si="8"/>
        <v>0.47913512366946653</v>
      </c>
      <c r="X13" s="157" t="s">
        <v>320</v>
      </c>
    </row>
    <row r="14" spans="1:24" ht="27" customHeight="1" x14ac:dyDescent="0.25">
      <c r="A14" s="68" t="s">
        <v>322</v>
      </c>
      <c r="B14" s="158" t="s">
        <v>323</v>
      </c>
      <c r="C14" s="159" t="s">
        <v>324</v>
      </c>
      <c r="D14" s="159" t="s">
        <v>325</v>
      </c>
      <c r="E14" s="160" t="s">
        <v>326</v>
      </c>
      <c r="F14" s="161" t="s">
        <v>327</v>
      </c>
      <c r="G14" s="110" t="s">
        <v>325</v>
      </c>
      <c r="H14" s="162" t="s">
        <v>325</v>
      </c>
      <c r="I14" s="159" t="s">
        <v>328</v>
      </c>
      <c r="J14" s="159" t="s">
        <v>325</v>
      </c>
      <c r="K14" s="310" t="s">
        <v>677</v>
      </c>
      <c r="L14" s="310" t="s">
        <v>677</v>
      </c>
      <c r="M14" s="68"/>
    </row>
    <row r="15" spans="1:24" ht="17.399999999999999" x14ac:dyDescent="0.4">
      <c r="A15" s="126" t="s">
        <v>302</v>
      </c>
      <c r="B15" s="132">
        <v>5.23</v>
      </c>
      <c r="C15" s="122">
        <v>5.49</v>
      </c>
      <c r="D15" s="122">
        <v>14.2</v>
      </c>
      <c r="E15" s="163">
        <v>50</v>
      </c>
      <c r="F15" s="135">
        <v>137</v>
      </c>
      <c r="G15" s="118">
        <v>14.2</v>
      </c>
      <c r="H15" s="134">
        <v>14.2</v>
      </c>
      <c r="I15" s="122">
        <v>137</v>
      </c>
      <c r="J15" s="122">
        <v>14.2</v>
      </c>
      <c r="K15" s="135">
        <v>14.2</v>
      </c>
      <c r="L15" s="135">
        <v>14.2</v>
      </c>
      <c r="M15" s="126" t="s">
        <v>329</v>
      </c>
    </row>
    <row r="16" spans="1:24" ht="17.399999999999999" x14ac:dyDescent="0.4">
      <c r="A16" s="126" t="s">
        <v>337</v>
      </c>
      <c r="B16" s="132">
        <v>4.5789999999999997E-3</v>
      </c>
      <c r="C16" s="122">
        <v>4.4029999999999998E-3</v>
      </c>
      <c r="D16" s="122">
        <v>6.6E-3</v>
      </c>
      <c r="E16" s="163">
        <v>5.0000000000000001E-3</v>
      </c>
      <c r="F16" s="135">
        <v>6.6E-3</v>
      </c>
      <c r="G16" s="118">
        <v>6.6E-3</v>
      </c>
      <c r="H16" s="134">
        <v>6.6E-3</v>
      </c>
      <c r="I16" s="122">
        <v>5.0000000000000001E-3</v>
      </c>
      <c r="J16" s="122">
        <v>6.6E-3</v>
      </c>
      <c r="K16" s="135">
        <v>6.6E-3</v>
      </c>
      <c r="L16" s="135">
        <v>6.6E-3</v>
      </c>
      <c r="M16" s="126" t="s">
        <v>330</v>
      </c>
    </row>
    <row r="17" spans="1:13" ht="17.399999999999999" x14ac:dyDescent="0.4">
      <c r="A17" s="126" t="s">
        <v>338</v>
      </c>
      <c r="B17" s="132">
        <v>2100</v>
      </c>
      <c r="C17" s="122">
        <v>2100</v>
      </c>
      <c r="D17" s="122">
        <v>1100</v>
      </c>
      <c r="E17" s="163">
        <v>250</v>
      </c>
      <c r="F17" s="135">
        <v>100</v>
      </c>
      <c r="G17" s="118">
        <v>800</v>
      </c>
      <c r="H17" s="134">
        <v>950</v>
      </c>
      <c r="I17" s="122">
        <v>70</v>
      </c>
      <c r="J17" s="122">
        <v>950</v>
      </c>
      <c r="K17" s="135">
        <v>150</v>
      </c>
      <c r="L17" s="135">
        <v>500</v>
      </c>
      <c r="M17" s="126" t="s">
        <v>48</v>
      </c>
    </row>
    <row r="18" spans="1:13" ht="17.399999999999999" x14ac:dyDescent="0.4">
      <c r="A18" s="126" t="s">
        <v>306</v>
      </c>
      <c r="B18" s="132">
        <f t="shared" ref="B18:L18" si="9">B15*(1+B16*(B17-20))</f>
        <v>55.042193600000004</v>
      </c>
      <c r="C18" s="122">
        <f t="shared" si="9"/>
        <v>55.768737600000001</v>
      </c>
      <c r="D18" s="122">
        <f t="shared" si="9"/>
        <v>115.41759999999999</v>
      </c>
      <c r="E18" s="163">
        <f t="shared" si="9"/>
        <v>107.50000000000001</v>
      </c>
      <c r="F18" s="135">
        <f>F15*(1+F16*(F17-20))</f>
        <v>209.33600000000001</v>
      </c>
      <c r="G18" s="118">
        <f>G15*(1+G16*(G17-20))</f>
        <v>87.301599999999993</v>
      </c>
      <c r="H18" s="134">
        <f t="shared" si="9"/>
        <v>101.3596</v>
      </c>
      <c r="I18" s="122">
        <f t="shared" si="9"/>
        <v>171.25</v>
      </c>
      <c r="J18" s="122">
        <f t="shared" si="9"/>
        <v>101.3596</v>
      </c>
      <c r="K18" s="135">
        <f t="shared" si="9"/>
        <v>26.383600000000001</v>
      </c>
      <c r="L18" s="135">
        <f t="shared" si="9"/>
        <v>59.185600000000001</v>
      </c>
      <c r="M18" s="126" t="s">
        <v>216</v>
      </c>
    </row>
    <row r="19" spans="1:13" ht="17.399999999999999" x14ac:dyDescent="0.4">
      <c r="A19" s="126" t="s">
        <v>307</v>
      </c>
      <c r="B19" s="164">
        <f t="shared" ref="B19:L19" si="10">1/(B18/100000000)</f>
        <v>1816788.0576620041</v>
      </c>
      <c r="C19" s="165">
        <f t="shared" si="10"/>
        <v>1793119.3048917069</v>
      </c>
      <c r="D19" s="165">
        <f t="shared" si="10"/>
        <v>866418.98635909962</v>
      </c>
      <c r="E19" s="166">
        <f t="shared" si="10"/>
        <v>930232.55813953478</v>
      </c>
      <c r="F19" s="167">
        <f t="shared" si="10"/>
        <v>477700.92100737564</v>
      </c>
      <c r="G19" s="124">
        <f t="shared" si="10"/>
        <v>1145454.3788429995</v>
      </c>
      <c r="H19" s="168">
        <f t="shared" si="10"/>
        <v>986586.37169049599</v>
      </c>
      <c r="I19" s="165">
        <f t="shared" si="10"/>
        <v>583941.60583941604</v>
      </c>
      <c r="J19" s="165">
        <f t="shared" si="10"/>
        <v>986586.37169049599</v>
      </c>
      <c r="K19" s="167">
        <f t="shared" si="10"/>
        <v>3790233.3267635955</v>
      </c>
      <c r="L19" s="167">
        <f t="shared" si="10"/>
        <v>1689600.1730150576</v>
      </c>
      <c r="M19" s="126" t="s">
        <v>308</v>
      </c>
    </row>
    <row r="20" spans="1:13" ht="34.799999999999997" x14ac:dyDescent="0.4">
      <c r="A20" s="169" t="s">
        <v>339</v>
      </c>
      <c r="B20" s="170">
        <v>1</v>
      </c>
      <c r="C20" s="126">
        <v>1</v>
      </c>
      <c r="D20" s="126">
        <v>1</v>
      </c>
      <c r="E20" s="171">
        <v>100</v>
      </c>
      <c r="F20" s="172">
        <v>120</v>
      </c>
      <c r="G20" s="173">
        <v>10</v>
      </c>
      <c r="H20" s="174">
        <v>1</v>
      </c>
      <c r="I20" s="126">
        <v>120</v>
      </c>
      <c r="J20" s="126">
        <v>1</v>
      </c>
      <c r="K20" s="172">
        <v>120</v>
      </c>
      <c r="L20" s="172">
        <v>120</v>
      </c>
      <c r="M20" s="126" t="s">
        <v>310</v>
      </c>
    </row>
    <row r="21" spans="1:13" ht="17.399999999999999" x14ac:dyDescent="0.4">
      <c r="A21" s="126" t="s">
        <v>331</v>
      </c>
      <c r="B21" s="132">
        <v>3</v>
      </c>
      <c r="C21" s="122">
        <v>3</v>
      </c>
      <c r="D21" s="122">
        <v>0.5</v>
      </c>
      <c r="E21" s="163">
        <v>10</v>
      </c>
      <c r="F21" s="135">
        <v>10</v>
      </c>
      <c r="G21" s="118">
        <v>1</v>
      </c>
      <c r="H21" s="134">
        <v>12</v>
      </c>
      <c r="I21" s="122">
        <v>100</v>
      </c>
      <c r="J21" s="122">
        <v>20</v>
      </c>
      <c r="K21" s="135">
        <v>3</v>
      </c>
      <c r="L21" s="135">
        <v>1</v>
      </c>
      <c r="M21" s="175" t="s">
        <v>313</v>
      </c>
    </row>
    <row r="22" spans="1:13" ht="17.399999999999999" x14ac:dyDescent="0.4">
      <c r="A22" s="126" t="s">
        <v>315</v>
      </c>
      <c r="B22" s="176">
        <f>503.3*SQRT((B18/100000000)/(B20*B21*1000))</f>
        <v>6.8173276896372204E-3</v>
      </c>
      <c r="C22" s="177">
        <f t="shared" ref="C22:J22" si="11">503.3*SQRT((C18/100000000)/(C20*C21*1000))</f>
        <v>6.8621737458894822E-3</v>
      </c>
      <c r="D22" s="177">
        <f t="shared" si="11"/>
        <v>2.4181205502482293E-2</v>
      </c>
      <c r="E22" s="178">
        <f t="shared" si="11"/>
        <v>5.2183254665649217E-4</v>
      </c>
      <c r="F22" s="179">
        <f>503.3*SQRT((F18/100000000)/(F20*F21*1000))</f>
        <v>6.6474988071354079E-4</v>
      </c>
      <c r="G22" s="140">
        <f t="shared" si="11"/>
        <v>4.7025999186007727E-3</v>
      </c>
      <c r="H22" s="180">
        <f t="shared" si="11"/>
        <v>4.6256072111349154E-3</v>
      </c>
      <c r="I22" s="177">
        <f t="shared" si="11"/>
        <v>1.9013041557594971E-4</v>
      </c>
      <c r="J22" s="177">
        <f t="shared" si="11"/>
        <v>3.5829799389644926E-3</v>
      </c>
      <c r="K22" s="179">
        <f>503.3*SQRT((K18/100000000)/(K20*K21*1000))</f>
        <v>4.3086647833187391E-4</v>
      </c>
      <c r="L22" s="179">
        <f>503.3*SQRT((L18/100000000)/(L20*L21*1000))</f>
        <v>1.117749115081436E-3</v>
      </c>
      <c r="M22" s="126" t="s">
        <v>226</v>
      </c>
    </row>
    <row r="23" spans="1:13" ht="17.399999999999999" x14ac:dyDescent="0.4">
      <c r="A23" s="126" t="s">
        <v>318</v>
      </c>
      <c r="B23" s="181">
        <f t="shared" ref="B23:L23" si="12">B22*1000</f>
        <v>6.8173276896372208</v>
      </c>
      <c r="C23" s="182">
        <f t="shared" si="12"/>
        <v>6.862173745889482</v>
      </c>
      <c r="D23" s="182">
        <f t="shared" si="12"/>
        <v>24.181205502482293</v>
      </c>
      <c r="E23" s="183">
        <f t="shared" si="12"/>
        <v>0.52183254665649215</v>
      </c>
      <c r="F23" s="184">
        <f>F22*1000</f>
        <v>0.6647498807135408</v>
      </c>
      <c r="G23" s="150">
        <f t="shared" si="12"/>
        <v>4.7025999186007725</v>
      </c>
      <c r="H23" s="185">
        <f t="shared" si="12"/>
        <v>4.6256072111349154</v>
      </c>
      <c r="I23" s="182">
        <f t="shared" si="12"/>
        <v>0.1901304155759497</v>
      </c>
      <c r="J23" s="182">
        <f t="shared" si="12"/>
        <v>3.5829799389644927</v>
      </c>
      <c r="K23" s="184">
        <f t="shared" si="12"/>
        <v>0.43086647833187391</v>
      </c>
      <c r="L23" s="184">
        <f t="shared" si="12"/>
        <v>1.117749115081436</v>
      </c>
      <c r="M23" s="126" t="s">
        <v>227</v>
      </c>
    </row>
    <row r="24" spans="1:13" ht="17.399999999999999" x14ac:dyDescent="0.4">
      <c r="A24" s="202" t="s">
        <v>341</v>
      </c>
      <c r="B24" s="186">
        <f t="shared" ref="B24:L24" si="13">B23*3</f>
        <v>20.451983068911662</v>
      </c>
      <c r="C24" s="187">
        <f t="shared" si="13"/>
        <v>20.586521237668446</v>
      </c>
      <c r="D24" s="187">
        <f t="shared" si="13"/>
        <v>72.54361650744687</v>
      </c>
      <c r="E24" s="188">
        <f t="shared" si="13"/>
        <v>1.5654976399694764</v>
      </c>
      <c r="F24" s="189">
        <f>F23*3</f>
        <v>1.9942496421406224</v>
      </c>
      <c r="G24" s="152">
        <f t="shared" si="13"/>
        <v>14.107799755802318</v>
      </c>
      <c r="H24" s="190">
        <f t="shared" si="13"/>
        <v>13.876821633404745</v>
      </c>
      <c r="I24" s="187">
        <f t="shared" si="13"/>
        <v>0.57039124672784913</v>
      </c>
      <c r="J24" s="187">
        <f t="shared" si="13"/>
        <v>10.748939816893479</v>
      </c>
      <c r="K24" s="189">
        <f t="shared" si="13"/>
        <v>1.2925994349956218</v>
      </c>
      <c r="L24" s="189">
        <f t="shared" si="13"/>
        <v>3.3532473452443083</v>
      </c>
      <c r="M24" s="175" t="s">
        <v>332</v>
      </c>
    </row>
    <row r="25" spans="1:13" ht="17.399999999999999" x14ac:dyDescent="0.4">
      <c r="A25" s="169" t="s">
        <v>340</v>
      </c>
      <c r="B25" s="191">
        <f>B23*2.5</f>
        <v>17.043319224093054</v>
      </c>
      <c r="C25" s="192">
        <f t="shared" ref="C25:L25" si="14">C23*2.5</f>
        <v>17.155434364723703</v>
      </c>
      <c r="D25" s="192">
        <f t="shared" si="14"/>
        <v>60.453013756205735</v>
      </c>
      <c r="E25" s="193">
        <f t="shared" si="14"/>
        <v>1.3045813666412305</v>
      </c>
      <c r="F25" s="194">
        <f>F23*2.5</f>
        <v>1.661874701783852</v>
      </c>
      <c r="G25" s="195">
        <f t="shared" si="14"/>
        <v>11.756499796501931</v>
      </c>
      <c r="H25" s="196">
        <f t="shared" si="14"/>
        <v>11.564018027837289</v>
      </c>
      <c r="I25" s="192">
        <f t="shared" si="14"/>
        <v>0.47532603893987424</v>
      </c>
      <c r="J25" s="192">
        <f t="shared" si="14"/>
        <v>8.9574498474112314</v>
      </c>
      <c r="K25" s="194">
        <f t="shared" si="14"/>
        <v>1.0771661958296848</v>
      </c>
      <c r="L25" s="194">
        <f t="shared" si="14"/>
        <v>2.79437278770359</v>
      </c>
      <c r="M25" s="197" t="s">
        <v>332</v>
      </c>
    </row>
    <row r="32" spans="1:13" x14ac:dyDescent="0.25">
      <c r="B32" s="483" t="s">
        <v>333</v>
      </c>
      <c r="C32" s="483"/>
      <c r="D32" s="483"/>
    </row>
    <row r="33" spans="2:4" ht="17.399999999999999" x14ac:dyDescent="0.4">
      <c r="B33" s="1" t="s">
        <v>334</v>
      </c>
      <c r="C33" s="198" t="s">
        <v>335</v>
      </c>
      <c r="D33" s="1" t="s">
        <v>336</v>
      </c>
    </row>
    <row r="34" spans="2:4" ht="17.399999999999999" x14ac:dyDescent="0.4">
      <c r="B34" s="199">
        <v>21.11111</v>
      </c>
      <c r="C34" s="200">
        <f t="shared" ref="C34:C67" si="15">D34/1000000</f>
        <v>400</v>
      </c>
      <c r="D34" s="201">
        <v>400000000</v>
      </c>
    </row>
    <row r="35" spans="2:4" ht="17.399999999999999" x14ac:dyDescent="0.4">
      <c r="B35" s="199">
        <v>37.77778</v>
      </c>
      <c r="C35" s="200">
        <f t="shared" si="15"/>
        <v>449</v>
      </c>
      <c r="D35" s="201">
        <v>449000000</v>
      </c>
    </row>
    <row r="36" spans="2:4" ht="17.399999999999999" x14ac:dyDescent="0.4">
      <c r="B36" s="199">
        <v>65.55556</v>
      </c>
      <c r="C36" s="200">
        <f t="shared" si="15"/>
        <v>462</v>
      </c>
      <c r="D36" s="201">
        <v>462000000</v>
      </c>
    </row>
    <row r="37" spans="2:4" ht="17.399999999999999" x14ac:dyDescent="0.4">
      <c r="B37" s="199">
        <v>93.333330000000004</v>
      </c>
      <c r="C37" s="200">
        <f t="shared" si="15"/>
        <v>476</v>
      </c>
      <c r="D37" s="201">
        <v>476000000</v>
      </c>
    </row>
    <row r="38" spans="2:4" ht="17.399999999999999" x14ac:dyDescent="0.4">
      <c r="B38" s="199">
        <v>121.11111</v>
      </c>
      <c r="C38" s="200">
        <f t="shared" si="15"/>
        <v>487</v>
      </c>
      <c r="D38" s="201">
        <v>487000000</v>
      </c>
    </row>
    <row r="39" spans="2:4" ht="17.399999999999999" x14ac:dyDescent="0.4">
      <c r="B39" s="199">
        <v>148.88889</v>
      </c>
      <c r="C39" s="200">
        <f t="shared" si="15"/>
        <v>500</v>
      </c>
      <c r="D39" s="201">
        <v>500000000</v>
      </c>
    </row>
    <row r="40" spans="2:4" ht="17.399999999999999" x14ac:dyDescent="0.4">
      <c r="B40" s="199">
        <v>176.66667000000001</v>
      </c>
      <c r="C40" s="200">
        <f t="shared" si="15"/>
        <v>513</v>
      </c>
      <c r="D40" s="201">
        <v>513000000</v>
      </c>
    </row>
    <row r="41" spans="2:4" ht="17.399999999999999" x14ac:dyDescent="0.4">
      <c r="B41" s="199">
        <v>204.44443999999999</v>
      </c>
      <c r="C41" s="200">
        <f t="shared" si="15"/>
        <v>523</v>
      </c>
      <c r="D41" s="201">
        <v>523000000</v>
      </c>
    </row>
    <row r="42" spans="2:4" ht="17.399999999999999" x14ac:dyDescent="0.4">
      <c r="B42" s="199">
        <v>232.22221999999999</v>
      </c>
      <c r="C42" s="200">
        <f t="shared" si="15"/>
        <v>534</v>
      </c>
      <c r="D42" s="201">
        <v>534000000</v>
      </c>
    </row>
    <row r="43" spans="2:4" ht="17.399999999999999" x14ac:dyDescent="0.4">
      <c r="B43" s="199">
        <v>260</v>
      </c>
      <c r="C43" s="200">
        <f t="shared" si="15"/>
        <v>546</v>
      </c>
      <c r="D43" s="201">
        <v>546000000</v>
      </c>
    </row>
    <row r="44" spans="2:4" ht="17.399999999999999" x14ac:dyDescent="0.4">
      <c r="B44" s="199">
        <v>287.77778000000001</v>
      </c>
      <c r="C44" s="200">
        <f t="shared" si="15"/>
        <v>557</v>
      </c>
      <c r="D44" s="201">
        <v>557000000</v>
      </c>
    </row>
    <row r="45" spans="2:4" ht="17.399999999999999" x14ac:dyDescent="0.4">
      <c r="B45" s="199">
        <v>315.55556000000001</v>
      </c>
      <c r="C45" s="200">
        <f t="shared" si="15"/>
        <v>566</v>
      </c>
      <c r="D45" s="201">
        <v>566000000</v>
      </c>
    </row>
    <row r="46" spans="2:4" ht="17.399999999999999" x14ac:dyDescent="0.4">
      <c r="B46" s="199">
        <v>343.33332999999999</v>
      </c>
      <c r="C46" s="200">
        <f t="shared" si="15"/>
        <v>575</v>
      </c>
      <c r="D46" s="201">
        <v>575000000</v>
      </c>
    </row>
    <row r="47" spans="2:4" ht="17.399999999999999" x14ac:dyDescent="0.4">
      <c r="B47" s="199">
        <v>371.11111</v>
      </c>
      <c r="C47" s="200">
        <f t="shared" si="15"/>
        <v>587</v>
      </c>
      <c r="D47" s="201">
        <v>587000000</v>
      </c>
    </row>
    <row r="48" spans="2:4" ht="17.399999999999999" x14ac:dyDescent="0.4">
      <c r="B48" s="199">
        <v>398.88889</v>
      </c>
      <c r="C48" s="200">
        <f t="shared" si="15"/>
        <v>602</v>
      </c>
      <c r="D48" s="201">
        <v>602000000</v>
      </c>
    </row>
    <row r="49" spans="2:4" ht="17.399999999999999" x14ac:dyDescent="0.4">
      <c r="B49" s="199">
        <v>426.66667000000001</v>
      </c>
      <c r="C49" s="200">
        <f t="shared" si="15"/>
        <v>616</v>
      </c>
      <c r="D49" s="201">
        <v>616000000</v>
      </c>
    </row>
    <row r="50" spans="2:4" ht="17.399999999999999" x14ac:dyDescent="0.4">
      <c r="B50" s="199">
        <v>454.44443999999999</v>
      </c>
      <c r="C50" s="200">
        <f t="shared" si="15"/>
        <v>633</v>
      </c>
      <c r="D50" s="201">
        <v>633000000</v>
      </c>
    </row>
    <row r="51" spans="2:4" ht="17.399999999999999" x14ac:dyDescent="0.4">
      <c r="B51" s="199">
        <v>482.22221999999999</v>
      </c>
      <c r="C51" s="200">
        <f t="shared" si="15"/>
        <v>646</v>
      </c>
      <c r="D51" s="201">
        <v>646000000</v>
      </c>
    </row>
    <row r="52" spans="2:4" ht="17.399999999999999" x14ac:dyDescent="0.4">
      <c r="B52" s="199">
        <v>510</v>
      </c>
      <c r="C52" s="200">
        <f t="shared" si="15"/>
        <v>664</v>
      </c>
      <c r="D52" s="201">
        <v>664000000</v>
      </c>
    </row>
    <row r="53" spans="2:4" ht="17.399999999999999" x14ac:dyDescent="0.4">
      <c r="B53" s="199">
        <v>537.77778000000001</v>
      </c>
      <c r="C53" s="200">
        <f t="shared" si="15"/>
        <v>683</v>
      </c>
      <c r="D53" s="201">
        <v>683000000</v>
      </c>
    </row>
    <row r="54" spans="2:4" ht="17.399999999999999" x14ac:dyDescent="0.4">
      <c r="B54" s="199">
        <v>565.55556000000001</v>
      </c>
      <c r="C54" s="200">
        <f t="shared" si="15"/>
        <v>704</v>
      </c>
      <c r="D54" s="201">
        <v>704000000</v>
      </c>
    </row>
    <row r="55" spans="2:4" ht="17.399999999999999" x14ac:dyDescent="0.4">
      <c r="B55" s="199">
        <v>593.33333000000005</v>
      </c>
      <c r="C55" s="200">
        <f t="shared" si="15"/>
        <v>727</v>
      </c>
      <c r="D55" s="201">
        <v>727000000</v>
      </c>
    </row>
    <row r="56" spans="2:4" ht="17.399999999999999" x14ac:dyDescent="0.4">
      <c r="B56" s="199">
        <v>621.11111000000005</v>
      </c>
      <c r="C56" s="200">
        <f t="shared" si="15"/>
        <v>752</v>
      </c>
      <c r="D56" s="201">
        <v>752000000</v>
      </c>
    </row>
    <row r="57" spans="2:4" ht="17.399999999999999" x14ac:dyDescent="0.4">
      <c r="B57" s="199">
        <v>648.88888999999995</v>
      </c>
      <c r="C57" s="200">
        <f t="shared" si="15"/>
        <v>779</v>
      </c>
      <c r="D57" s="201">
        <v>779000000</v>
      </c>
    </row>
    <row r="58" spans="2:4" ht="17.399999999999999" x14ac:dyDescent="0.4">
      <c r="B58" s="199">
        <v>676.66666999999995</v>
      </c>
      <c r="C58" s="200">
        <f t="shared" si="15"/>
        <v>819</v>
      </c>
      <c r="D58" s="201">
        <v>819000000</v>
      </c>
    </row>
    <row r="59" spans="2:4" ht="17.399999999999999" x14ac:dyDescent="0.4">
      <c r="B59" s="199">
        <v>704.44443999999999</v>
      </c>
      <c r="C59" s="200">
        <f t="shared" si="15"/>
        <v>867</v>
      </c>
      <c r="D59" s="201">
        <v>867000000</v>
      </c>
    </row>
    <row r="60" spans="2:4" ht="17.399999999999999" x14ac:dyDescent="0.4">
      <c r="B60" s="199">
        <v>732.22221999999999</v>
      </c>
      <c r="C60" s="200">
        <f t="shared" si="15"/>
        <v>961</v>
      </c>
      <c r="D60" s="201">
        <v>961000000</v>
      </c>
    </row>
    <row r="61" spans="2:4" ht="17.399999999999999" x14ac:dyDescent="0.4">
      <c r="B61" s="199">
        <v>760</v>
      </c>
      <c r="C61" s="200">
        <f t="shared" si="15"/>
        <v>1700</v>
      </c>
      <c r="D61" s="201">
        <v>1700000000</v>
      </c>
    </row>
    <row r="62" spans="2:4" ht="17.399999999999999" x14ac:dyDescent="0.4">
      <c r="B62" s="199">
        <v>787.77778000000001</v>
      </c>
      <c r="C62" s="200">
        <f t="shared" si="15"/>
        <v>1010</v>
      </c>
      <c r="D62" s="201">
        <v>1010000000</v>
      </c>
    </row>
    <row r="63" spans="2:4" ht="17.399999999999999" x14ac:dyDescent="0.4">
      <c r="B63" s="199">
        <v>815.55556000000001</v>
      </c>
      <c r="C63" s="200">
        <f t="shared" si="15"/>
        <v>647</v>
      </c>
      <c r="D63" s="201">
        <v>647000000</v>
      </c>
    </row>
    <row r="64" spans="2:4" ht="17.399999999999999" x14ac:dyDescent="0.4">
      <c r="B64" s="199">
        <v>830</v>
      </c>
      <c r="C64" s="200">
        <f t="shared" si="15"/>
        <v>685</v>
      </c>
      <c r="D64" s="201">
        <v>685000000</v>
      </c>
    </row>
    <row r="65" spans="2:4" ht="17.399999999999999" x14ac:dyDescent="0.4">
      <c r="B65" s="199">
        <v>1461.09</v>
      </c>
      <c r="C65" s="200">
        <f t="shared" si="15"/>
        <v>836</v>
      </c>
      <c r="D65" s="201">
        <v>836000000</v>
      </c>
    </row>
    <row r="66" spans="2:4" ht="17.399999999999999" x14ac:dyDescent="0.4">
      <c r="B66" s="199">
        <v>1501.04</v>
      </c>
      <c r="C66" s="200">
        <f t="shared" si="15"/>
        <v>845</v>
      </c>
      <c r="D66" s="201">
        <v>845000000</v>
      </c>
    </row>
    <row r="67" spans="2:4" ht="17.399999999999999" x14ac:dyDescent="0.4">
      <c r="B67" s="199">
        <v>1900</v>
      </c>
      <c r="C67" s="200">
        <f t="shared" si="15"/>
        <v>846</v>
      </c>
      <c r="D67" s="201">
        <v>846000000</v>
      </c>
    </row>
  </sheetData>
  <mergeCells count="4">
    <mergeCell ref="C1:L1"/>
    <mergeCell ref="O1:X1"/>
    <mergeCell ref="C2:L2"/>
    <mergeCell ref="B32:D3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I31" sqref="I31"/>
    </sheetView>
  </sheetViews>
  <sheetFormatPr defaultRowHeight="14.4" x14ac:dyDescent="0.25"/>
  <cols>
    <col min="2" max="2" width="13" customWidth="1"/>
    <col min="6" max="6" width="7.19921875" bestFit="1" customWidth="1"/>
    <col min="13" max="13" width="8.59765625" bestFit="1" customWidth="1"/>
    <col min="14" max="14" width="9.19921875" bestFit="1" customWidth="1"/>
    <col min="15" max="15" width="8.796875" bestFit="1" customWidth="1"/>
    <col min="16" max="16" width="9" bestFit="1" customWidth="1"/>
    <col min="17" max="17" width="9.19921875" bestFit="1" customWidth="1"/>
    <col min="18" max="18" width="11.19921875" bestFit="1" customWidth="1"/>
    <col min="19" max="19" width="8.59765625" bestFit="1" customWidth="1"/>
  </cols>
  <sheetData>
    <row r="1" spans="2:20" ht="15" thickBot="1" x14ac:dyDescent="0.3"/>
    <row r="2" spans="2:20" ht="18" thickBot="1" x14ac:dyDescent="0.3">
      <c r="B2" s="484" t="s">
        <v>190</v>
      </c>
      <c r="C2" s="486" t="s">
        <v>191</v>
      </c>
      <c r="D2" s="486"/>
      <c r="E2" s="486"/>
      <c r="F2" s="486"/>
      <c r="G2" s="486"/>
      <c r="H2" s="486"/>
      <c r="I2" s="486"/>
      <c r="J2" s="486"/>
      <c r="K2" s="486"/>
      <c r="L2" s="487" t="s">
        <v>192</v>
      </c>
      <c r="M2" s="487"/>
      <c r="N2" s="487"/>
      <c r="O2" s="488" t="s">
        <v>193</v>
      </c>
      <c r="P2" s="488"/>
      <c r="Q2" s="488"/>
      <c r="R2" s="489" t="s">
        <v>194</v>
      </c>
      <c r="S2" s="489"/>
      <c r="T2" s="490"/>
    </row>
    <row r="3" spans="2:20" ht="17.399999999999999" x14ac:dyDescent="0.25">
      <c r="B3" s="485"/>
      <c r="C3" s="5" t="s">
        <v>195</v>
      </c>
      <c r="D3" s="6" t="s">
        <v>196</v>
      </c>
      <c r="E3" s="6" t="s">
        <v>197</v>
      </c>
      <c r="F3" s="6" t="s">
        <v>198</v>
      </c>
      <c r="G3" s="6" t="s">
        <v>199</v>
      </c>
      <c r="H3" s="6" t="s">
        <v>200</v>
      </c>
      <c r="I3" s="7" t="s">
        <v>201</v>
      </c>
      <c r="J3" s="7" t="s">
        <v>202</v>
      </c>
      <c r="K3" s="7" t="s">
        <v>203</v>
      </c>
      <c r="L3" s="8" t="s">
        <v>204</v>
      </c>
      <c r="M3" s="9" t="s">
        <v>205</v>
      </c>
      <c r="N3" s="10" t="s">
        <v>206</v>
      </c>
      <c r="O3" s="11" t="s">
        <v>207</v>
      </c>
      <c r="P3" s="12" t="s">
        <v>208</v>
      </c>
      <c r="Q3" s="13" t="s">
        <v>209</v>
      </c>
      <c r="R3" s="14" t="s">
        <v>210</v>
      </c>
      <c r="S3" s="15" t="s">
        <v>211</v>
      </c>
      <c r="T3" s="16" t="s">
        <v>212</v>
      </c>
    </row>
    <row r="4" spans="2:20" x14ac:dyDescent="0.25">
      <c r="B4" s="17">
        <v>42689</v>
      </c>
      <c r="C4" s="18">
        <v>346</v>
      </c>
      <c r="D4" s="19">
        <v>883</v>
      </c>
      <c r="E4" s="20">
        <v>272</v>
      </c>
      <c r="F4" s="20">
        <v>14.44</v>
      </c>
      <c r="G4" s="21">
        <v>2</v>
      </c>
      <c r="H4" s="19">
        <v>1121</v>
      </c>
      <c r="I4" s="22">
        <v>61.8</v>
      </c>
      <c r="J4" s="23">
        <f>COS(PI()*I4/180)</f>
        <v>0.47255076486905406</v>
      </c>
      <c r="K4" s="24">
        <f>(C4*1000)/(H4*J4*D4*0.9)*100</f>
        <v>82.189966367236522</v>
      </c>
      <c r="L4" s="25">
        <v>200</v>
      </c>
      <c r="M4" s="26">
        <f t="shared" ref="M4:M18" si="0">(L4/C4)^0.5*H4</f>
        <v>852.28051774333983</v>
      </c>
      <c r="N4" s="27">
        <f>(L4*1000)/(M4*J4*D4*0.9)*100</f>
        <v>62.487874298640534</v>
      </c>
      <c r="O4" s="28">
        <v>11</v>
      </c>
      <c r="P4" s="29">
        <f t="shared" ref="P4:P18" si="1">G4/O4*H4</f>
        <v>203.81818181818181</v>
      </c>
      <c r="Q4" s="30">
        <f>(C4*1000)/(P4*J4*D4*0.9)*100</f>
        <v>452.04481501980086</v>
      </c>
      <c r="R4" s="31">
        <v>100</v>
      </c>
      <c r="S4" s="32">
        <f t="shared" ref="S4:S18" si="2">(R4/C4)^0.5*P4</f>
        <v>109.57333337627223</v>
      </c>
      <c r="T4" s="33">
        <f>(R4*1000)/(S4*J4*D4*0.9)*100</f>
        <v>243.02079812175711</v>
      </c>
    </row>
    <row r="5" spans="2:20" x14ac:dyDescent="0.25">
      <c r="B5" s="17"/>
      <c r="C5" s="34">
        <v>40</v>
      </c>
      <c r="D5" s="35">
        <v>566.29999999999995</v>
      </c>
      <c r="E5" s="36">
        <v>70.599999999999994</v>
      </c>
      <c r="F5" s="36">
        <v>17.34</v>
      </c>
      <c r="G5" s="37">
        <v>12</v>
      </c>
      <c r="H5" s="35">
        <v>127</v>
      </c>
      <c r="I5" s="38">
        <v>30</v>
      </c>
      <c r="J5" s="39">
        <f t="shared" ref="J5:J18" si="3">COS(PI()*I5/180)</f>
        <v>0.86602540378443871</v>
      </c>
      <c r="K5" s="40">
        <f t="shared" ref="K5:K18" si="4">(C5*1000)/(H5*J5*D5*0.9)*100</f>
        <v>71.356997456853833</v>
      </c>
      <c r="L5" s="41">
        <v>78</v>
      </c>
      <c r="M5" s="42">
        <f t="shared" si="0"/>
        <v>177.34584855586556</v>
      </c>
      <c r="N5" s="43">
        <f t="shared" ref="N5:N18" si="5">(L5*1000)/(M5*J5*D5*0.9)*100</f>
        <v>99.644624129011689</v>
      </c>
      <c r="O5" s="44">
        <v>10</v>
      </c>
      <c r="P5" s="45">
        <f t="shared" si="1"/>
        <v>152.4</v>
      </c>
      <c r="Q5" s="46">
        <f t="shared" ref="Q5:Q18" si="6">(C5*1000)/(P5*J5*D5*0.9)*100</f>
        <v>59.464164547378182</v>
      </c>
      <c r="R5" s="47">
        <v>100</v>
      </c>
      <c r="S5" s="48">
        <f t="shared" si="2"/>
        <v>240.96555770483053</v>
      </c>
      <c r="T5" s="49">
        <f t="shared" ref="T5:T18" si="7">(R5*1000)/(S5*J5*D5*0.9)*100</f>
        <v>94.021099564375305</v>
      </c>
    </row>
    <row r="6" spans="2:20" x14ac:dyDescent="0.25">
      <c r="B6" s="17"/>
      <c r="C6" s="34">
        <v>20</v>
      </c>
      <c r="D6" s="35">
        <v>565.1</v>
      </c>
      <c r="E6" s="36">
        <v>35.5</v>
      </c>
      <c r="F6" s="36">
        <v>17.55</v>
      </c>
      <c r="G6" s="37">
        <v>12</v>
      </c>
      <c r="H6" s="35">
        <v>91</v>
      </c>
      <c r="I6" s="38">
        <v>30</v>
      </c>
      <c r="J6" s="39">
        <f t="shared" si="3"/>
        <v>0.86602540378443871</v>
      </c>
      <c r="K6" s="40">
        <f t="shared" si="4"/>
        <v>49.898806131722992</v>
      </c>
      <c r="L6" s="41">
        <v>100</v>
      </c>
      <c r="M6" s="42">
        <f t="shared" si="0"/>
        <v>203.48218595248088</v>
      </c>
      <c r="N6" s="43">
        <f t="shared" si="5"/>
        <v>111.57712250661591</v>
      </c>
      <c r="O6" s="44">
        <v>11</v>
      </c>
      <c r="P6" s="45">
        <f t="shared" si="1"/>
        <v>99.272727272727266</v>
      </c>
      <c r="Q6" s="46">
        <f t="shared" si="6"/>
        <v>45.740572287412753</v>
      </c>
      <c r="R6" s="47">
        <v>100</v>
      </c>
      <c r="S6" s="48">
        <f t="shared" si="2"/>
        <v>221.98056649361547</v>
      </c>
      <c r="T6" s="49">
        <f t="shared" si="7"/>
        <v>102.27902896439795</v>
      </c>
    </row>
    <row r="7" spans="2:20" x14ac:dyDescent="0.25">
      <c r="B7" s="17"/>
      <c r="C7" s="34">
        <v>20</v>
      </c>
      <c r="D7" s="35">
        <v>565.1</v>
      </c>
      <c r="E7" s="36">
        <v>35.5</v>
      </c>
      <c r="F7" s="36">
        <v>17.55</v>
      </c>
      <c r="G7" s="37">
        <v>12</v>
      </c>
      <c r="H7" s="35">
        <v>91</v>
      </c>
      <c r="I7" s="38">
        <v>30</v>
      </c>
      <c r="J7" s="39">
        <f t="shared" si="3"/>
        <v>0.86602540378443871</v>
      </c>
      <c r="K7" s="40">
        <f t="shared" si="4"/>
        <v>49.898806131722992</v>
      </c>
      <c r="L7" s="41">
        <v>80</v>
      </c>
      <c r="M7" s="42">
        <f t="shared" si="0"/>
        <v>182</v>
      </c>
      <c r="N7" s="43">
        <f t="shared" si="5"/>
        <v>99.797612263445984</v>
      </c>
      <c r="O7" s="44">
        <v>10</v>
      </c>
      <c r="P7" s="45">
        <f t="shared" si="1"/>
        <v>109.2</v>
      </c>
      <c r="Q7" s="46">
        <f t="shared" si="6"/>
        <v>41.582338443102493</v>
      </c>
      <c r="R7" s="47">
        <v>100</v>
      </c>
      <c r="S7" s="48">
        <f t="shared" si="2"/>
        <v>244.17862314297705</v>
      </c>
      <c r="T7" s="49">
        <f t="shared" si="7"/>
        <v>92.980935422179954</v>
      </c>
    </row>
    <row r="8" spans="2:20" x14ac:dyDescent="0.25">
      <c r="B8" s="50"/>
      <c r="C8" s="34"/>
      <c r="D8" s="35"/>
      <c r="E8" s="36"/>
      <c r="F8" s="36"/>
      <c r="G8" s="37"/>
      <c r="H8" s="35"/>
      <c r="I8" s="38">
        <v>30</v>
      </c>
      <c r="J8" s="39">
        <f t="shared" si="3"/>
        <v>0.86602540378443871</v>
      </c>
      <c r="K8" s="40" t="e">
        <f t="shared" si="4"/>
        <v>#DIV/0!</v>
      </c>
      <c r="L8" s="41"/>
      <c r="M8" s="42" t="e">
        <f t="shared" si="0"/>
        <v>#DIV/0!</v>
      </c>
      <c r="N8" s="43" t="e">
        <f t="shared" si="5"/>
        <v>#DIV/0!</v>
      </c>
      <c r="O8" s="44"/>
      <c r="P8" s="45" t="e">
        <f t="shared" si="1"/>
        <v>#DIV/0!</v>
      </c>
      <c r="Q8" s="46" t="e">
        <f t="shared" si="6"/>
        <v>#DIV/0!</v>
      </c>
      <c r="R8" s="47"/>
      <c r="S8" s="48" t="e">
        <f t="shared" si="2"/>
        <v>#DIV/0!</v>
      </c>
      <c r="T8" s="49" t="e">
        <f t="shared" si="7"/>
        <v>#DIV/0!</v>
      </c>
    </row>
    <row r="9" spans="2:20" x14ac:dyDescent="0.25">
      <c r="B9" s="50"/>
      <c r="C9" s="34">
        <v>1147</v>
      </c>
      <c r="D9" s="35">
        <v>831</v>
      </c>
      <c r="E9" s="36"/>
      <c r="F9" s="36"/>
      <c r="G9" s="37">
        <v>2</v>
      </c>
      <c r="H9" s="35">
        <v>1733</v>
      </c>
      <c r="I9" s="38">
        <v>23.1</v>
      </c>
      <c r="J9" s="39">
        <f t="shared" si="3"/>
        <v>0.91982149732173768</v>
      </c>
      <c r="K9" s="40">
        <f t="shared" si="4"/>
        <v>96.209457687670437</v>
      </c>
      <c r="L9" s="41"/>
      <c r="M9" s="42">
        <f t="shared" si="0"/>
        <v>0</v>
      </c>
      <c r="N9" s="43" t="e">
        <f t="shared" si="5"/>
        <v>#DIV/0!</v>
      </c>
      <c r="O9" s="44"/>
      <c r="P9" s="45" t="e">
        <f t="shared" si="1"/>
        <v>#DIV/0!</v>
      </c>
      <c r="Q9" s="46" t="e">
        <f t="shared" si="6"/>
        <v>#DIV/0!</v>
      </c>
      <c r="R9" s="47"/>
      <c r="S9" s="48" t="e">
        <f t="shared" si="2"/>
        <v>#DIV/0!</v>
      </c>
      <c r="T9" s="49" t="e">
        <f t="shared" si="7"/>
        <v>#DIV/0!</v>
      </c>
    </row>
    <row r="10" spans="2:20" x14ac:dyDescent="0.25">
      <c r="B10" s="50"/>
      <c r="C10" s="34"/>
      <c r="D10" s="35"/>
      <c r="E10" s="36"/>
      <c r="F10" s="36"/>
      <c r="G10" s="37"/>
      <c r="H10" s="35"/>
      <c r="I10" s="38">
        <v>30</v>
      </c>
      <c r="J10" s="39">
        <f t="shared" si="3"/>
        <v>0.86602540378443871</v>
      </c>
      <c r="K10" s="40" t="e">
        <f t="shared" si="4"/>
        <v>#DIV/0!</v>
      </c>
      <c r="L10" s="41"/>
      <c r="M10" s="42" t="e">
        <f t="shared" si="0"/>
        <v>#DIV/0!</v>
      </c>
      <c r="N10" s="43" t="e">
        <f t="shared" si="5"/>
        <v>#DIV/0!</v>
      </c>
      <c r="O10" s="44"/>
      <c r="P10" s="45" t="e">
        <f t="shared" si="1"/>
        <v>#DIV/0!</v>
      </c>
      <c r="Q10" s="46" t="e">
        <f t="shared" si="6"/>
        <v>#DIV/0!</v>
      </c>
      <c r="R10" s="47"/>
      <c r="S10" s="48" t="e">
        <f t="shared" si="2"/>
        <v>#DIV/0!</v>
      </c>
      <c r="T10" s="49" t="e">
        <f t="shared" si="7"/>
        <v>#DIV/0!</v>
      </c>
    </row>
    <row r="11" spans="2:20" x14ac:dyDescent="0.25">
      <c r="B11" s="50"/>
      <c r="C11" s="34">
        <v>460</v>
      </c>
      <c r="D11" s="35">
        <v>886</v>
      </c>
      <c r="E11" s="36"/>
      <c r="F11" s="36">
        <v>0.79</v>
      </c>
      <c r="G11" s="37">
        <v>2</v>
      </c>
      <c r="H11" s="35">
        <v>850</v>
      </c>
      <c r="I11" s="38">
        <v>41.4</v>
      </c>
      <c r="J11" s="39">
        <f t="shared" si="3"/>
        <v>0.75011106963045959</v>
      </c>
      <c r="K11" s="40">
        <f t="shared" si="4"/>
        <v>90.476772526457921</v>
      </c>
      <c r="L11" s="41"/>
      <c r="M11" s="42">
        <f t="shared" si="0"/>
        <v>0</v>
      </c>
      <c r="N11" s="43" t="e">
        <f t="shared" si="5"/>
        <v>#DIV/0!</v>
      </c>
      <c r="O11" s="44"/>
      <c r="P11" s="45" t="e">
        <f t="shared" si="1"/>
        <v>#DIV/0!</v>
      </c>
      <c r="Q11" s="46" t="e">
        <f t="shared" si="6"/>
        <v>#DIV/0!</v>
      </c>
      <c r="R11" s="47"/>
      <c r="S11" s="48" t="e">
        <f t="shared" si="2"/>
        <v>#DIV/0!</v>
      </c>
      <c r="T11" s="49" t="e">
        <f t="shared" si="7"/>
        <v>#DIV/0!</v>
      </c>
    </row>
    <row r="12" spans="2:20" x14ac:dyDescent="0.25">
      <c r="B12" s="50"/>
      <c r="C12" s="34">
        <v>304</v>
      </c>
      <c r="D12" s="35">
        <v>875</v>
      </c>
      <c r="E12" s="36"/>
      <c r="F12" s="36"/>
      <c r="G12" s="37">
        <v>2</v>
      </c>
      <c r="H12" s="35">
        <v>950</v>
      </c>
      <c r="I12" s="38">
        <v>63.2</v>
      </c>
      <c r="J12" s="39">
        <f t="shared" si="3"/>
        <v>0.45087754068943081</v>
      </c>
      <c r="K12" s="40">
        <f t="shared" si="4"/>
        <v>90.124073540647714</v>
      </c>
      <c r="L12" s="41"/>
      <c r="M12" s="42">
        <f t="shared" si="0"/>
        <v>0</v>
      </c>
      <c r="N12" s="43" t="e">
        <f t="shared" si="5"/>
        <v>#DIV/0!</v>
      </c>
      <c r="O12" s="44"/>
      <c r="P12" s="45" t="e">
        <f t="shared" si="1"/>
        <v>#DIV/0!</v>
      </c>
      <c r="Q12" s="46" t="e">
        <f t="shared" si="6"/>
        <v>#DIV/0!</v>
      </c>
      <c r="R12" s="47"/>
      <c r="S12" s="48" t="e">
        <f t="shared" si="2"/>
        <v>#DIV/0!</v>
      </c>
      <c r="T12" s="49" t="e">
        <f t="shared" si="7"/>
        <v>#DIV/0!</v>
      </c>
    </row>
    <row r="13" spans="2:20" x14ac:dyDescent="0.25">
      <c r="B13" s="50"/>
      <c r="C13" s="34"/>
      <c r="D13" s="35"/>
      <c r="E13" s="36"/>
      <c r="F13" s="36"/>
      <c r="G13" s="37"/>
      <c r="H13" s="35"/>
      <c r="I13" s="38">
        <v>30</v>
      </c>
      <c r="J13" s="39">
        <f t="shared" si="3"/>
        <v>0.86602540378443871</v>
      </c>
      <c r="K13" s="40" t="e">
        <f t="shared" si="4"/>
        <v>#DIV/0!</v>
      </c>
      <c r="L13" s="41"/>
      <c r="M13" s="42" t="e">
        <f t="shared" si="0"/>
        <v>#DIV/0!</v>
      </c>
      <c r="N13" s="43" t="e">
        <f t="shared" si="5"/>
        <v>#DIV/0!</v>
      </c>
      <c r="O13" s="44"/>
      <c r="P13" s="45" t="e">
        <f t="shared" si="1"/>
        <v>#DIV/0!</v>
      </c>
      <c r="Q13" s="46" t="e">
        <f t="shared" si="6"/>
        <v>#DIV/0!</v>
      </c>
      <c r="R13" s="47"/>
      <c r="S13" s="48" t="e">
        <f t="shared" si="2"/>
        <v>#DIV/0!</v>
      </c>
      <c r="T13" s="49" t="e">
        <f t="shared" si="7"/>
        <v>#DIV/0!</v>
      </c>
    </row>
    <row r="14" spans="2:20" x14ac:dyDescent="0.25">
      <c r="B14" s="50"/>
      <c r="C14" s="34"/>
      <c r="D14" s="35"/>
      <c r="E14" s="36"/>
      <c r="F14" s="36"/>
      <c r="G14" s="37"/>
      <c r="H14" s="35"/>
      <c r="I14" s="38">
        <v>30</v>
      </c>
      <c r="J14" s="39">
        <f t="shared" si="3"/>
        <v>0.86602540378443871</v>
      </c>
      <c r="K14" s="40" t="e">
        <f t="shared" si="4"/>
        <v>#DIV/0!</v>
      </c>
      <c r="L14" s="41"/>
      <c r="M14" s="42" t="e">
        <f t="shared" si="0"/>
        <v>#DIV/0!</v>
      </c>
      <c r="N14" s="43" t="e">
        <f t="shared" si="5"/>
        <v>#DIV/0!</v>
      </c>
      <c r="O14" s="44"/>
      <c r="P14" s="45" t="e">
        <f t="shared" si="1"/>
        <v>#DIV/0!</v>
      </c>
      <c r="Q14" s="46" t="e">
        <f t="shared" si="6"/>
        <v>#DIV/0!</v>
      </c>
      <c r="R14" s="47"/>
      <c r="S14" s="48" t="e">
        <f t="shared" si="2"/>
        <v>#DIV/0!</v>
      </c>
      <c r="T14" s="49" t="e">
        <f t="shared" si="7"/>
        <v>#DIV/0!</v>
      </c>
    </row>
    <row r="15" spans="2:20" x14ac:dyDescent="0.25">
      <c r="B15" s="50"/>
      <c r="C15" s="34"/>
      <c r="D15" s="35"/>
      <c r="E15" s="36"/>
      <c r="F15" s="36"/>
      <c r="G15" s="37"/>
      <c r="H15" s="35"/>
      <c r="I15" s="38">
        <v>30</v>
      </c>
      <c r="J15" s="39">
        <f t="shared" si="3"/>
        <v>0.86602540378443871</v>
      </c>
      <c r="K15" s="40" t="e">
        <f t="shared" si="4"/>
        <v>#DIV/0!</v>
      </c>
      <c r="L15" s="41"/>
      <c r="M15" s="42" t="e">
        <f t="shared" si="0"/>
        <v>#DIV/0!</v>
      </c>
      <c r="N15" s="43" t="e">
        <f t="shared" si="5"/>
        <v>#DIV/0!</v>
      </c>
      <c r="O15" s="44"/>
      <c r="P15" s="45" t="e">
        <f t="shared" si="1"/>
        <v>#DIV/0!</v>
      </c>
      <c r="Q15" s="46" t="e">
        <f t="shared" si="6"/>
        <v>#DIV/0!</v>
      </c>
      <c r="R15" s="47"/>
      <c r="S15" s="48" t="e">
        <f t="shared" si="2"/>
        <v>#DIV/0!</v>
      </c>
      <c r="T15" s="49" t="e">
        <f t="shared" si="7"/>
        <v>#DIV/0!</v>
      </c>
    </row>
    <row r="16" spans="2:20" x14ac:dyDescent="0.25">
      <c r="B16" s="50"/>
      <c r="C16" s="34"/>
      <c r="D16" s="35"/>
      <c r="E16" s="36"/>
      <c r="F16" s="36"/>
      <c r="G16" s="37"/>
      <c r="H16" s="35"/>
      <c r="I16" s="38">
        <v>30</v>
      </c>
      <c r="J16" s="39">
        <f t="shared" si="3"/>
        <v>0.86602540378443871</v>
      </c>
      <c r="K16" s="40" t="e">
        <f t="shared" si="4"/>
        <v>#DIV/0!</v>
      </c>
      <c r="L16" s="41"/>
      <c r="M16" s="42" t="e">
        <f t="shared" si="0"/>
        <v>#DIV/0!</v>
      </c>
      <c r="N16" s="43" t="e">
        <f t="shared" si="5"/>
        <v>#DIV/0!</v>
      </c>
      <c r="O16" s="44"/>
      <c r="P16" s="45" t="e">
        <f t="shared" si="1"/>
        <v>#DIV/0!</v>
      </c>
      <c r="Q16" s="46" t="e">
        <f t="shared" si="6"/>
        <v>#DIV/0!</v>
      </c>
      <c r="R16" s="47"/>
      <c r="S16" s="48" t="e">
        <f t="shared" si="2"/>
        <v>#DIV/0!</v>
      </c>
      <c r="T16" s="49" t="e">
        <f t="shared" si="7"/>
        <v>#DIV/0!</v>
      </c>
    </row>
    <row r="17" spans="2:20" x14ac:dyDescent="0.25">
      <c r="B17" s="50"/>
      <c r="C17" s="34"/>
      <c r="D17" s="35"/>
      <c r="E17" s="36"/>
      <c r="F17" s="36"/>
      <c r="G17" s="37"/>
      <c r="H17" s="35"/>
      <c r="I17" s="38">
        <v>30</v>
      </c>
      <c r="J17" s="39">
        <f t="shared" si="3"/>
        <v>0.86602540378443871</v>
      </c>
      <c r="K17" s="40" t="e">
        <f t="shared" si="4"/>
        <v>#DIV/0!</v>
      </c>
      <c r="L17" s="41"/>
      <c r="M17" s="42" t="e">
        <f t="shared" si="0"/>
        <v>#DIV/0!</v>
      </c>
      <c r="N17" s="43" t="e">
        <f t="shared" si="5"/>
        <v>#DIV/0!</v>
      </c>
      <c r="O17" s="44"/>
      <c r="P17" s="45" t="e">
        <f t="shared" si="1"/>
        <v>#DIV/0!</v>
      </c>
      <c r="Q17" s="46" t="e">
        <f t="shared" si="6"/>
        <v>#DIV/0!</v>
      </c>
      <c r="R17" s="47"/>
      <c r="S17" s="48" t="e">
        <f t="shared" si="2"/>
        <v>#DIV/0!</v>
      </c>
      <c r="T17" s="49" t="e">
        <f t="shared" si="7"/>
        <v>#DIV/0!</v>
      </c>
    </row>
    <row r="18" spans="2:20" ht="15" thickBot="1" x14ac:dyDescent="0.3">
      <c r="B18" s="51"/>
      <c r="C18" s="52"/>
      <c r="D18" s="53"/>
      <c r="E18" s="54"/>
      <c r="F18" s="54"/>
      <c r="G18" s="55"/>
      <c r="H18" s="53"/>
      <c r="I18" s="56">
        <v>30</v>
      </c>
      <c r="J18" s="57">
        <f t="shared" si="3"/>
        <v>0.86602540378443871</v>
      </c>
      <c r="K18" s="58" t="e">
        <f t="shared" si="4"/>
        <v>#DIV/0!</v>
      </c>
      <c r="L18" s="59"/>
      <c r="M18" s="60" t="e">
        <f t="shared" si="0"/>
        <v>#DIV/0!</v>
      </c>
      <c r="N18" s="61" t="e">
        <f t="shared" si="5"/>
        <v>#DIV/0!</v>
      </c>
      <c r="O18" s="62"/>
      <c r="P18" s="63" t="e">
        <f t="shared" si="1"/>
        <v>#DIV/0!</v>
      </c>
      <c r="Q18" s="64" t="e">
        <f t="shared" si="6"/>
        <v>#DIV/0!</v>
      </c>
      <c r="R18" s="65"/>
      <c r="S18" s="66" t="e">
        <f t="shared" si="2"/>
        <v>#DIV/0!</v>
      </c>
      <c r="T18" s="67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5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38파이</vt:lpstr>
      <vt:lpstr>27.2파이</vt:lpstr>
      <vt:lpstr>76파이</vt:lpstr>
      <vt:lpstr>한두철강</vt:lpstr>
      <vt:lpstr>설계 결과표</vt:lpstr>
      <vt:lpstr>SW 요청자료</vt:lpstr>
      <vt:lpstr>입력정류부</vt:lpstr>
      <vt:lpstr>스킨뎁스_금속종류별</vt:lpstr>
      <vt:lpstr>LCD 데이터를 이용한 듀티계산</vt:lpstr>
    </vt:vector>
  </TitlesOfParts>
  <Company>PSTEK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Windows User</cp:lastModifiedBy>
  <cp:lastPrinted>2006-06-20T05:42:32Z</cp:lastPrinted>
  <dcterms:created xsi:type="dcterms:W3CDTF">2002-10-01T05:20:05Z</dcterms:created>
  <dcterms:modified xsi:type="dcterms:W3CDTF">2021-12-16T00:52:05Z</dcterms:modified>
</cp:coreProperties>
</file>