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gyeinapi100ezer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tr">
        <f>IFERROR(__xludf.DUMMYFUNCTION("importrange(""https://docs.google.com/spreadsheets/d/1e4VEZL1xvsALoOIq9V2SQuICeQrT5MtWfBm32ad7i8Q/edit#gid=311133316"",""megyei!a1:a998"")"),"Dátum")</f>
        <v>Dátum</v>
      </c>
      <c r="B1" s="2" t="str">
        <f>IFERROR(__xludf.DUMMYFUNCTION("importrange(""https://docs.google.com/spreadsheets/d/1e4VEZL1xvsALoOIq9V2SQuICeQrT5MtWfBm32ad7i8Q/edit#gid=311133316"",""megyei!w1:ap1"")"),"Bács-Kiskun")</f>
        <v>Bács-Kiskun</v>
      </c>
      <c r="C1" s="2" t="str">
        <f>IFERROR(__xludf.DUMMYFUNCTION("""COMPUTED_VALUE"""),"Baranya")</f>
        <v>Baranya</v>
      </c>
      <c r="D1" s="1" t="str">
        <f>IFERROR(__xludf.DUMMYFUNCTION("""COMPUTED_VALUE"""),"Békés")</f>
        <v>Békés</v>
      </c>
      <c r="E1" s="1" t="str">
        <f>IFERROR(__xludf.DUMMYFUNCTION("""COMPUTED_VALUE"""),"Borsod-Abaúj-Zemplén")</f>
        <v>Borsod-Abaúj-Zemplén</v>
      </c>
      <c r="F1" s="1" t="str">
        <f>IFERROR(__xludf.DUMMYFUNCTION("""COMPUTED_VALUE"""),"Budapest")</f>
        <v>Budapest</v>
      </c>
      <c r="G1" s="1" t="str">
        <f>IFERROR(__xludf.DUMMYFUNCTION("""COMPUTED_VALUE"""),"Csongrád")</f>
        <v>Csongrád</v>
      </c>
      <c r="H1" s="1" t="str">
        <f>IFERROR(__xludf.DUMMYFUNCTION("""COMPUTED_VALUE"""),"Fejér")</f>
        <v>Fejér</v>
      </c>
      <c r="I1" s="1" t="str">
        <f>IFERROR(__xludf.DUMMYFUNCTION("""COMPUTED_VALUE"""),"Győr-Moson-Sopron")</f>
        <v>Győr-Moson-Sopron</v>
      </c>
      <c r="J1" s="1" t="str">
        <f>IFERROR(__xludf.DUMMYFUNCTION("""COMPUTED_VALUE"""),"Hajdú-Bihar")</f>
        <v>Hajdú-Bihar</v>
      </c>
      <c r="K1" s="1" t="str">
        <f>IFERROR(__xludf.DUMMYFUNCTION("""COMPUTED_VALUE"""),"Heves")</f>
        <v>Heves</v>
      </c>
      <c r="L1" s="1" t="str">
        <f>IFERROR(__xludf.DUMMYFUNCTION("""COMPUTED_VALUE"""),"Jász-Nagykun-Szolnok")</f>
        <v>Jász-Nagykun-Szolnok</v>
      </c>
      <c r="M1" s="1" t="str">
        <f>IFERROR(__xludf.DUMMYFUNCTION("""COMPUTED_VALUE"""),"Komárom-Esztergom")</f>
        <v>Komárom-Esztergom</v>
      </c>
      <c r="N1" s="1" t="str">
        <f>IFERROR(__xludf.DUMMYFUNCTION("""COMPUTED_VALUE"""),"Nógrád")</f>
        <v>Nógrád</v>
      </c>
      <c r="O1" s="1" t="str">
        <f>IFERROR(__xludf.DUMMYFUNCTION("""COMPUTED_VALUE"""),"Pest")</f>
        <v>Pest</v>
      </c>
      <c r="P1" s="1" t="str">
        <f>IFERROR(__xludf.DUMMYFUNCTION("""COMPUTED_VALUE"""),"Somogy")</f>
        <v>Somogy</v>
      </c>
      <c r="Q1" s="1" t="str">
        <f>IFERROR(__xludf.DUMMYFUNCTION("""COMPUTED_VALUE"""),"Szabolcs-Szatmár-Bereg")</f>
        <v>Szabolcs-Szatmár-Bereg</v>
      </c>
      <c r="R1" s="1" t="str">
        <f>IFERROR(__xludf.DUMMYFUNCTION("""COMPUTED_VALUE"""),"Tolna")</f>
        <v>Tolna</v>
      </c>
      <c r="S1" s="1" t="str">
        <f>IFERROR(__xludf.DUMMYFUNCTION("""COMPUTED_VALUE"""),"Vas")</f>
        <v>Vas</v>
      </c>
      <c r="T1" s="1" t="str">
        <f>IFERROR(__xludf.DUMMYFUNCTION("""COMPUTED_VALUE"""),"Veszprém")</f>
        <v>Veszprém</v>
      </c>
      <c r="U1" s="1" t="str">
        <f>IFERROR(__xludf.DUMMYFUNCTION("""COMPUTED_VALUE"""),"Zala")</f>
        <v>Zala</v>
      </c>
    </row>
    <row r="2">
      <c r="A2" s="3">
        <f>IFERROR(__xludf.DUMMYFUNCTION("""COMPUTED_VALUE"""),43921.0)</f>
        <v>43921</v>
      </c>
      <c r="B2" s="1">
        <f t="shared" ref="B2:U2" si="1">IF($A2&gt;0,Megyeinapi!B2/'megyelakosság'!B$2*100000," ")</f>
        <v>1.592927402</v>
      </c>
      <c r="C2" s="1">
        <f t="shared" si="1"/>
        <v>5.569339671</v>
      </c>
      <c r="D2" s="1">
        <f t="shared" si="1"/>
        <v>0.9076002444</v>
      </c>
      <c r="E2" s="1">
        <f t="shared" si="1"/>
        <v>0.941820602</v>
      </c>
      <c r="F2" s="1">
        <f t="shared" si="1"/>
        <v>12.28419806</v>
      </c>
      <c r="G2" s="1">
        <f t="shared" si="1"/>
        <v>4.267796712</v>
      </c>
      <c r="H2" s="1">
        <f t="shared" si="1"/>
        <v>2.866677974</v>
      </c>
      <c r="I2" s="1">
        <f t="shared" si="1"/>
        <v>5.283837165</v>
      </c>
      <c r="J2" s="1">
        <f t="shared" si="1"/>
        <v>1.518813351</v>
      </c>
      <c r="K2" s="1">
        <f t="shared" si="1"/>
        <v>0.681614472</v>
      </c>
      <c r="L2" s="1">
        <f t="shared" si="1"/>
        <v>1.090200461</v>
      </c>
      <c r="M2" s="1">
        <f t="shared" si="1"/>
        <v>3.986777189</v>
      </c>
      <c r="N2" s="1">
        <f t="shared" si="1"/>
        <v>2.658273611</v>
      </c>
      <c r="O2" s="1">
        <f t="shared" si="1"/>
        <v>6.861449601</v>
      </c>
      <c r="P2" s="1">
        <f t="shared" si="1"/>
        <v>3.66727788</v>
      </c>
      <c r="Q2" s="1">
        <f t="shared" si="1"/>
        <v>4.371361752</v>
      </c>
      <c r="R2" s="1">
        <f t="shared" si="1"/>
        <v>3.248048851</v>
      </c>
      <c r="S2" s="1">
        <f t="shared" si="1"/>
        <v>3.147908412</v>
      </c>
      <c r="T2" s="1">
        <f t="shared" si="1"/>
        <v>2.931201763</v>
      </c>
      <c r="U2" s="1">
        <f t="shared" si="1"/>
        <v>2.244912467</v>
      </c>
    </row>
    <row r="3">
      <c r="A3" s="3">
        <f>IFERROR(__xludf.DUMMYFUNCTION("""COMPUTED_VALUE"""),43922.0)</f>
        <v>43922</v>
      </c>
      <c r="B3" s="1">
        <f t="shared" ref="B3:U3" si="2">IF($A3&gt;0,Megyeinapi!B3/'megyelakosság'!B$2*100000," ")</f>
        <v>0</v>
      </c>
      <c r="C3" s="1">
        <f t="shared" si="2"/>
        <v>-0.2784669836</v>
      </c>
      <c r="D3" s="1">
        <f t="shared" si="2"/>
        <v>0</v>
      </c>
      <c r="E3" s="1">
        <f t="shared" si="2"/>
        <v>0</v>
      </c>
      <c r="F3" s="1">
        <f t="shared" si="2"/>
        <v>0.9713086842</v>
      </c>
      <c r="G3" s="1">
        <f t="shared" si="2"/>
        <v>0</v>
      </c>
      <c r="H3" s="1">
        <f t="shared" si="2"/>
        <v>0.2388898312</v>
      </c>
      <c r="I3" s="1">
        <f t="shared" si="2"/>
        <v>0.2113534866</v>
      </c>
      <c r="J3" s="1">
        <f t="shared" si="2"/>
        <v>0.1898516689</v>
      </c>
      <c r="K3" s="1">
        <f t="shared" si="2"/>
        <v>0.340807236</v>
      </c>
      <c r="L3" s="1">
        <f t="shared" si="2"/>
        <v>0.2725501152</v>
      </c>
      <c r="M3" s="1">
        <f t="shared" si="2"/>
        <v>0</v>
      </c>
      <c r="N3" s="1">
        <f t="shared" si="2"/>
        <v>0</v>
      </c>
      <c r="O3" s="1">
        <f t="shared" si="2"/>
        <v>0.693854454</v>
      </c>
      <c r="P3" s="1">
        <f t="shared" si="2"/>
        <v>0</v>
      </c>
      <c r="Q3" s="1">
        <f t="shared" si="2"/>
        <v>0.182140073</v>
      </c>
      <c r="R3" s="1">
        <f t="shared" si="2"/>
        <v>0</v>
      </c>
      <c r="S3" s="1">
        <f t="shared" si="2"/>
        <v>0.3934885515</v>
      </c>
      <c r="T3" s="1">
        <f t="shared" si="2"/>
        <v>0</v>
      </c>
      <c r="U3" s="1">
        <f t="shared" si="2"/>
        <v>0.3741520779</v>
      </c>
    </row>
    <row r="4">
      <c r="A4" s="3">
        <f>IFERROR(__xludf.DUMMYFUNCTION("""COMPUTED_VALUE"""),43923.0)</f>
        <v>43923</v>
      </c>
      <c r="B4" s="1">
        <f t="shared" ref="B4:U4" si="3">IF($A4&gt;0,Megyeinapi!B4/'megyelakosság'!B$2*100000," ")</f>
        <v>1.393811477</v>
      </c>
      <c r="C4" s="1">
        <f t="shared" si="3"/>
        <v>0</v>
      </c>
      <c r="D4" s="1">
        <f t="shared" si="3"/>
        <v>0</v>
      </c>
      <c r="E4" s="1">
        <f t="shared" si="3"/>
        <v>0</v>
      </c>
      <c r="F4" s="1">
        <f t="shared" si="3"/>
        <v>0.6284938545</v>
      </c>
      <c r="G4" s="1">
        <f t="shared" si="3"/>
        <v>1.004187462</v>
      </c>
      <c r="H4" s="1">
        <f t="shared" si="3"/>
        <v>1.194449156</v>
      </c>
      <c r="I4" s="1">
        <f t="shared" si="3"/>
        <v>0.4227069732</v>
      </c>
      <c r="J4" s="1">
        <f t="shared" si="3"/>
        <v>0.1898516689</v>
      </c>
      <c r="K4" s="1">
        <f t="shared" si="3"/>
        <v>0</v>
      </c>
      <c r="L4" s="1">
        <f t="shared" si="3"/>
        <v>0.5451002303</v>
      </c>
      <c r="M4" s="1">
        <f t="shared" si="3"/>
        <v>0.3322314324</v>
      </c>
      <c r="N4" s="1">
        <f t="shared" si="3"/>
        <v>0.5316547222</v>
      </c>
      <c r="O4" s="1">
        <f t="shared" si="3"/>
        <v>1.850278544</v>
      </c>
      <c r="P4" s="1">
        <f t="shared" si="3"/>
        <v>0</v>
      </c>
      <c r="Q4" s="1">
        <f t="shared" si="3"/>
        <v>0.364280146</v>
      </c>
      <c r="R4" s="1">
        <f t="shared" si="3"/>
        <v>0</v>
      </c>
      <c r="S4" s="1">
        <f t="shared" si="3"/>
        <v>0</v>
      </c>
      <c r="T4" s="1">
        <f t="shared" si="3"/>
        <v>0</v>
      </c>
      <c r="U4" s="1">
        <f t="shared" si="3"/>
        <v>0</v>
      </c>
    </row>
    <row r="5">
      <c r="A5" s="3">
        <f>IFERROR(__xludf.DUMMYFUNCTION("""COMPUTED_VALUE"""),43924.0)</f>
        <v>43924</v>
      </c>
      <c r="B5" s="1">
        <f t="shared" ref="B5:U5" si="4">IF($A5&gt;0,Megyeinapi!B5/'megyelakosság'!B$2*100000," ")</f>
        <v>0.3982318506</v>
      </c>
      <c r="C5" s="1">
        <f t="shared" si="4"/>
        <v>0.5569339671</v>
      </c>
      <c r="D5" s="1">
        <f t="shared" si="4"/>
        <v>0.3025334148</v>
      </c>
      <c r="E5" s="1">
        <f t="shared" si="4"/>
        <v>0</v>
      </c>
      <c r="F5" s="1">
        <f t="shared" si="4"/>
        <v>1.028444489</v>
      </c>
      <c r="G5" s="1">
        <f t="shared" si="4"/>
        <v>0.5020937309</v>
      </c>
      <c r="H5" s="1">
        <f t="shared" si="4"/>
        <v>0.7166694935</v>
      </c>
      <c r="I5" s="1">
        <f t="shared" si="4"/>
        <v>0</v>
      </c>
      <c r="J5" s="1">
        <f t="shared" si="4"/>
        <v>0.1898516689</v>
      </c>
      <c r="K5" s="1">
        <f t="shared" si="4"/>
        <v>0</v>
      </c>
      <c r="L5" s="1">
        <f t="shared" si="4"/>
        <v>0.2725501152</v>
      </c>
      <c r="M5" s="1">
        <f t="shared" si="4"/>
        <v>0.6644628648</v>
      </c>
      <c r="N5" s="1">
        <f t="shared" si="4"/>
        <v>0.5316547222</v>
      </c>
      <c r="O5" s="1">
        <f t="shared" si="4"/>
        <v>0.1541898787</v>
      </c>
      <c r="P5" s="1">
        <f t="shared" si="4"/>
        <v>0.3333888981</v>
      </c>
      <c r="Q5" s="1">
        <f t="shared" si="4"/>
        <v>0.182140073</v>
      </c>
      <c r="R5" s="1">
        <f t="shared" si="4"/>
        <v>0</v>
      </c>
      <c r="S5" s="1">
        <f t="shared" si="4"/>
        <v>0</v>
      </c>
      <c r="T5" s="1">
        <f t="shared" si="4"/>
        <v>0</v>
      </c>
      <c r="U5" s="1">
        <f t="shared" si="4"/>
        <v>0.3741520779</v>
      </c>
    </row>
    <row r="6">
      <c r="A6" s="3">
        <f>IFERROR(__xludf.DUMMYFUNCTION("""COMPUTED_VALUE"""),43925.0)</f>
        <v>43925</v>
      </c>
      <c r="B6" s="1">
        <f t="shared" ref="B6:U6" si="5">IF($A6&gt;0,Megyeinapi!B6/'megyelakosság'!B$2*100000," ")</f>
        <v>0.1991159253</v>
      </c>
      <c r="C6" s="1">
        <f t="shared" si="5"/>
        <v>0</v>
      </c>
      <c r="D6" s="1">
        <f t="shared" si="5"/>
        <v>0.6050668296</v>
      </c>
      <c r="E6" s="1">
        <f t="shared" si="5"/>
        <v>-0.1569701003</v>
      </c>
      <c r="F6" s="1">
        <f t="shared" si="5"/>
        <v>1.714074149</v>
      </c>
      <c r="G6" s="1">
        <f t="shared" si="5"/>
        <v>0.5020937309</v>
      </c>
      <c r="H6" s="1">
        <f t="shared" si="5"/>
        <v>0</v>
      </c>
      <c r="I6" s="1">
        <f t="shared" si="5"/>
        <v>1.056767433</v>
      </c>
      <c r="J6" s="1">
        <f t="shared" si="5"/>
        <v>0.3797033378</v>
      </c>
      <c r="K6" s="1">
        <f t="shared" si="5"/>
        <v>0</v>
      </c>
      <c r="L6" s="1">
        <f t="shared" si="5"/>
        <v>-0.2725501152</v>
      </c>
      <c r="M6" s="1">
        <f t="shared" si="5"/>
        <v>-0.3322314324</v>
      </c>
      <c r="N6" s="1">
        <f t="shared" si="5"/>
        <v>0.5316547222</v>
      </c>
      <c r="O6" s="1">
        <f t="shared" si="5"/>
        <v>0.7709493933</v>
      </c>
      <c r="P6" s="1">
        <f t="shared" si="5"/>
        <v>0</v>
      </c>
      <c r="Q6" s="1">
        <f t="shared" si="5"/>
        <v>0</v>
      </c>
      <c r="R6" s="1">
        <f t="shared" si="5"/>
        <v>0</v>
      </c>
      <c r="S6" s="1">
        <f t="shared" si="5"/>
        <v>0.7869771029</v>
      </c>
      <c r="T6" s="1">
        <f t="shared" si="5"/>
        <v>0</v>
      </c>
      <c r="U6" s="1">
        <f t="shared" si="5"/>
        <v>0.7483041557</v>
      </c>
    </row>
    <row r="7">
      <c r="A7" s="3">
        <f>IFERROR(__xludf.DUMMYFUNCTION("""COMPUTED_VALUE"""),43926.0)</f>
        <v>43926</v>
      </c>
      <c r="B7" s="1">
        <f t="shared" ref="B7:U7" si="6">IF($A7&gt;0,Megyeinapi!B7/'megyelakosság'!B$2*100000," ")</f>
        <v>0.1991159253</v>
      </c>
      <c r="C7" s="1">
        <f t="shared" si="6"/>
        <v>0.5569339671</v>
      </c>
      <c r="D7" s="1">
        <f t="shared" si="6"/>
        <v>0.6050668296</v>
      </c>
      <c r="E7" s="1">
        <f t="shared" si="6"/>
        <v>0.3139402007</v>
      </c>
      <c r="F7" s="1">
        <f t="shared" si="6"/>
        <v>1.256987709</v>
      </c>
      <c r="G7" s="1">
        <f t="shared" si="6"/>
        <v>1.255234327</v>
      </c>
      <c r="H7" s="1">
        <f t="shared" si="6"/>
        <v>0.7166694935</v>
      </c>
      <c r="I7" s="1">
        <f t="shared" si="6"/>
        <v>0.2113534866</v>
      </c>
      <c r="J7" s="1">
        <f t="shared" si="6"/>
        <v>0.1898516689</v>
      </c>
      <c r="K7" s="1">
        <f t="shared" si="6"/>
        <v>0</v>
      </c>
      <c r="L7" s="1">
        <f t="shared" si="6"/>
        <v>0.2725501152</v>
      </c>
      <c r="M7" s="1">
        <f t="shared" si="6"/>
        <v>0</v>
      </c>
      <c r="N7" s="1">
        <f t="shared" si="6"/>
        <v>1.063309444</v>
      </c>
      <c r="O7" s="1">
        <f t="shared" si="6"/>
        <v>0.6167595147</v>
      </c>
      <c r="P7" s="1">
        <f t="shared" si="6"/>
        <v>1.000166694</v>
      </c>
      <c r="Q7" s="1">
        <f t="shared" si="6"/>
        <v>0</v>
      </c>
      <c r="R7" s="1">
        <f t="shared" si="6"/>
        <v>1.392020936</v>
      </c>
      <c r="S7" s="1">
        <f t="shared" si="6"/>
        <v>0</v>
      </c>
      <c r="T7" s="1">
        <f t="shared" si="6"/>
        <v>0</v>
      </c>
      <c r="U7" s="1">
        <f t="shared" si="6"/>
        <v>0</v>
      </c>
    </row>
    <row r="8">
      <c r="A8" s="3">
        <f>IFERROR(__xludf.DUMMYFUNCTION("""COMPUTED_VALUE"""),43927.0)</f>
        <v>43927</v>
      </c>
      <c r="B8" s="1">
        <f t="shared" ref="B8:U8" si="7">IF($A8&gt;0,Megyeinapi!B8/'megyelakosság'!B$2*100000," ")</f>
        <v>0</v>
      </c>
      <c r="C8" s="1">
        <f t="shared" si="7"/>
        <v>0</v>
      </c>
      <c r="D8" s="1">
        <f t="shared" si="7"/>
        <v>0</v>
      </c>
      <c r="E8" s="1">
        <f t="shared" si="7"/>
        <v>0</v>
      </c>
      <c r="F8" s="1">
        <f t="shared" si="7"/>
        <v>0.2285432198</v>
      </c>
      <c r="G8" s="1">
        <f t="shared" si="7"/>
        <v>0.5020937309</v>
      </c>
      <c r="H8" s="1">
        <f t="shared" si="7"/>
        <v>0</v>
      </c>
      <c r="I8" s="1">
        <f t="shared" si="7"/>
        <v>0</v>
      </c>
      <c r="J8" s="1">
        <f t="shared" si="7"/>
        <v>0.1898516689</v>
      </c>
      <c r="K8" s="1">
        <f t="shared" si="7"/>
        <v>0.340807236</v>
      </c>
      <c r="L8" s="1">
        <f t="shared" si="7"/>
        <v>0</v>
      </c>
      <c r="M8" s="1">
        <f t="shared" si="7"/>
        <v>0</v>
      </c>
      <c r="N8" s="1">
        <f t="shared" si="7"/>
        <v>0</v>
      </c>
      <c r="O8" s="1">
        <f t="shared" si="7"/>
        <v>0</v>
      </c>
      <c r="P8" s="1">
        <f t="shared" si="7"/>
        <v>0</v>
      </c>
      <c r="Q8" s="1">
        <f t="shared" si="7"/>
        <v>0</v>
      </c>
      <c r="R8" s="1">
        <f t="shared" si="7"/>
        <v>0.9280139573</v>
      </c>
      <c r="S8" s="1">
        <f t="shared" si="7"/>
        <v>0</v>
      </c>
      <c r="T8" s="1">
        <f t="shared" si="7"/>
        <v>0</v>
      </c>
      <c r="U8" s="1">
        <f t="shared" si="7"/>
        <v>0.3741520779</v>
      </c>
    </row>
    <row r="9">
      <c r="A9" s="3">
        <f>IFERROR(__xludf.DUMMYFUNCTION("""COMPUTED_VALUE"""),43928.0)</f>
        <v>43928</v>
      </c>
      <c r="B9" s="1">
        <f t="shared" ref="B9:U9" si="8">IF($A9&gt;0,Megyeinapi!B9/'megyelakosság'!B$2*100000," ")</f>
        <v>0</v>
      </c>
      <c r="C9" s="1">
        <f t="shared" si="8"/>
        <v>0</v>
      </c>
      <c r="D9" s="1">
        <f t="shared" si="8"/>
        <v>0.3025334148</v>
      </c>
      <c r="E9" s="1">
        <f t="shared" si="8"/>
        <v>0</v>
      </c>
      <c r="F9" s="1">
        <f t="shared" si="8"/>
        <v>1.599802539</v>
      </c>
      <c r="G9" s="1">
        <f t="shared" si="8"/>
        <v>0</v>
      </c>
      <c r="H9" s="1">
        <f t="shared" si="8"/>
        <v>3.583347468</v>
      </c>
      <c r="I9" s="1">
        <f t="shared" si="8"/>
        <v>0.4227069732</v>
      </c>
      <c r="J9" s="1">
        <f t="shared" si="8"/>
        <v>0</v>
      </c>
      <c r="K9" s="1">
        <f t="shared" si="8"/>
        <v>0</v>
      </c>
      <c r="L9" s="1">
        <f t="shared" si="8"/>
        <v>0.5451002303</v>
      </c>
      <c r="M9" s="1">
        <f t="shared" si="8"/>
        <v>0.3322314324</v>
      </c>
      <c r="N9" s="1">
        <f t="shared" si="8"/>
        <v>0.5316547222</v>
      </c>
      <c r="O9" s="1">
        <f t="shared" si="8"/>
        <v>0.8480443327</v>
      </c>
      <c r="P9" s="1">
        <f t="shared" si="8"/>
        <v>0.3333888981</v>
      </c>
      <c r="Q9" s="1">
        <f t="shared" si="8"/>
        <v>1.092840438</v>
      </c>
      <c r="R9" s="1">
        <f t="shared" si="8"/>
        <v>0.4640069787</v>
      </c>
      <c r="S9" s="1">
        <f t="shared" si="8"/>
        <v>0.3934885515</v>
      </c>
      <c r="T9" s="1">
        <f t="shared" si="8"/>
        <v>0.879360529</v>
      </c>
      <c r="U9" s="1">
        <f t="shared" si="8"/>
        <v>0</v>
      </c>
    </row>
    <row r="10">
      <c r="A10" s="3">
        <f>IFERROR(__xludf.DUMMYFUNCTION("""COMPUTED_VALUE"""),43929.0)</f>
        <v>43929</v>
      </c>
      <c r="B10" s="1">
        <f t="shared" ref="B10:U10" si="9">IF($A10&gt;0,Megyeinapi!B10/'megyelakosság'!B$2*100000," ")</f>
        <v>0</v>
      </c>
      <c r="C10" s="1">
        <f t="shared" si="9"/>
        <v>0</v>
      </c>
      <c r="D10" s="1">
        <f t="shared" si="9"/>
        <v>0.3025334148</v>
      </c>
      <c r="E10" s="1">
        <f t="shared" si="9"/>
        <v>0</v>
      </c>
      <c r="F10" s="1">
        <f t="shared" si="9"/>
        <v>2.399703808</v>
      </c>
      <c r="G10" s="1">
        <f t="shared" si="9"/>
        <v>2.008374923</v>
      </c>
      <c r="H10" s="1">
        <f t="shared" si="9"/>
        <v>2.388898312</v>
      </c>
      <c r="I10" s="1">
        <f t="shared" si="9"/>
        <v>0.2113534866</v>
      </c>
      <c r="J10" s="1">
        <f t="shared" si="9"/>
        <v>0</v>
      </c>
      <c r="K10" s="1">
        <f t="shared" si="9"/>
        <v>0</v>
      </c>
      <c r="L10" s="1">
        <f t="shared" si="9"/>
        <v>0</v>
      </c>
      <c r="M10" s="1">
        <f t="shared" si="9"/>
        <v>0</v>
      </c>
      <c r="N10" s="1">
        <f t="shared" si="9"/>
        <v>0.5316547222</v>
      </c>
      <c r="O10" s="1">
        <f t="shared" si="9"/>
        <v>0.8480443327</v>
      </c>
      <c r="P10" s="1">
        <f t="shared" si="9"/>
        <v>0.3333888981</v>
      </c>
      <c r="Q10" s="1">
        <f t="shared" si="9"/>
        <v>0.364280146</v>
      </c>
      <c r="R10" s="1">
        <f t="shared" si="9"/>
        <v>0</v>
      </c>
      <c r="S10" s="1">
        <f t="shared" si="9"/>
        <v>0</v>
      </c>
      <c r="T10" s="1">
        <f t="shared" si="9"/>
        <v>0.2931201763</v>
      </c>
      <c r="U10" s="1">
        <f t="shared" si="9"/>
        <v>0</v>
      </c>
    </row>
    <row r="11">
      <c r="A11" s="3">
        <f>IFERROR(__xludf.DUMMYFUNCTION("""COMPUTED_VALUE"""),43930.0)</f>
        <v>43930</v>
      </c>
      <c r="B11" s="1">
        <f t="shared" ref="B11:U11" si="10">IF($A11&gt;0,Megyeinapi!B11/'megyelakosság'!B$2*100000," ")</f>
        <v>0</v>
      </c>
      <c r="C11" s="1">
        <f t="shared" si="10"/>
        <v>0</v>
      </c>
      <c r="D11" s="1">
        <f t="shared" si="10"/>
        <v>0.3025334148</v>
      </c>
      <c r="E11" s="1">
        <f t="shared" si="10"/>
        <v>0.470910301</v>
      </c>
      <c r="F11" s="1">
        <f t="shared" si="10"/>
        <v>2.342568003</v>
      </c>
      <c r="G11" s="1">
        <f t="shared" si="10"/>
        <v>0</v>
      </c>
      <c r="H11" s="1">
        <f t="shared" si="10"/>
        <v>1.433338987</v>
      </c>
      <c r="I11" s="1">
        <f t="shared" si="10"/>
        <v>0</v>
      </c>
      <c r="J11" s="1">
        <f t="shared" si="10"/>
        <v>0</v>
      </c>
      <c r="K11" s="1">
        <f t="shared" si="10"/>
        <v>0</v>
      </c>
      <c r="L11" s="1">
        <f t="shared" si="10"/>
        <v>0.2725501152</v>
      </c>
      <c r="M11" s="1">
        <f t="shared" si="10"/>
        <v>0.6644628648</v>
      </c>
      <c r="N11" s="1">
        <f t="shared" si="10"/>
        <v>0</v>
      </c>
      <c r="O11" s="1">
        <f t="shared" si="10"/>
        <v>1.464803847</v>
      </c>
      <c r="P11" s="1">
        <f t="shared" si="10"/>
        <v>0</v>
      </c>
      <c r="Q11" s="1">
        <f t="shared" si="10"/>
        <v>0</v>
      </c>
      <c r="R11" s="1">
        <f t="shared" si="10"/>
        <v>0</v>
      </c>
      <c r="S11" s="1">
        <f t="shared" si="10"/>
        <v>0</v>
      </c>
      <c r="T11" s="1">
        <f t="shared" si="10"/>
        <v>1.172480705</v>
      </c>
      <c r="U11" s="1">
        <f t="shared" si="10"/>
        <v>2.993216623</v>
      </c>
    </row>
    <row r="12">
      <c r="A12" s="3">
        <f>IFERROR(__xludf.DUMMYFUNCTION("""COMPUTED_VALUE"""),43931.0)</f>
        <v>43931</v>
      </c>
      <c r="B12" s="1">
        <f t="shared" ref="B12:U12" si="11">IF($A12&gt;0,Megyeinapi!B12/'megyelakosság'!B$2*100000," ")</f>
        <v>0.3982318506</v>
      </c>
      <c r="C12" s="1">
        <f t="shared" si="11"/>
        <v>1.392334918</v>
      </c>
      <c r="D12" s="1">
        <f t="shared" si="11"/>
        <v>0</v>
      </c>
      <c r="E12" s="1">
        <f t="shared" si="11"/>
        <v>0</v>
      </c>
      <c r="F12" s="1">
        <f t="shared" si="11"/>
        <v>8.684642353</v>
      </c>
      <c r="G12" s="1">
        <f t="shared" si="11"/>
        <v>0.5020937309</v>
      </c>
      <c r="H12" s="1">
        <f t="shared" si="11"/>
        <v>4.06112713</v>
      </c>
      <c r="I12" s="1">
        <f t="shared" si="11"/>
        <v>1.26812092</v>
      </c>
      <c r="J12" s="1">
        <f t="shared" si="11"/>
        <v>0.3797033378</v>
      </c>
      <c r="K12" s="1">
        <f t="shared" si="11"/>
        <v>0.340807236</v>
      </c>
      <c r="L12" s="1">
        <f t="shared" si="11"/>
        <v>0.2725501152</v>
      </c>
      <c r="M12" s="1">
        <f t="shared" si="11"/>
        <v>0</v>
      </c>
      <c r="N12" s="1">
        <f t="shared" si="11"/>
        <v>0</v>
      </c>
      <c r="O12" s="1">
        <f t="shared" si="11"/>
        <v>0.8480443327</v>
      </c>
      <c r="P12" s="1">
        <f t="shared" si="11"/>
        <v>0</v>
      </c>
      <c r="Q12" s="1">
        <f t="shared" si="11"/>
        <v>0.182140073</v>
      </c>
      <c r="R12" s="1">
        <f t="shared" si="11"/>
        <v>0</v>
      </c>
      <c r="S12" s="1">
        <f t="shared" si="11"/>
        <v>0.3934885515</v>
      </c>
      <c r="T12" s="1">
        <f t="shared" si="11"/>
        <v>1.465600882</v>
      </c>
      <c r="U12" s="1">
        <f t="shared" si="11"/>
        <v>1.496608311</v>
      </c>
    </row>
    <row r="13">
      <c r="A13" s="3">
        <f>IFERROR(__xludf.DUMMYFUNCTION("""COMPUTED_VALUE"""),43932.0)</f>
        <v>43932</v>
      </c>
      <c r="B13" s="1">
        <f t="shared" ref="B13:U13" si="12">IF($A13&gt;0,Megyeinapi!B13/'megyelakosság'!B$2*100000," ")</f>
        <v>0.1991159253</v>
      </c>
      <c r="C13" s="1">
        <f t="shared" si="12"/>
        <v>0.2784669836</v>
      </c>
      <c r="D13" s="1">
        <f t="shared" si="12"/>
        <v>0</v>
      </c>
      <c r="E13" s="1">
        <f t="shared" si="12"/>
        <v>0.470910301</v>
      </c>
      <c r="F13" s="1">
        <f t="shared" si="12"/>
        <v>4.285185371</v>
      </c>
      <c r="G13" s="1">
        <f t="shared" si="12"/>
        <v>0.5020937309</v>
      </c>
      <c r="H13" s="1">
        <f t="shared" si="12"/>
        <v>2.388898312</v>
      </c>
      <c r="I13" s="1">
        <f t="shared" si="12"/>
        <v>0.2113534866</v>
      </c>
      <c r="J13" s="1">
        <f t="shared" si="12"/>
        <v>0</v>
      </c>
      <c r="K13" s="1">
        <f t="shared" si="12"/>
        <v>1.022421708</v>
      </c>
      <c r="L13" s="1">
        <f t="shared" si="12"/>
        <v>0.2725501152</v>
      </c>
      <c r="M13" s="1">
        <f t="shared" si="12"/>
        <v>0.9966942972</v>
      </c>
      <c r="N13" s="1">
        <f t="shared" si="12"/>
        <v>2.658273611</v>
      </c>
      <c r="O13" s="1">
        <f t="shared" si="12"/>
        <v>0.3854746967</v>
      </c>
      <c r="P13" s="1">
        <f t="shared" si="12"/>
        <v>0.3333888981</v>
      </c>
      <c r="Q13" s="1">
        <f t="shared" si="12"/>
        <v>0</v>
      </c>
      <c r="R13" s="1">
        <f t="shared" si="12"/>
        <v>0</v>
      </c>
      <c r="S13" s="1">
        <f t="shared" si="12"/>
        <v>0.3934885515</v>
      </c>
      <c r="T13" s="1">
        <f t="shared" si="12"/>
        <v>1.465600882</v>
      </c>
      <c r="U13" s="1">
        <f t="shared" si="12"/>
        <v>1.122456234</v>
      </c>
    </row>
    <row r="14">
      <c r="A14" s="3">
        <f>IFERROR(__xludf.DUMMYFUNCTION("""COMPUTED_VALUE"""),43933.0)</f>
        <v>43933</v>
      </c>
      <c r="B14" s="1">
        <f t="shared" ref="B14:U14" si="13">IF($A14&gt;0,Megyeinapi!B14/'megyelakosság'!B$2*100000," ")</f>
        <v>0</v>
      </c>
      <c r="C14" s="1">
        <f t="shared" si="13"/>
        <v>0</v>
      </c>
      <c r="D14" s="1">
        <f t="shared" si="13"/>
        <v>0</v>
      </c>
      <c r="E14" s="1">
        <f t="shared" si="13"/>
        <v>4.86607311</v>
      </c>
      <c r="F14" s="1">
        <f t="shared" si="13"/>
        <v>0.7999012693</v>
      </c>
      <c r="G14" s="1">
        <f t="shared" si="13"/>
        <v>0.2510468654</v>
      </c>
      <c r="H14" s="1">
        <f t="shared" si="13"/>
        <v>2.627788143</v>
      </c>
      <c r="I14" s="1">
        <f t="shared" si="13"/>
        <v>3.381655785</v>
      </c>
      <c r="J14" s="1">
        <f t="shared" si="13"/>
        <v>0.1898516689</v>
      </c>
      <c r="K14" s="1">
        <f t="shared" si="13"/>
        <v>0.340807236</v>
      </c>
      <c r="L14" s="1">
        <f t="shared" si="13"/>
        <v>0.2725501152</v>
      </c>
      <c r="M14" s="1">
        <f t="shared" si="13"/>
        <v>0</v>
      </c>
      <c r="N14" s="1">
        <f t="shared" si="13"/>
        <v>0.5316547222</v>
      </c>
      <c r="O14" s="1">
        <f t="shared" si="13"/>
        <v>1.233519029</v>
      </c>
      <c r="P14" s="1">
        <f t="shared" si="13"/>
        <v>0.6667777963</v>
      </c>
      <c r="Q14" s="1">
        <f t="shared" si="13"/>
        <v>0.182140073</v>
      </c>
      <c r="R14" s="1">
        <f t="shared" si="13"/>
        <v>0</v>
      </c>
      <c r="S14" s="1">
        <f t="shared" si="13"/>
        <v>0</v>
      </c>
      <c r="T14" s="1">
        <f t="shared" si="13"/>
        <v>0.5862403527</v>
      </c>
      <c r="U14" s="1">
        <f t="shared" si="13"/>
        <v>0.7483041557</v>
      </c>
    </row>
    <row r="15">
      <c r="A15" s="3">
        <f>IFERROR(__xludf.DUMMYFUNCTION("""COMPUTED_VALUE"""),43934.0)</f>
        <v>43934</v>
      </c>
      <c r="B15" s="1">
        <f t="shared" ref="B15:U15" si="14">IF($A15&gt;0,Megyeinapi!B15/'megyelakosság'!B$2*100000," ")</f>
        <v>0</v>
      </c>
      <c r="C15" s="1">
        <f t="shared" si="14"/>
        <v>0</v>
      </c>
      <c r="D15" s="1">
        <f t="shared" si="14"/>
        <v>0</v>
      </c>
      <c r="E15" s="1">
        <f t="shared" si="14"/>
        <v>0.1569701003</v>
      </c>
      <c r="F15" s="1">
        <f t="shared" si="14"/>
        <v>1.942617368</v>
      </c>
      <c r="G15" s="1">
        <f t="shared" si="14"/>
        <v>0.5020937309</v>
      </c>
      <c r="H15" s="1">
        <f t="shared" si="14"/>
        <v>2.150008481</v>
      </c>
      <c r="I15" s="1">
        <f t="shared" si="14"/>
        <v>0.2113534866</v>
      </c>
      <c r="J15" s="1">
        <f t="shared" si="14"/>
        <v>0</v>
      </c>
      <c r="K15" s="1">
        <f t="shared" si="14"/>
        <v>0</v>
      </c>
      <c r="L15" s="1">
        <f t="shared" si="14"/>
        <v>0</v>
      </c>
      <c r="M15" s="1">
        <f t="shared" si="14"/>
        <v>0</v>
      </c>
      <c r="N15" s="1">
        <f t="shared" si="14"/>
        <v>0.5316547222</v>
      </c>
      <c r="O15" s="1">
        <f t="shared" si="14"/>
        <v>-0.07709493933</v>
      </c>
      <c r="P15" s="1">
        <f t="shared" si="14"/>
        <v>0</v>
      </c>
      <c r="Q15" s="1">
        <f t="shared" si="14"/>
        <v>0</v>
      </c>
      <c r="R15" s="1">
        <f t="shared" si="14"/>
        <v>0</v>
      </c>
      <c r="S15" s="1">
        <f t="shared" si="14"/>
        <v>0</v>
      </c>
      <c r="T15" s="1">
        <f t="shared" si="14"/>
        <v>0.2931201763</v>
      </c>
      <c r="U15" s="1">
        <f t="shared" si="14"/>
        <v>0</v>
      </c>
    </row>
    <row r="16">
      <c r="A16" s="3">
        <f>IFERROR(__xludf.DUMMYFUNCTION("""COMPUTED_VALUE"""),43935.0)</f>
        <v>43935</v>
      </c>
      <c r="B16" s="1">
        <f t="shared" ref="B16:U16" si="15">IF($A16&gt;0,Megyeinapi!B16/'megyelakosság'!B$2*100000," ")</f>
        <v>0</v>
      </c>
      <c r="C16" s="1">
        <f t="shared" si="15"/>
        <v>0</v>
      </c>
      <c r="D16" s="1">
        <f t="shared" si="15"/>
        <v>0.3025334148</v>
      </c>
      <c r="E16" s="1">
        <f t="shared" si="15"/>
        <v>0</v>
      </c>
      <c r="F16" s="1">
        <f t="shared" si="15"/>
        <v>1.656938344</v>
      </c>
      <c r="G16" s="1">
        <f t="shared" si="15"/>
        <v>1.004187462</v>
      </c>
      <c r="H16" s="1">
        <f t="shared" si="15"/>
        <v>0.9555593247</v>
      </c>
      <c r="I16" s="1">
        <f t="shared" si="15"/>
        <v>0</v>
      </c>
      <c r="J16" s="1">
        <f t="shared" si="15"/>
        <v>0.1898516689</v>
      </c>
      <c r="K16" s="1">
        <f t="shared" si="15"/>
        <v>0.681614472</v>
      </c>
      <c r="L16" s="1">
        <f t="shared" si="15"/>
        <v>0.2725501152</v>
      </c>
      <c r="M16" s="1">
        <f t="shared" si="15"/>
        <v>0</v>
      </c>
      <c r="N16" s="1">
        <f t="shared" si="15"/>
        <v>0</v>
      </c>
      <c r="O16" s="1">
        <f t="shared" si="15"/>
        <v>0.462569636</v>
      </c>
      <c r="P16" s="1">
        <f t="shared" si="15"/>
        <v>0.3333888981</v>
      </c>
      <c r="Q16" s="1">
        <f t="shared" si="15"/>
        <v>0.364280146</v>
      </c>
      <c r="R16" s="1">
        <f t="shared" si="15"/>
        <v>0</v>
      </c>
      <c r="S16" s="1">
        <f t="shared" si="15"/>
        <v>0</v>
      </c>
      <c r="T16" s="1">
        <f t="shared" si="15"/>
        <v>0.2931201763</v>
      </c>
      <c r="U16" s="1">
        <f t="shared" si="15"/>
        <v>0.7483041557</v>
      </c>
    </row>
    <row r="17">
      <c r="A17" s="3">
        <f>IFERROR(__xludf.DUMMYFUNCTION("""COMPUTED_VALUE"""),43936.0)</f>
        <v>43936</v>
      </c>
      <c r="B17" s="1">
        <f t="shared" ref="B17:U17" si="16">IF($A17&gt;0,Megyeinapi!B17/'megyelakosság'!B$2*100000," ")</f>
        <v>0</v>
      </c>
      <c r="C17" s="1">
        <f t="shared" si="16"/>
        <v>0</v>
      </c>
      <c r="D17" s="1">
        <f t="shared" si="16"/>
        <v>0</v>
      </c>
      <c r="E17" s="1">
        <f t="shared" si="16"/>
        <v>0.470910301</v>
      </c>
      <c r="F17" s="1">
        <f t="shared" si="16"/>
        <v>2.171160588</v>
      </c>
      <c r="G17" s="1">
        <f t="shared" si="16"/>
        <v>0.2510468654</v>
      </c>
      <c r="H17" s="1">
        <f t="shared" si="16"/>
        <v>1.911118649</v>
      </c>
      <c r="I17" s="1">
        <f t="shared" si="16"/>
        <v>0</v>
      </c>
      <c r="J17" s="1">
        <f t="shared" si="16"/>
        <v>0</v>
      </c>
      <c r="K17" s="1">
        <f t="shared" si="16"/>
        <v>0.340807236</v>
      </c>
      <c r="L17" s="1">
        <f t="shared" si="16"/>
        <v>0</v>
      </c>
      <c r="M17" s="1">
        <f t="shared" si="16"/>
        <v>0</v>
      </c>
      <c r="N17" s="1">
        <f t="shared" si="16"/>
        <v>0</v>
      </c>
      <c r="O17" s="1">
        <f t="shared" si="16"/>
        <v>1.079329151</v>
      </c>
      <c r="P17" s="1">
        <f t="shared" si="16"/>
        <v>0</v>
      </c>
      <c r="Q17" s="1">
        <f t="shared" si="16"/>
        <v>0.182140073</v>
      </c>
      <c r="R17" s="1">
        <f t="shared" si="16"/>
        <v>0</v>
      </c>
      <c r="S17" s="1">
        <f t="shared" si="16"/>
        <v>0</v>
      </c>
      <c r="T17" s="1">
        <f t="shared" si="16"/>
        <v>0</v>
      </c>
      <c r="U17" s="1">
        <f t="shared" si="16"/>
        <v>0.3741520779</v>
      </c>
    </row>
    <row r="18">
      <c r="A18" s="3">
        <f>IFERROR(__xludf.DUMMYFUNCTION("""COMPUTED_VALUE"""),43937.0)</f>
        <v>43937</v>
      </c>
      <c r="B18" s="1">
        <f t="shared" ref="B18:U18" si="17">IF($A18&gt;0,Megyeinapi!B18/'megyelakosság'!B$2*100000," ")</f>
        <v>0</v>
      </c>
      <c r="C18" s="1">
        <f t="shared" si="17"/>
        <v>0.8354009507</v>
      </c>
      <c r="D18" s="1">
        <f t="shared" si="17"/>
        <v>0</v>
      </c>
      <c r="E18" s="1">
        <f t="shared" si="17"/>
        <v>0.3139402007</v>
      </c>
      <c r="F18" s="1">
        <f t="shared" si="17"/>
        <v>1.999753173</v>
      </c>
      <c r="G18" s="1">
        <f t="shared" si="17"/>
        <v>0</v>
      </c>
      <c r="H18" s="1">
        <f t="shared" si="17"/>
        <v>1.911118649</v>
      </c>
      <c r="I18" s="1">
        <f t="shared" si="17"/>
        <v>0.2113534866</v>
      </c>
      <c r="J18" s="1">
        <f t="shared" si="17"/>
        <v>0</v>
      </c>
      <c r="K18" s="1">
        <f t="shared" si="17"/>
        <v>0.340807236</v>
      </c>
      <c r="L18" s="1">
        <f t="shared" si="17"/>
        <v>0.2725501152</v>
      </c>
      <c r="M18" s="1">
        <f t="shared" si="17"/>
        <v>0.3322314324</v>
      </c>
      <c r="N18" s="1">
        <f t="shared" si="17"/>
        <v>0</v>
      </c>
      <c r="O18" s="1">
        <f t="shared" si="17"/>
        <v>1.15642409</v>
      </c>
      <c r="P18" s="1">
        <f t="shared" si="17"/>
        <v>0</v>
      </c>
      <c r="Q18" s="1">
        <f t="shared" si="17"/>
        <v>0.182140073</v>
      </c>
      <c r="R18" s="1">
        <f t="shared" si="17"/>
        <v>0.4640069787</v>
      </c>
      <c r="S18" s="1">
        <f t="shared" si="17"/>
        <v>0</v>
      </c>
      <c r="T18" s="1">
        <f t="shared" si="17"/>
        <v>0.5862403527</v>
      </c>
      <c r="U18" s="1">
        <f t="shared" si="17"/>
        <v>0.7483041557</v>
      </c>
    </row>
    <row r="19">
      <c r="A19" s="3">
        <f>IFERROR(__xludf.DUMMYFUNCTION("""COMPUTED_VALUE"""),43938.0)</f>
        <v>43938</v>
      </c>
      <c r="B19" s="1">
        <f t="shared" ref="B19:U19" si="18">IF($A19&gt;0,Megyeinapi!B19/'megyelakosság'!B$2*100000," ")</f>
        <v>0</v>
      </c>
      <c r="C19" s="1">
        <f t="shared" si="18"/>
        <v>0.2784669836</v>
      </c>
      <c r="D19" s="1">
        <f t="shared" si="18"/>
        <v>0</v>
      </c>
      <c r="E19" s="1">
        <f t="shared" si="18"/>
        <v>0.3139402007</v>
      </c>
      <c r="F19" s="1">
        <f t="shared" si="18"/>
        <v>4.456592786</v>
      </c>
      <c r="G19" s="1">
        <f t="shared" si="18"/>
        <v>0.5020937309</v>
      </c>
      <c r="H19" s="1">
        <f t="shared" si="18"/>
        <v>1.433338987</v>
      </c>
      <c r="I19" s="1">
        <f t="shared" si="18"/>
        <v>0.2113534866</v>
      </c>
      <c r="J19" s="1">
        <f t="shared" si="18"/>
        <v>0</v>
      </c>
      <c r="K19" s="1">
        <f t="shared" si="18"/>
        <v>0</v>
      </c>
      <c r="L19" s="1">
        <f t="shared" si="18"/>
        <v>0.2725501152</v>
      </c>
      <c r="M19" s="1">
        <f t="shared" si="18"/>
        <v>0.6644628648</v>
      </c>
      <c r="N19" s="1">
        <f t="shared" si="18"/>
        <v>0.5316547222</v>
      </c>
      <c r="O19" s="1">
        <f t="shared" si="18"/>
        <v>0.7709493933</v>
      </c>
      <c r="P19" s="1">
        <f t="shared" si="18"/>
        <v>0</v>
      </c>
      <c r="Q19" s="1">
        <f t="shared" si="18"/>
        <v>0.182140073</v>
      </c>
      <c r="R19" s="1">
        <f t="shared" si="18"/>
        <v>0</v>
      </c>
      <c r="S19" s="1">
        <f t="shared" si="18"/>
        <v>0</v>
      </c>
      <c r="T19" s="1">
        <f t="shared" si="18"/>
        <v>0.5862403527</v>
      </c>
      <c r="U19" s="1">
        <f t="shared" si="18"/>
        <v>1.496608311</v>
      </c>
    </row>
    <row r="20">
      <c r="A20" s="3">
        <f>IFERROR(__xludf.DUMMYFUNCTION("""COMPUTED_VALUE"""),43939.0)</f>
        <v>43939</v>
      </c>
      <c r="B20" s="1">
        <f t="shared" ref="B20:U20" si="19">IF($A20&gt;0,Megyeinapi!B20/'megyelakosság'!B$2*100000," ")</f>
        <v>0.1991159253</v>
      </c>
      <c r="C20" s="1">
        <f t="shared" si="19"/>
        <v>0</v>
      </c>
      <c r="D20" s="1">
        <f t="shared" si="19"/>
        <v>0.3025334148</v>
      </c>
      <c r="E20" s="1">
        <f t="shared" si="19"/>
        <v>0</v>
      </c>
      <c r="F20" s="1">
        <f t="shared" si="19"/>
        <v>2.628247028</v>
      </c>
      <c r="G20" s="1">
        <f t="shared" si="19"/>
        <v>0.2510468654</v>
      </c>
      <c r="H20" s="1">
        <f t="shared" si="19"/>
        <v>3.105567805</v>
      </c>
      <c r="I20" s="1">
        <f t="shared" si="19"/>
        <v>0</v>
      </c>
      <c r="J20" s="1">
        <f t="shared" si="19"/>
        <v>0</v>
      </c>
      <c r="K20" s="1">
        <f t="shared" si="19"/>
        <v>0</v>
      </c>
      <c r="L20" s="1">
        <f t="shared" si="19"/>
        <v>0.2725501152</v>
      </c>
      <c r="M20" s="1">
        <f t="shared" si="19"/>
        <v>0.6644628648</v>
      </c>
      <c r="N20" s="1">
        <f t="shared" si="19"/>
        <v>0</v>
      </c>
      <c r="O20" s="1">
        <f t="shared" si="19"/>
        <v>0.3854746967</v>
      </c>
      <c r="P20" s="1">
        <f t="shared" si="19"/>
        <v>0</v>
      </c>
      <c r="Q20" s="1">
        <f t="shared" si="19"/>
        <v>0</v>
      </c>
      <c r="R20" s="1">
        <f t="shared" si="19"/>
        <v>0</v>
      </c>
      <c r="S20" s="1">
        <f t="shared" si="19"/>
        <v>0</v>
      </c>
      <c r="T20" s="1">
        <f t="shared" si="19"/>
        <v>0.2931201763</v>
      </c>
      <c r="U20" s="1">
        <f t="shared" si="19"/>
        <v>0</v>
      </c>
    </row>
    <row r="21">
      <c r="A21" s="3">
        <f>IFERROR(__xludf.DUMMYFUNCTION("""COMPUTED_VALUE"""),43940.0)</f>
        <v>43940</v>
      </c>
      <c r="B21" s="1">
        <f t="shared" ref="B21:U21" si="20">IF($A21&gt;0,Megyeinapi!B21/'megyelakosság'!B$2*100000," ")</f>
        <v>0</v>
      </c>
      <c r="C21" s="1">
        <f t="shared" si="20"/>
        <v>0</v>
      </c>
      <c r="D21" s="1">
        <f t="shared" si="20"/>
        <v>0</v>
      </c>
      <c r="E21" s="1">
        <f t="shared" si="20"/>
        <v>0</v>
      </c>
      <c r="F21" s="1">
        <f t="shared" si="20"/>
        <v>2.399703808</v>
      </c>
      <c r="G21" s="1">
        <f t="shared" si="20"/>
        <v>0.5020937309</v>
      </c>
      <c r="H21" s="1">
        <f t="shared" si="20"/>
        <v>1.194449156</v>
      </c>
      <c r="I21" s="1">
        <f t="shared" si="20"/>
        <v>0</v>
      </c>
      <c r="J21" s="1">
        <f t="shared" si="20"/>
        <v>0</v>
      </c>
      <c r="K21" s="1">
        <f t="shared" si="20"/>
        <v>0</v>
      </c>
      <c r="L21" s="1">
        <f t="shared" si="20"/>
        <v>0.2725501152</v>
      </c>
      <c r="M21" s="1">
        <f t="shared" si="20"/>
        <v>2.325620027</v>
      </c>
      <c r="N21" s="1">
        <f t="shared" si="20"/>
        <v>1.063309444</v>
      </c>
      <c r="O21" s="1">
        <f t="shared" si="20"/>
        <v>1.079329151</v>
      </c>
      <c r="P21" s="1">
        <f t="shared" si="20"/>
        <v>0.6667777963</v>
      </c>
      <c r="Q21" s="1">
        <f t="shared" si="20"/>
        <v>0</v>
      </c>
      <c r="R21" s="1">
        <f t="shared" si="20"/>
        <v>0</v>
      </c>
      <c r="S21" s="1">
        <f t="shared" si="20"/>
        <v>0</v>
      </c>
      <c r="T21" s="1">
        <f t="shared" si="20"/>
        <v>1.172480705</v>
      </c>
      <c r="U21" s="1">
        <f t="shared" si="20"/>
        <v>1.122456234</v>
      </c>
    </row>
    <row r="22">
      <c r="A22" s="3">
        <f>IFERROR(__xludf.DUMMYFUNCTION("""COMPUTED_VALUE"""),43941.0)</f>
        <v>43941</v>
      </c>
      <c r="B22" s="1">
        <f t="shared" ref="B22:U22" si="21">IF($A22&gt;0,Megyeinapi!B22/'megyelakosság'!B$2*100000," ")</f>
        <v>0</v>
      </c>
      <c r="C22" s="1">
        <f t="shared" si="21"/>
        <v>0</v>
      </c>
      <c r="D22" s="1">
        <f t="shared" si="21"/>
        <v>0</v>
      </c>
      <c r="E22" s="1">
        <f t="shared" si="21"/>
        <v>0.1569701003</v>
      </c>
      <c r="F22" s="1">
        <f t="shared" si="21"/>
        <v>1.771209954</v>
      </c>
      <c r="G22" s="1">
        <f t="shared" si="21"/>
        <v>0</v>
      </c>
      <c r="H22" s="1">
        <f t="shared" si="21"/>
        <v>3.105567805</v>
      </c>
      <c r="I22" s="1">
        <f t="shared" si="21"/>
        <v>0.2113534866</v>
      </c>
      <c r="J22" s="1">
        <f t="shared" si="21"/>
        <v>0</v>
      </c>
      <c r="K22" s="1">
        <f t="shared" si="21"/>
        <v>0</v>
      </c>
      <c r="L22" s="1">
        <f t="shared" si="21"/>
        <v>0</v>
      </c>
      <c r="M22" s="1">
        <f t="shared" si="21"/>
        <v>3.654545757</v>
      </c>
      <c r="N22" s="1">
        <f t="shared" si="21"/>
        <v>0</v>
      </c>
      <c r="O22" s="1">
        <f t="shared" si="21"/>
        <v>0.6167595147</v>
      </c>
      <c r="P22" s="1">
        <f t="shared" si="21"/>
        <v>0.3333888981</v>
      </c>
      <c r="Q22" s="1">
        <f t="shared" si="21"/>
        <v>0</v>
      </c>
      <c r="R22" s="1">
        <f t="shared" si="21"/>
        <v>0</v>
      </c>
      <c r="S22" s="1">
        <f t="shared" si="21"/>
        <v>0</v>
      </c>
      <c r="T22" s="1">
        <f t="shared" si="21"/>
        <v>0.5862403527</v>
      </c>
      <c r="U22" s="1">
        <f t="shared" si="21"/>
        <v>0</v>
      </c>
    </row>
    <row r="23">
      <c r="A23" s="3">
        <f>IFERROR(__xludf.DUMMYFUNCTION("""COMPUTED_VALUE"""),43942.0)</f>
        <v>43942</v>
      </c>
      <c r="B23" s="1">
        <f t="shared" ref="B23:U23" si="22">IF($A23&gt;0,Megyeinapi!B23/'megyelakosság'!B$2*100000," ")</f>
        <v>0</v>
      </c>
      <c r="C23" s="1">
        <f t="shared" si="22"/>
        <v>0.2784669836</v>
      </c>
      <c r="D23" s="1">
        <f t="shared" si="22"/>
        <v>0</v>
      </c>
      <c r="E23" s="1">
        <f t="shared" si="22"/>
        <v>0</v>
      </c>
      <c r="F23" s="1">
        <f t="shared" si="22"/>
        <v>4.570864396</v>
      </c>
      <c r="G23" s="1">
        <f t="shared" si="22"/>
        <v>0</v>
      </c>
      <c r="H23" s="1">
        <f t="shared" si="22"/>
        <v>3.822237299</v>
      </c>
      <c r="I23" s="1">
        <f t="shared" si="22"/>
        <v>0</v>
      </c>
      <c r="J23" s="1">
        <f t="shared" si="22"/>
        <v>0.3797033378</v>
      </c>
      <c r="K23" s="1">
        <f t="shared" si="22"/>
        <v>0.340807236</v>
      </c>
      <c r="L23" s="1">
        <f t="shared" si="22"/>
        <v>0</v>
      </c>
      <c r="M23" s="1">
        <f t="shared" si="22"/>
        <v>1.661157162</v>
      </c>
      <c r="N23" s="1">
        <f t="shared" si="22"/>
        <v>0.5316547222</v>
      </c>
      <c r="O23" s="1">
        <f t="shared" si="22"/>
        <v>0.5396645753</v>
      </c>
      <c r="P23" s="1">
        <f t="shared" si="22"/>
        <v>0</v>
      </c>
      <c r="Q23" s="1">
        <f t="shared" si="22"/>
        <v>0.182140073</v>
      </c>
      <c r="R23" s="1">
        <f t="shared" si="22"/>
        <v>0</v>
      </c>
      <c r="S23" s="1">
        <f t="shared" si="22"/>
        <v>0</v>
      </c>
      <c r="T23" s="1">
        <f t="shared" si="22"/>
        <v>0</v>
      </c>
      <c r="U23" s="1">
        <f t="shared" si="22"/>
        <v>0</v>
      </c>
    </row>
    <row r="24">
      <c r="A24" s="3">
        <f>IFERROR(__xludf.DUMMYFUNCTION("""COMPUTED_VALUE"""),43943.0)</f>
        <v>43943</v>
      </c>
      <c r="B24" s="1">
        <f t="shared" ref="B24:U24" si="23">IF($A24&gt;0,Megyeinapi!B24/'megyelakosság'!B$2*100000," ")</f>
        <v>0</v>
      </c>
      <c r="C24" s="1">
        <f t="shared" si="23"/>
        <v>0.2784669836</v>
      </c>
      <c r="D24" s="1">
        <f t="shared" si="23"/>
        <v>0</v>
      </c>
      <c r="E24" s="1">
        <f t="shared" si="23"/>
        <v>0</v>
      </c>
      <c r="F24" s="1">
        <f t="shared" si="23"/>
        <v>1.771209954</v>
      </c>
      <c r="G24" s="1">
        <f t="shared" si="23"/>
        <v>0</v>
      </c>
      <c r="H24" s="1">
        <f t="shared" si="23"/>
        <v>1.433338987</v>
      </c>
      <c r="I24" s="1">
        <f t="shared" si="23"/>
        <v>2.324888353</v>
      </c>
      <c r="J24" s="1">
        <f t="shared" si="23"/>
        <v>0.1898516689</v>
      </c>
      <c r="K24" s="1">
        <f t="shared" si="23"/>
        <v>0</v>
      </c>
      <c r="L24" s="1">
        <f t="shared" si="23"/>
        <v>0</v>
      </c>
      <c r="M24" s="1">
        <f t="shared" si="23"/>
        <v>0</v>
      </c>
      <c r="N24" s="1">
        <f t="shared" si="23"/>
        <v>0</v>
      </c>
      <c r="O24" s="1">
        <f t="shared" si="23"/>
        <v>0.925139272</v>
      </c>
      <c r="P24" s="1">
        <f t="shared" si="23"/>
        <v>0</v>
      </c>
      <c r="Q24" s="1">
        <f t="shared" si="23"/>
        <v>-0.182140073</v>
      </c>
      <c r="R24" s="1">
        <f t="shared" si="23"/>
        <v>0.4640069787</v>
      </c>
      <c r="S24" s="1">
        <f t="shared" si="23"/>
        <v>0.3934885515</v>
      </c>
      <c r="T24" s="1">
        <f t="shared" si="23"/>
        <v>1.465600882</v>
      </c>
      <c r="U24" s="1">
        <f t="shared" si="23"/>
        <v>0.7483041557</v>
      </c>
    </row>
    <row r="25">
      <c r="A25" s="3">
        <f>IFERROR(__xludf.DUMMYFUNCTION("""COMPUTED_VALUE"""),43944.0)</f>
        <v>43944</v>
      </c>
      <c r="B25" s="1">
        <f t="shared" ref="B25:U25" si="24">IF($A25&gt;0,Megyeinapi!B25/'megyelakosság'!B$2*100000," ")</f>
        <v>0</v>
      </c>
      <c r="C25" s="1">
        <f t="shared" si="24"/>
        <v>-0.5569339671</v>
      </c>
      <c r="D25" s="1">
        <f t="shared" si="24"/>
        <v>0</v>
      </c>
      <c r="E25" s="1">
        <f t="shared" si="24"/>
        <v>0</v>
      </c>
      <c r="F25" s="1">
        <f t="shared" si="24"/>
        <v>3.428148297</v>
      </c>
      <c r="G25" s="1">
        <f t="shared" si="24"/>
        <v>0</v>
      </c>
      <c r="H25" s="1">
        <f t="shared" si="24"/>
        <v>7.644474598</v>
      </c>
      <c r="I25" s="1">
        <f t="shared" si="24"/>
        <v>-0.6340604598</v>
      </c>
      <c r="J25" s="1">
        <f t="shared" si="24"/>
        <v>-0.1898516689</v>
      </c>
      <c r="K25" s="1">
        <f t="shared" si="24"/>
        <v>0</v>
      </c>
      <c r="L25" s="1">
        <f t="shared" si="24"/>
        <v>0</v>
      </c>
      <c r="M25" s="1">
        <f t="shared" si="24"/>
        <v>5.315702919</v>
      </c>
      <c r="N25" s="1">
        <f t="shared" si="24"/>
        <v>0</v>
      </c>
      <c r="O25" s="1">
        <f t="shared" si="24"/>
        <v>0.925139272</v>
      </c>
      <c r="P25" s="1">
        <f t="shared" si="24"/>
        <v>0</v>
      </c>
      <c r="Q25" s="1">
        <f t="shared" si="24"/>
        <v>0</v>
      </c>
      <c r="R25" s="1">
        <f t="shared" si="24"/>
        <v>0.4640069787</v>
      </c>
      <c r="S25" s="1">
        <f t="shared" si="24"/>
        <v>-0.3934885515</v>
      </c>
      <c r="T25" s="1">
        <f t="shared" si="24"/>
        <v>0.5862403527</v>
      </c>
      <c r="U25" s="1">
        <f t="shared" si="24"/>
        <v>0</v>
      </c>
    </row>
    <row r="26">
      <c r="A26" s="3">
        <f>IFERROR(__xludf.DUMMYFUNCTION("""COMPUTED_VALUE"""),43945.0)</f>
        <v>43945</v>
      </c>
      <c r="B26" s="1">
        <f t="shared" ref="B26:U26" si="25">IF($A26&gt;0,Megyeinapi!B26/'megyelakosság'!B$2*100000," ")</f>
        <v>0</v>
      </c>
      <c r="C26" s="1">
        <f t="shared" si="25"/>
        <v>0</v>
      </c>
      <c r="D26" s="1">
        <f t="shared" si="25"/>
        <v>0</v>
      </c>
      <c r="E26" s="1">
        <f t="shared" si="25"/>
        <v>0.1569701003</v>
      </c>
      <c r="F26" s="1">
        <f t="shared" si="25"/>
        <v>2.742518638</v>
      </c>
      <c r="G26" s="1">
        <f t="shared" si="25"/>
        <v>0.7531405963</v>
      </c>
      <c r="H26" s="1">
        <f t="shared" si="25"/>
        <v>6.450025442</v>
      </c>
      <c r="I26" s="1">
        <f t="shared" si="25"/>
        <v>0.4227069732</v>
      </c>
      <c r="J26" s="1">
        <f t="shared" si="25"/>
        <v>0.1898516689</v>
      </c>
      <c r="K26" s="1">
        <f t="shared" si="25"/>
        <v>0.340807236</v>
      </c>
      <c r="L26" s="1">
        <f t="shared" si="25"/>
        <v>0.2725501152</v>
      </c>
      <c r="M26" s="1">
        <f t="shared" si="25"/>
        <v>0.9966942972</v>
      </c>
      <c r="N26" s="1">
        <f t="shared" si="25"/>
        <v>0</v>
      </c>
      <c r="O26" s="1">
        <f t="shared" si="25"/>
        <v>0.925139272</v>
      </c>
      <c r="P26" s="1">
        <f t="shared" si="25"/>
        <v>0</v>
      </c>
      <c r="Q26" s="1">
        <f t="shared" si="25"/>
        <v>0</v>
      </c>
      <c r="R26" s="1">
        <f t="shared" si="25"/>
        <v>0</v>
      </c>
      <c r="S26" s="1">
        <f t="shared" si="25"/>
        <v>0</v>
      </c>
      <c r="T26" s="1">
        <f t="shared" si="25"/>
        <v>0</v>
      </c>
      <c r="U26" s="1">
        <f t="shared" si="25"/>
        <v>0</v>
      </c>
    </row>
    <row r="27">
      <c r="A27" s="3">
        <f>IFERROR(__xludf.DUMMYFUNCTION("""COMPUTED_VALUE"""),43946.0)</f>
        <v>43946</v>
      </c>
      <c r="B27" s="1">
        <f t="shared" ref="B27:U27" si="26">IF($A27&gt;0,Megyeinapi!B27/'megyelakosság'!B$2*100000," ")</f>
        <v>0</v>
      </c>
      <c r="C27" s="1">
        <f t="shared" si="26"/>
        <v>0</v>
      </c>
      <c r="D27" s="1">
        <f t="shared" si="26"/>
        <v>0</v>
      </c>
      <c r="E27" s="1">
        <f t="shared" si="26"/>
        <v>0.7848505017</v>
      </c>
      <c r="F27" s="1">
        <f t="shared" si="26"/>
        <v>1.485530929</v>
      </c>
      <c r="G27" s="1">
        <f t="shared" si="26"/>
        <v>0.7531405963</v>
      </c>
      <c r="H27" s="1">
        <f t="shared" si="26"/>
        <v>1.433338987</v>
      </c>
      <c r="I27" s="1">
        <f t="shared" si="26"/>
        <v>0</v>
      </c>
      <c r="J27" s="1">
        <f t="shared" si="26"/>
        <v>0.1898516689</v>
      </c>
      <c r="K27" s="1">
        <f t="shared" si="26"/>
        <v>0.340807236</v>
      </c>
      <c r="L27" s="1">
        <f t="shared" si="26"/>
        <v>0</v>
      </c>
      <c r="M27" s="1">
        <f t="shared" si="26"/>
        <v>0.9966942972</v>
      </c>
      <c r="N27" s="1">
        <f t="shared" si="26"/>
        <v>0</v>
      </c>
      <c r="O27" s="1">
        <f t="shared" si="26"/>
        <v>0.7709493933</v>
      </c>
      <c r="P27" s="1">
        <f t="shared" si="26"/>
        <v>0</v>
      </c>
      <c r="Q27" s="1">
        <f t="shared" si="26"/>
        <v>0.182140073</v>
      </c>
      <c r="R27" s="1">
        <f t="shared" si="26"/>
        <v>0</v>
      </c>
      <c r="S27" s="1">
        <f t="shared" si="26"/>
        <v>0</v>
      </c>
      <c r="T27" s="1">
        <f t="shared" si="26"/>
        <v>0.5862403527</v>
      </c>
      <c r="U27" s="1">
        <f t="shared" si="26"/>
        <v>0.7483041557</v>
      </c>
    </row>
    <row r="28">
      <c r="A28" s="3">
        <f>IFERROR(__xludf.DUMMYFUNCTION("""COMPUTED_VALUE"""),43947.0)</f>
        <v>43947</v>
      </c>
      <c r="B28" s="1">
        <f t="shared" ref="B28:U28" si="27">IF($A28&gt;0,Megyeinapi!B28/'megyelakosság'!B$2*100000," ")</f>
        <v>0</v>
      </c>
      <c r="C28" s="1">
        <f t="shared" si="27"/>
        <v>0</v>
      </c>
      <c r="D28" s="1">
        <f t="shared" si="27"/>
        <v>0</v>
      </c>
      <c r="E28" s="1">
        <f t="shared" si="27"/>
        <v>0.470910301</v>
      </c>
      <c r="F28" s="1">
        <f t="shared" si="27"/>
        <v>1.542666734</v>
      </c>
      <c r="G28" s="1">
        <f t="shared" si="27"/>
        <v>0</v>
      </c>
      <c r="H28" s="1">
        <f t="shared" si="27"/>
        <v>1.194449156</v>
      </c>
      <c r="I28" s="1">
        <f t="shared" si="27"/>
        <v>0.2113534866</v>
      </c>
      <c r="J28" s="1">
        <f t="shared" si="27"/>
        <v>0</v>
      </c>
      <c r="K28" s="1">
        <f t="shared" si="27"/>
        <v>0</v>
      </c>
      <c r="L28" s="1">
        <f t="shared" si="27"/>
        <v>0.2725501152</v>
      </c>
      <c r="M28" s="1">
        <f t="shared" si="27"/>
        <v>0.6644628648</v>
      </c>
      <c r="N28" s="1">
        <f t="shared" si="27"/>
        <v>0</v>
      </c>
      <c r="O28" s="1">
        <f t="shared" si="27"/>
        <v>0.8480443327</v>
      </c>
      <c r="P28" s="1">
        <f t="shared" si="27"/>
        <v>0</v>
      </c>
      <c r="Q28" s="1">
        <f t="shared" si="27"/>
        <v>0.182140073</v>
      </c>
      <c r="R28" s="1">
        <f t="shared" si="27"/>
        <v>0</v>
      </c>
      <c r="S28" s="1">
        <f t="shared" si="27"/>
        <v>0</v>
      </c>
      <c r="T28" s="1">
        <f t="shared" si="27"/>
        <v>0.5862403527</v>
      </c>
      <c r="U28" s="1">
        <f t="shared" si="27"/>
        <v>1.496608311</v>
      </c>
    </row>
    <row r="29">
      <c r="A29" s="3">
        <f>IFERROR(__xludf.DUMMYFUNCTION("""COMPUTED_VALUE"""),43948.0)</f>
        <v>43948</v>
      </c>
      <c r="B29" s="1">
        <f t="shared" ref="B29:U29" si="28">IF($A29&gt;0,Megyeinapi!B29/'megyelakosság'!B$2*100000," ")</f>
        <v>0</v>
      </c>
      <c r="C29" s="1">
        <f t="shared" si="28"/>
        <v>0</v>
      </c>
      <c r="D29" s="1">
        <f t="shared" si="28"/>
        <v>0.3025334148</v>
      </c>
      <c r="E29" s="1">
        <f t="shared" si="28"/>
        <v>0</v>
      </c>
      <c r="F29" s="1">
        <f t="shared" si="28"/>
        <v>0.6856296594</v>
      </c>
      <c r="G29" s="1">
        <f t="shared" si="28"/>
        <v>5.774077905</v>
      </c>
      <c r="H29" s="1">
        <f t="shared" si="28"/>
        <v>2.866677974</v>
      </c>
      <c r="I29" s="1">
        <f t="shared" si="28"/>
        <v>0.2113534866</v>
      </c>
      <c r="J29" s="1">
        <f t="shared" si="28"/>
        <v>0</v>
      </c>
      <c r="K29" s="1">
        <f t="shared" si="28"/>
        <v>0</v>
      </c>
      <c r="L29" s="1">
        <f t="shared" si="28"/>
        <v>0</v>
      </c>
      <c r="M29" s="1">
        <f t="shared" si="28"/>
        <v>4.983471486</v>
      </c>
      <c r="N29" s="1">
        <f t="shared" si="28"/>
        <v>0</v>
      </c>
      <c r="O29" s="1">
        <f t="shared" si="28"/>
        <v>0.1541898787</v>
      </c>
      <c r="P29" s="1">
        <f t="shared" si="28"/>
        <v>0</v>
      </c>
      <c r="Q29" s="1">
        <f t="shared" si="28"/>
        <v>0</v>
      </c>
      <c r="R29" s="1">
        <f t="shared" si="28"/>
        <v>0</v>
      </c>
      <c r="S29" s="1">
        <f t="shared" si="28"/>
        <v>0</v>
      </c>
      <c r="T29" s="1">
        <f t="shared" si="28"/>
        <v>0</v>
      </c>
      <c r="U29" s="1">
        <f t="shared" si="28"/>
        <v>6.360585324</v>
      </c>
    </row>
    <row r="30">
      <c r="A30" s="3">
        <f>IFERROR(__xludf.DUMMYFUNCTION("""COMPUTED_VALUE"""),43949.0)</f>
        <v>43949</v>
      </c>
      <c r="B30" s="1">
        <f t="shared" ref="B30:U30" si="29">IF($A30&gt;0,Megyeinapi!B30/'megyelakosság'!B$2*100000," ")</f>
        <v>0</v>
      </c>
      <c r="C30" s="1">
        <f t="shared" si="29"/>
        <v>0</v>
      </c>
      <c r="D30" s="1">
        <f t="shared" si="29"/>
        <v>0</v>
      </c>
      <c r="E30" s="1">
        <f t="shared" si="29"/>
        <v>0</v>
      </c>
      <c r="F30" s="1">
        <f t="shared" si="29"/>
        <v>1.085580294</v>
      </c>
      <c r="G30" s="1">
        <f t="shared" si="29"/>
        <v>0.7531405963</v>
      </c>
      <c r="H30" s="1">
        <f t="shared" si="29"/>
        <v>0.4777796624</v>
      </c>
      <c r="I30" s="1">
        <f t="shared" si="29"/>
        <v>0.2113534866</v>
      </c>
      <c r="J30" s="1">
        <f t="shared" si="29"/>
        <v>0</v>
      </c>
      <c r="K30" s="1">
        <f t="shared" si="29"/>
        <v>0.340807236</v>
      </c>
      <c r="L30" s="1">
        <f t="shared" si="29"/>
        <v>0.2725501152</v>
      </c>
      <c r="M30" s="1">
        <f t="shared" si="29"/>
        <v>1.661157162</v>
      </c>
      <c r="N30" s="1">
        <f t="shared" si="29"/>
        <v>0</v>
      </c>
      <c r="O30" s="1">
        <f t="shared" si="29"/>
        <v>0.462569636</v>
      </c>
      <c r="P30" s="1">
        <f t="shared" si="29"/>
        <v>0</v>
      </c>
      <c r="Q30" s="1">
        <f t="shared" si="29"/>
        <v>0.364280146</v>
      </c>
      <c r="R30" s="1">
        <f t="shared" si="29"/>
        <v>0</v>
      </c>
      <c r="S30" s="1">
        <f t="shared" si="29"/>
        <v>0</v>
      </c>
      <c r="T30" s="1">
        <f t="shared" si="29"/>
        <v>0.5862403527</v>
      </c>
      <c r="U30" s="1">
        <f t="shared" si="29"/>
        <v>8.979649868</v>
      </c>
    </row>
    <row r="31">
      <c r="A31" s="3">
        <f>IFERROR(__xludf.DUMMYFUNCTION("""COMPUTED_VALUE"""),43950.0)</f>
        <v>43950</v>
      </c>
      <c r="B31" s="1">
        <f t="shared" ref="B31:U31" si="30">IF($A31&gt;0,Megyeinapi!B31/'megyelakosság'!B$2*100000," ")</f>
        <v>0</v>
      </c>
      <c r="C31" s="1">
        <f t="shared" si="30"/>
        <v>0.2784669836</v>
      </c>
      <c r="D31" s="1">
        <f t="shared" si="30"/>
        <v>0</v>
      </c>
      <c r="E31" s="1">
        <f t="shared" si="30"/>
        <v>0.1569701003</v>
      </c>
      <c r="F31" s="1">
        <f t="shared" si="30"/>
        <v>2.399703808</v>
      </c>
      <c r="G31" s="1">
        <f t="shared" si="30"/>
        <v>1.757328058</v>
      </c>
      <c r="H31" s="1">
        <f t="shared" si="30"/>
        <v>0.9555593247</v>
      </c>
      <c r="I31" s="1">
        <f t="shared" si="30"/>
        <v>0</v>
      </c>
      <c r="J31" s="1">
        <f t="shared" si="30"/>
        <v>0</v>
      </c>
      <c r="K31" s="1">
        <f t="shared" si="30"/>
        <v>0</v>
      </c>
      <c r="L31" s="1">
        <f t="shared" si="30"/>
        <v>0</v>
      </c>
      <c r="M31" s="1">
        <f t="shared" si="30"/>
        <v>0.3322314324</v>
      </c>
      <c r="N31" s="1">
        <f t="shared" si="30"/>
        <v>0.5316547222</v>
      </c>
      <c r="O31" s="1">
        <f t="shared" si="30"/>
        <v>0.7709493933</v>
      </c>
      <c r="P31" s="1">
        <f t="shared" si="30"/>
        <v>0.3333888981</v>
      </c>
      <c r="Q31" s="1">
        <f t="shared" si="30"/>
        <v>0</v>
      </c>
      <c r="R31" s="1">
        <f t="shared" si="30"/>
        <v>0.4640069787</v>
      </c>
      <c r="S31" s="1">
        <f t="shared" si="30"/>
        <v>0</v>
      </c>
      <c r="T31" s="1">
        <f t="shared" si="30"/>
        <v>0</v>
      </c>
      <c r="U31" s="1">
        <f t="shared" si="30"/>
        <v>3.367368701</v>
      </c>
    </row>
    <row r="32">
      <c r="A32" s="3">
        <f>IFERROR(__xludf.DUMMYFUNCTION("""COMPUTED_VALUE"""),43951.0)</f>
        <v>43951</v>
      </c>
      <c r="B32" s="1">
        <f t="shared" ref="B32:U32" si="31">IF($A32&gt;0,Megyeinapi!B32/'megyelakosság'!B$2*100000," ")</f>
        <v>0</v>
      </c>
      <c r="C32" s="1">
        <f t="shared" si="31"/>
        <v>0</v>
      </c>
      <c r="D32" s="1">
        <f t="shared" si="31"/>
        <v>0.3025334148</v>
      </c>
      <c r="E32" s="1">
        <f t="shared" si="31"/>
        <v>0</v>
      </c>
      <c r="F32" s="1">
        <f t="shared" si="31"/>
        <v>1.199851904</v>
      </c>
      <c r="G32" s="1">
        <f t="shared" si="31"/>
        <v>0.2510468654</v>
      </c>
      <c r="H32" s="1">
        <f t="shared" si="31"/>
        <v>0.4777796624</v>
      </c>
      <c r="I32" s="1">
        <f t="shared" si="31"/>
        <v>0</v>
      </c>
      <c r="J32" s="1">
        <f t="shared" si="31"/>
        <v>0</v>
      </c>
      <c r="K32" s="1">
        <f t="shared" si="31"/>
        <v>0</v>
      </c>
      <c r="L32" s="1">
        <f t="shared" si="31"/>
        <v>0</v>
      </c>
      <c r="M32" s="1">
        <f t="shared" si="31"/>
        <v>2.657851459</v>
      </c>
      <c r="N32" s="1">
        <f t="shared" si="31"/>
        <v>0</v>
      </c>
      <c r="O32" s="1">
        <f t="shared" si="31"/>
        <v>0.5396645753</v>
      </c>
      <c r="P32" s="1">
        <f t="shared" si="31"/>
        <v>0.3333888981</v>
      </c>
      <c r="Q32" s="1">
        <f t="shared" si="31"/>
        <v>0</v>
      </c>
      <c r="R32" s="1">
        <f t="shared" si="31"/>
        <v>0</v>
      </c>
      <c r="S32" s="1">
        <f t="shared" si="31"/>
        <v>0</v>
      </c>
      <c r="T32" s="1">
        <f t="shared" si="31"/>
        <v>0.5862403527</v>
      </c>
      <c r="U32" s="1">
        <f t="shared" si="31"/>
        <v>1.870760389</v>
      </c>
    </row>
    <row r="33">
      <c r="A33" s="3">
        <f>IFERROR(__xludf.DUMMYFUNCTION("""COMPUTED_VALUE"""),43952.0)</f>
        <v>43952</v>
      </c>
      <c r="B33" s="1">
        <f t="shared" ref="B33:U33" si="32">IF($A33&gt;0,Megyeinapi!B33/'megyelakosság'!B$2*100000," ")</f>
        <v>0</v>
      </c>
      <c r="C33" s="1">
        <f t="shared" si="32"/>
        <v>0</v>
      </c>
      <c r="D33" s="1">
        <f t="shared" si="32"/>
        <v>0.3025334148</v>
      </c>
      <c r="E33" s="1">
        <f t="shared" si="32"/>
        <v>0.1569701003</v>
      </c>
      <c r="F33" s="1">
        <f t="shared" si="32"/>
        <v>2.285432198</v>
      </c>
      <c r="G33" s="1">
        <f t="shared" si="32"/>
        <v>0</v>
      </c>
      <c r="H33" s="1">
        <f t="shared" si="32"/>
        <v>5.972245779</v>
      </c>
      <c r="I33" s="1">
        <f t="shared" si="32"/>
        <v>0.2113534866</v>
      </c>
      <c r="J33" s="1">
        <f t="shared" si="32"/>
        <v>0</v>
      </c>
      <c r="K33" s="1">
        <f t="shared" si="32"/>
        <v>0</v>
      </c>
      <c r="L33" s="1">
        <f t="shared" si="32"/>
        <v>0</v>
      </c>
      <c r="M33" s="1">
        <f t="shared" si="32"/>
        <v>2.990082892</v>
      </c>
      <c r="N33" s="1">
        <f t="shared" si="32"/>
        <v>0</v>
      </c>
      <c r="O33" s="1">
        <f t="shared" si="32"/>
        <v>0.3854746967</v>
      </c>
      <c r="P33" s="1">
        <f t="shared" si="32"/>
        <v>0.3333888981</v>
      </c>
      <c r="Q33" s="1">
        <f t="shared" si="32"/>
        <v>0</v>
      </c>
      <c r="R33" s="1">
        <f t="shared" si="32"/>
        <v>0</v>
      </c>
      <c r="S33" s="1">
        <f t="shared" si="32"/>
        <v>0</v>
      </c>
      <c r="T33" s="1">
        <f t="shared" si="32"/>
        <v>0</v>
      </c>
      <c r="U33" s="1">
        <f t="shared" si="32"/>
        <v>1.870760389</v>
      </c>
    </row>
    <row r="34">
      <c r="A34" s="3">
        <f>IFERROR(__xludf.DUMMYFUNCTION("""COMPUTED_VALUE"""),43953.0)</f>
        <v>43953</v>
      </c>
      <c r="B34" s="1">
        <f t="shared" ref="B34:U34" si="33">IF($A34&gt;0,Megyeinapi!B34/'megyelakosság'!B$2*100000," ")</f>
        <v>0</v>
      </c>
      <c r="C34" s="1">
        <f t="shared" si="33"/>
        <v>0.2784669836</v>
      </c>
      <c r="D34" s="1">
        <f t="shared" si="33"/>
        <v>0</v>
      </c>
      <c r="E34" s="1">
        <f t="shared" si="33"/>
        <v>0.1569701003</v>
      </c>
      <c r="F34" s="1">
        <f t="shared" si="33"/>
        <v>2.285432198</v>
      </c>
      <c r="G34" s="1">
        <f t="shared" si="33"/>
        <v>0.2510468654</v>
      </c>
      <c r="H34" s="1">
        <f t="shared" si="33"/>
        <v>0.4777796624</v>
      </c>
      <c r="I34" s="1">
        <f t="shared" si="33"/>
        <v>0.2113534866</v>
      </c>
      <c r="J34" s="1">
        <f t="shared" si="33"/>
        <v>0</v>
      </c>
      <c r="K34" s="1">
        <f t="shared" si="33"/>
        <v>0</v>
      </c>
      <c r="L34" s="1">
        <f t="shared" si="33"/>
        <v>0</v>
      </c>
      <c r="M34" s="1">
        <f t="shared" si="33"/>
        <v>3.654545757</v>
      </c>
      <c r="N34" s="1">
        <f t="shared" si="33"/>
        <v>0</v>
      </c>
      <c r="O34" s="1">
        <f t="shared" si="33"/>
        <v>1.079329151</v>
      </c>
      <c r="P34" s="1">
        <f t="shared" si="33"/>
        <v>0.3333888981</v>
      </c>
      <c r="Q34" s="1">
        <f t="shared" si="33"/>
        <v>0</v>
      </c>
      <c r="R34" s="1">
        <f t="shared" si="33"/>
        <v>0</v>
      </c>
      <c r="S34" s="1">
        <f t="shared" si="33"/>
        <v>0</v>
      </c>
      <c r="T34" s="1">
        <f t="shared" si="33"/>
        <v>0</v>
      </c>
      <c r="U34" s="1">
        <f t="shared" si="33"/>
        <v>2.619064545</v>
      </c>
    </row>
    <row r="35">
      <c r="A35" s="3">
        <f>IFERROR(__xludf.DUMMYFUNCTION("""COMPUTED_VALUE"""),43954.0)</f>
        <v>43954</v>
      </c>
      <c r="B35" s="1">
        <f t="shared" ref="B35:U35" si="34">IF($A35&gt;0,Megyeinapi!B35/'megyelakosság'!B$2*100000," ")</f>
        <v>0</v>
      </c>
      <c r="C35" s="1">
        <f t="shared" si="34"/>
        <v>0.2784669836</v>
      </c>
      <c r="D35" s="1">
        <f t="shared" si="34"/>
        <v>0</v>
      </c>
      <c r="E35" s="1">
        <f t="shared" si="34"/>
        <v>0</v>
      </c>
      <c r="F35" s="1">
        <f t="shared" si="34"/>
        <v>1.428395124</v>
      </c>
      <c r="G35" s="1">
        <f t="shared" si="34"/>
        <v>0.7531405963</v>
      </c>
      <c r="H35" s="1">
        <f t="shared" si="34"/>
        <v>0.4777796624</v>
      </c>
      <c r="I35" s="1">
        <f t="shared" si="34"/>
        <v>0</v>
      </c>
      <c r="J35" s="1">
        <f t="shared" si="34"/>
        <v>0</v>
      </c>
      <c r="K35" s="1">
        <f t="shared" si="34"/>
        <v>0</v>
      </c>
      <c r="L35" s="1">
        <f t="shared" si="34"/>
        <v>0</v>
      </c>
      <c r="M35" s="1">
        <f t="shared" si="34"/>
        <v>3.654545757</v>
      </c>
      <c r="N35" s="1">
        <f t="shared" si="34"/>
        <v>0</v>
      </c>
      <c r="O35" s="1">
        <f t="shared" si="34"/>
        <v>0.462569636</v>
      </c>
      <c r="P35" s="1">
        <f t="shared" si="34"/>
        <v>0</v>
      </c>
      <c r="Q35" s="1">
        <f t="shared" si="34"/>
        <v>0</v>
      </c>
      <c r="R35" s="1">
        <f t="shared" si="34"/>
        <v>0</v>
      </c>
      <c r="S35" s="1">
        <f t="shared" si="34"/>
        <v>0</v>
      </c>
      <c r="T35" s="1">
        <f t="shared" si="34"/>
        <v>0</v>
      </c>
      <c r="U35" s="1">
        <f t="shared" si="34"/>
        <v>2.993216623</v>
      </c>
    </row>
    <row r="36">
      <c r="A36" s="3">
        <f>IFERROR(__xludf.DUMMYFUNCTION("""COMPUTED_VALUE"""),43955.0)</f>
        <v>43955</v>
      </c>
      <c r="B36" s="1">
        <f t="shared" ref="B36:U36" si="35">IF($A36&gt;0,Megyeinapi!B36/'megyelakosság'!B$2*100000," ")</f>
        <v>0</v>
      </c>
      <c r="C36" s="1">
        <f t="shared" si="35"/>
        <v>0</v>
      </c>
      <c r="D36" s="1">
        <f t="shared" si="35"/>
        <v>0</v>
      </c>
      <c r="E36" s="1">
        <f t="shared" si="35"/>
        <v>0</v>
      </c>
      <c r="F36" s="1">
        <f t="shared" si="35"/>
        <v>0.6284938545</v>
      </c>
      <c r="G36" s="1">
        <f t="shared" si="35"/>
        <v>0</v>
      </c>
      <c r="H36" s="1">
        <f t="shared" si="35"/>
        <v>0.9555593247</v>
      </c>
      <c r="I36" s="1">
        <f t="shared" si="35"/>
        <v>0</v>
      </c>
      <c r="J36" s="1">
        <f t="shared" si="35"/>
        <v>0</v>
      </c>
      <c r="K36" s="1">
        <f t="shared" si="35"/>
        <v>0</v>
      </c>
      <c r="L36" s="1">
        <f t="shared" si="35"/>
        <v>0</v>
      </c>
      <c r="M36" s="1">
        <f t="shared" si="35"/>
        <v>1.661157162</v>
      </c>
      <c r="N36" s="1">
        <f t="shared" si="35"/>
        <v>0</v>
      </c>
      <c r="O36" s="1">
        <f t="shared" si="35"/>
        <v>0.07709493933</v>
      </c>
      <c r="P36" s="1">
        <f t="shared" si="35"/>
        <v>0</v>
      </c>
      <c r="Q36" s="1">
        <f t="shared" si="35"/>
        <v>0</v>
      </c>
      <c r="R36" s="1">
        <f t="shared" si="35"/>
        <v>0</v>
      </c>
      <c r="S36" s="1">
        <f t="shared" si="35"/>
        <v>0</v>
      </c>
      <c r="T36" s="1">
        <f t="shared" si="35"/>
        <v>0</v>
      </c>
      <c r="U36" s="1">
        <f t="shared" si="35"/>
        <v>5.986433246</v>
      </c>
    </row>
    <row r="37">
      <c r="A37" s="3">
        <f>IFERROR(__xludf.DUMMYFUNCTION("""COMPUTED_VALUE"""),43956.0)</f>
        <v>43956</v>
      </c>
      <c r="B37" s="1">
        <f t="shared" ref="B37:U37" si="36">IF($A37&gt;0,Megyeinapi!B37/'megyelakosság'!B$2*100000," ")</f>
        <v>0</v>
      </c>
      <c r="C37" s="1">
        <f t="shared" si="36"/>
        <v>0</v>
      </c>
      <c r="D37" s="1">
        <f t="shared" si="36"/>
        <v>0.3025334148</v>
      </c>
      <c r="E37" s="1">
        <f t="shared" si="36"/>
        <v>0</v>
      </c>
      <c r="F37" s="1">
        <f t="shared" si="36"/>
        <v>1.085580294</v>
      </c>
      <c r="G37" s="1">
        <f t="shared" si="36"/>
        <v>0</v>
      </c>
      <c r="H37" s="1">
        <f t="shared" si="36"/>
        <v>0.4777796624</v>
      </c>
      <c r="I37" s="1">
        <f t="shared" si="36"/>
        <v>0.4227069732</v>
      </c>
      <c r="J37" s="1">
        <f t="shared" si="36"/>
        <v>0</v>
      </c>
      <c r="K37" s="1">
        <f t="shared" si="36"/>
        <v>0</v>
      </c>
      <c r="L37" s="1">
        <f t="shared" si="36"/>
        <v>0.2725501152</v>
      </c>
      <c r="M37" s="1">
        <f t="shared" si="36"/>
        <v>1.32892573</v>
      </c>
      <c r="N37" s="1">
        <f t="shared" si="36"/>
        <v>0</v>
      </c>
      <c r="O37" s="1">
        <f t="shared" si="36"/>
        <v>0.07709493933</v>
      </c>
      <c r="P37" s="1">
        <f t="shared" si="36"/>
        <v>0</v>
      </c>
      <c r="Q37" s="1">
        <f t="shared" si="36"/>
        <v>0</v>
      </c>
      <c r="R37" s="1">
        <f t="shared" si="36"/>
        <v>0</v>
      </c>
      <c r="S37" s="1">
        <f t="shared" si="36"/>
        <v>0</v>
      </c>
      <c r="T37" s="1">
        <f t="shared" si="36"/>
        <v>0</v>
      </c>
      <c r="U37" s="1">
        <f t="shared" si="36"/>
        <v>0</v>
      </c>
    </row>
    <row r="38">
      <c r="A38" s="3">
        <f>IFERROR(__xludf.DUMMYFUNCTION("""COMPUTED_VALUE"""),43957.0)</f>
        <v>43957</v>
      </c>
      <c r="B38" s="1">
        <f t="shared" ref="B38:U38" si="37">IF($A38&gt;0,Megyeinapi!B38/'megyelakosság'!B$2*100000," ")</f>
        <v>0</v>
      </c>
      <c r="C38" s="1">
        <f t="shared" si="37"/>
        <v>0</v>
      </c>
      <c r="D38" s="1">
        <f t="shared" si="37"/>
        <v>0</v>
      </c>
      <c r="E38" s="1">
        <f t="shared" si="37"/>
        <v>0</v>
      </c>
      <c r="F38" s="1">
        <f t="shared" si="37"/>
        <v>1.428395124</v>
      </c>
      <c r="G38" s="1">
        <f t="shared" si="37"/>
        <v>0</v>
      </c>
      <c r="H38" s="1">
        <f t="shared" si="37"/>
        <v>0.9555593247</v>
      </c>
      <c r="I38" s="1">
        <f t="shared" si="37"/>
        <v>0</v>
      </c>
      <c r="J38" s="1">
        <f t="shared" si="37"/>
        <v>0</v>
      </c>
      <c r="K38" s="1">
        <f t="shared" si="37"/>
        <v>0</v>
      </c>
      <c r="L38" s="1">
        <f t="shared" si="37"/>
        <v>0</v>
      </c>
      <c r="M38" s="1">
        <f t="shared" si="37"/>
        <v>2.325620027</v>
      </c>
      <c r="N38" s="1">
        <f t="shared" si="37"/>
        <v>0.5316547222</v>
      </c>
      <c r="O38" s="1">
        <f t="shared" si="37"/>
        <v>0.6167595147</v>
      </c>
      <c r="P38" s="1">
        <f t="shared" si="37"/>
        <v>0</v>
      </c>
      <c r="Q38" s="1">
        <f t="shared" si="37"/>
        <v>0</v>
      </c>
      <c r="R38" s="1">
        <f t="shared" si="37"/>
        <v>0</v>
      </c>
      <c r="S38" s="1">
        <f t="shared" si="37"/>
        <v>0</v>
      </c>
      <c r="T38" s="1">
        <f t="shared" si="37"/>
        <v>0</v>
      </c>
      <c r="U38" s="1">
        <f t="shared" si="37"/>
        <v>0.3741520779</v>
      </c>
    </row>
    <row r="39">
      <c r="A39" s="3">
        <f>IFERROR(__xludf.DUMMYFUNCTION("""COMPUTED_VALUE"""),43958.0)</f>
        <v>43958</v>
      </c>
      <c r="B39" s="1">
        <f t="shared" ref="B39:U39" si="38">IF($A39&gt;0,Megyeinapi!B39/'megyelakosság'!B$2*100000," ")</f>
        <v>0</v>
      </c>
      <c r="C39" s="1">
        <f t="shared" si="38"/>
        <v>0</v>
      </c>
      <c r="D39" s="1">
        <f t="shared" si="38"/>
        <v>0</v>
      </c>
      <c r="E39" s="1">
        <f t="shared" si="38"/>
        <v>0</v>
      </c>
      <c r="F39" s="1">
        <f t="shared" si="38"/>
        <v>0.9141728792</v>
      </c>
      <c r="G39" s="1">
        <f t="shared" si="38"/>
        <v>0.2510468654</v>
      </c>
      <c r="H39" s="1">
        <f t="shared" si="38"/>
        <v>0.4777796624</v>
      </c>
      <c r="I39" s="1">
        <f t="shared" si="38"/>
        <v>0</v>
      </c>
      <c r="J39" s="1">
        <f t="shared" si="38"/>
        <v>0</v>
      </c>
      <c r="K39" s="1">
        <f t="shared" si="38"/>
        <v>0</v>
      </c>
      <c r="L39" s="1">
        <f t="shared" si="38"/>
        <v>0</v>
      </c>
      <c r="M39" s="1">
        <f t="shared" si="38"/>
        <v>2.990082892</v>
      </c>
      <c r="N39" s="1">
        <f t="shared" si="38"/>
        <v>0</v>
      </c>
      <c r="O39" s="1">
        <f t="shared" si="38"/>
        <v>0.3083797573</v>
      </c>
      <c r="P39" s="1">
        <f t="shared" si="38"/>
        <v>0</v>
      </c>
      <c r="Q39" s="1">
        <f t="shared" si="38"/>
        <v>0</v>
      </c>
      <c r="R39" s="1">
        <f t="shared" si="38"/>
        <v>0</v>
      </c>
      <c r="S39" s="1">
        <f t="shared" si="38"/>
        <v>0</v>
      </c>
      <c r="T39" s="1">
        <f t="shared" si="38"/>
        <v>0</v>
      </c>
      <c r="U39" s="1">
        <f t="shared" si="38"/>
        <v>2.619064545</v>
      </c>
    </row>
    <row r="40">
      <c r="A40" s="3">
        <f>IFERROR(__xludf.DUMMYFUNCTION("""COMPUTED_VALUE"""),43959.0)</f>
        <v>43959</v>
      </c>
      <c r="B40" s="1">
        <f t="shared" ref="B40:U40" si="39">IF($A40&gt;0,Megyeinapi!B40/'megyelakosság'!B$2*100000," ")</f>
        <v>0</v>
      </c>
      <c r="C40" s="1">
        <f t="shared" si="39"/>
        <v>0</v>
      </c>
      <c r="D40" s="1">
        <f t="shared" si="39"/>
        <v>0</v>
      </c>
      <c r="E40" s="1">
        <f t="shared" si="39"/>
        <v>0</v>
      </c>
      <c r="F40" s="1">
        <f t="shared" si="39"/>
        <v>0.4570864396</v>
      </c>
      <c r="G40" s="1">
        <f t="shared" si="39"/>
        <v>0.7531405963</v>
      </c>
      <c r="H40" s="1">
        <f t="shared" si="39"/>
        <v>0</v>
      </c>
      <c r="I40" s="1">
        <f t="shared" si="39"/>
        <v>0.2113534866</v>
      </c>
      <c r="J40" s="1">
        <f t="shared" si="39"/>
        <v>0</v>
      </c>
      <c r="K40" s="1">
        <f t="shared" si="39"/>
        <v>0</v>
      </c>
      <c r="L40" s="1">
        <f t="shared" si="39"/>
        <v>0</v>
      </c>
      <c r="M40" s="1">
        <f t="shared" si="39"/>
        <v>1.661157162</v>
      </c>
      <c r="N40" s="1">
        <f t="shared" si="39"/>
        <v>0</v>
      </c>
      <c r="O40" s="1">
        <f t="shared" si="39"/>
        <v>0.462569636</v>
      </c>
      <c r="P40" s="1">
        <f t="shared" si="39"/>
        <v>0</v>
      </c>
      <c r="Q40" s="1">
        <f t="shared" si="39"/>
        <v>0</v>
      </c>
      <c r="R40" s="1">
        <f t="shared" si="39"/>
        <v>0</v>
      </c>
      <c r="S40" s="1">
        <f t="shared" si="39"/>
        <v>0</v>
      </c>
      <c r="T40" s="1">
        <f t="shared" si="39"/>
        <v>0.2931201763</v>
      </c>
      <c r="U40" s="1">
        <f t="shared" si="39"/>
        <v>1.496608311</v>
      </c>
    </row>
    <row r="41">
      <c r="A41" s="3">
        <f>IFERROR(__xludf.DUMMYFUNCTION("""COMPUTED_VALUE"""),43960.0)</f>
        <v>43960</v>
      </c>
      <c r="B41" s="1">
        <f t="shared" ref="B41:U41" si="40">IF($A41&gt;0,Megyeinapi!B41/'megyelakosság'!B$2*100000," ")</f>
        <v>0</v>
      </c>
      <c r="C41" s="1">
        <f t="shared" si="40"/>
        <v>0</v>
      </c>
      <c r="D41" s="1">
        <f t="shared" si="40"/>
        <v>0</v>
      </c>
      <c r="E41" s="1">
        <f t="shared" si="40"/>
        <v>-0.3139402007</v>
      </c>
      <c r="F41" s="1">
        <f t="shared" si="40"/>
        <v>0.5713580495</v>
      </c>
      <c r="G41" s="1">
        <f t="shared" si="40"/>
        <v>0.2510468654</v>
      </c>
      <c r="H41" s="1">
        <f t="shared" si="40"/>
        <v>1.194449156</v>
      </c>
      <c r="I41" s="1">
        <f t="shared" si="40"/>
        <v>0</v>
      </c>
      <c r="J41" s="1">
        <f t="shared" si="40"/>
        <v>0</v>
      </c>
      <c r="K41" s="1">
        <f t="shared" si="40"/>
        <v>-0.340807236</v>
      </c>
      <c r="L41" s="1">
        <f t="shared" si="40"/>
        <v>0</v>
      </c>
      <c r="M41" s="1">
        <f t="shared" si="40"/>
        <v>1.32892573</v>
      </c>
      <c r="N41" s="1">
        <f t="shared" si="40"/>
        <v>0</v>
      </c>
      <c r="O41" s="1">
        <f t="shared" si="40"/>
        <v>0.3083797573</v>
      </c>
      <c r="P41" s="1">
        <f t="shared" si="40"/>
        <v>0</v>
      </c>
      <c r="Q41" s="1">
        <f t="shared" si="40"/>
        <v>0</v>
      </c>
      <c r="R41" s="1">
        <f t="shared" si="40"/>
        <v>0</v>
      </c>
      <c r="S41" s="1">
        <f t="shared" si="40"/>
        <v>0</v>
      </c>
      <c r="T41" s="1">
        <f t="shared" si="40"/>
        <v>0.2931201763</v>
      </c>
      <c r="U41" s="1">
        <f t="shared" si="40"/>
        <v>4.863977012</v>
      </c>
    </row>
    <row r="42">
      <c r="A42" s="3">
        <f>IFERROR(__xludf.DUMMYFUNCTION("""COMPUTED_VALUE"""),43961.0)</f>
        <v>43961</v>
      </c>
      <c r="B42" s="1">
        <f t="shared" ref="B42:U42" si="41">IF($A42&gt;0,Megyeinapi!B42/'megyelakosság'!B$2*100000," ")</f>
        <v>0</v>
      </c>
      <c r="C42" s="1">
        <f t="shared" si="41"/>
        <v>0</v>
      </c>
      <c r="D42" s="1">
        <f t="shared" si="41"/>
        <v>0</v>
      </c>
      <c r="E42" s="1">
        <f t="shared" si="41"/>
        <v>0</v>
      </c>
      <c r="F42" s="1">
        <f t="shared" si="41"/>
        <v>0.9713086842</v>
      </c>
      <c r="G42" s="1">
        <f t="shared" si="41"/>
        <v>0</v>
      </c>
      <c r="H42" s="1">
        <f t="shared" si="41"/>
        <v>3.822237299</v>
      </c>
      <c r="I42" s="1">
        <f t="shared" si="41"/>
        <v>0.2113534866</v>
      </c>
      <c r="J42" s="1">
        <f t="shared" si="41"/>
        <v>0</v>
      </c>
      <c r="K42" s="1">
        <f t="shared" si="41"/>
        <v>0</v>
      </c>
      <c r="L42" s="1">
        <f t="shared" si="41"/>
        <v>0</v>
      </c>
      <c r="M42" s="1">
        <f t="shared" si="41"/>
        <v>0.6644628648</v>
      </c>
      <c r="N42" s="1">
        <f t="shared" si="41"/>
        <v>0</v>
      </c>
      <c r="O42" s="1">
        <f t="shared" si="41"/>
        <v>0.7709493933</v>
      </c>
      <c r="P42" s="1">
        <f t="shared" si="41"/>
        <v>0</v>
      </c>
      <c r="Q42" s="1">
        <f t="shared" si="41"/>
        <v>0</v>
      </c>
      <c r="R42" s="1">
        <f t="shared" si="41"/>
        <v>0</v>
      </c>
      <c r="S42" s="1">
        <f t="shared" si="41"/>
        <v>0</v>
      </c>
      <c r="T42" s="1">
        <f t="shared" si="41"/>
        <v>0</v>
      </c>
      <c r="U42" s="1">
        <f t="shared" si="41"/>
        <v>1.496608311</v>
      </c>
    </row>
    <row r="43">
      <c r="A43" s="3">
        <f>IFERROR(__xludf.DUMMYFUNCTION("""COMPUTED_VALUE"""),43962.0)</f>
        <v>43962</v>
      </c>
      <c r="B43" s="1">
        <f t="shared" ref="B43:U43" si="42">IF($A43&gt;0,Megyeinapi!B43/'megyelakosság'!B$2*100000," ")</f>
        <v>0</v>
      </c>
      <c r="C43" s="1">
        <f t="shared" si="42"/>
        <v>0</v>
      </c>
      <c r="D43" s="1">
        <f t="shared" si="42"/>
        <v>0</v>
      </c>
      <c r="E43" s="1">
        <f t="shared" si="42"/>
        <v>0.1569701003</v>
      </c>
      <c r="F43" s="1">
        <f t="shared" si="42"/>
        <v>0.4570864396</v>
      </c>
      <c r="G43" s="1">
        <f t="shared" si="42"/>
        <v>0.2510468654</v>
      </c>
      <c r="H43" s="1">
        <f t="shared" si="42"/>
        <v>0</v>
      </c>
      <c r="I43" s="1">
        <f t="shared" si="42"/>
        <v>0</v>
      </c>
      <c r="J43" s="1">
        <f t="shared" si="42"/>
        <v>0</v>
      </c>
      <c r="K43" s="1">
        <f t="shared" si="42"/>
        <v>0</v>
      </c>
      <c r="L43" s="1">
        <f t="shared" si="42"/>
        <v>0</v>
      </c>
      <c r="M43" s="1">
        <f t="shared" si="42"/>
        <v>1.661157162</v>
      </c>
      <c r="N43" s="1">
        <f t="shared" si="42"/>
        <v>0</v>
      </c>
      <c r="O43" s="1">
        <f t="shared" si="42"/>
        <v>0.3083797573</v>
      </c>
      <c r="P43" s="1">
        <f t="shared" si="42"/>
        <v>0</v>
      </c>
      <c r="Q43" s="1">
        <f t="shared" si="42"/>
        <v>0</v>
      </c>
      <c r="R43" s="1">
        <f t="shared" si="42"/>
        <v>0</v>
      </c>
      <c r="S43" s="1">
        <f t="shared" si="42"/>
        <v>0</v>
      </c>
      <c r="T43" s="1">
        <f t="shared" si="42"/>
        <v>0</v>
      </c>
      <c r="U43" s="1">
        <f t="shared" si="42"/>
        <v>0.7483041557</v>
      </c>
    </row>
    <row r="44">
      <c r="A44" s="3">
        <f>IFERROR(__xludf.DUMMYFUNCTION("""COMPUTED_VALUE"""),43963.0)</f>
        <v>43963</v>
      </c>
      <c r="B44" s="1">
        <f t="shared" ref="B44:U44" si="43">IF($A44&gt;0,Megyeinapi!B44/'megyelakosság'!B$2*100000," ")</f>
        <v>0</v>
      </c>
      <c r="C44" s="1">
        <f t="shared" si="43"/>
        <v>0</v>
      </c>
      <c r="D44" s="1">
        <f t="shared" si="43"/>
        <v>-0.3025334148</v>
      </c>
      <c r="E44" s="1">
        <f t="shared" si="43"/>
        <v>0</v>
      </c>
      <c r="F44" s="1">
        <f t="shared" si="43"/>
        <v>0.4570864396</v>
      </c>
      <c r="G44" s="1">
        <f t="shared" si="43"/>
        <v>0.2510468654</v>
      </c>
      <c r="H44" s="1">
        <f t="shared" si="43"/>
        <v>1.194449156</v>
      </c>
      <c r="I44" s="1">
        <f t="shared" si="43"/>
        <v>0</v>
      </c>
      <c r="J44" s="1">
        <f t="shared" si="43"/>
        <v>0</v>
      </c>
      <c r="K44" s="1">
        <f t="shared" si="43"/>
        <v>0.340807236</v>
      </c>
      <c r="L44" s="1">
        <f t="shared" si="43"/>
        <v>0</v>
      </c>
      <c r="M44" s="1">
        <f t="shared" si="43"/>
        <v>0.3322314324</v>
      </c>
      <c r="N44" s="1">
        <f t="shared" si="43"/>
        <v>0</v>
      </c>
      <c r="O44" s="1">
        <f t="shared" si="43"/>
        <v>0.5396645753</v>
      </c>
      <c r="P44" s="1">
        <f t="shared" si="43"/>
        <v>0</v>
      </c>
      <c r="Q44" s="1">
        <f t="shared" si="43"/>
        <v>0</v>
      </c>
      <c r="R44" s="1">
        <f t="shared" si="43"/>
        <v>0</v>
      </c>
      <c r="S44" s="1">
        <f t="shared" si="43"/>
        <v>0</v>
      </c>
      <c r="T44" s="1">
        <f t="shared" si="43"/>
        <v>0.5862403527</v>
      </c>
      <c r="U44" s="1">
        <f t="shared" si="43"/>
        <v>1.870760389</v>
      </c>
    </row>
    <row r="45">
      <c r="A45" s="3">
        <f>IFERROR(__xludf.DUMMYFUNCTION("""COMPUTED_VALUE"""),43964.0)</f>
        <v>43964</v>
      </c>
      <c r="B45" s="1">
        <f t="shared" ref="B45:U45" si="44">IF($A45&gt;0,Megyeinapi!B45/'megyelakosság'!B$2*100000," ")</f>
        <v>0</v>
      </c>
      <c r="C45" s="1">
        <f t="shared" si="44"/>
        <v>0</v>
      </c>
      <c r="D45" s="1">
        <f t="shared" si="44"/>
        <v>-1.512667074</v>
      </c>
      <c r="E45" s="1">
        <f t="shared" si="44"/>
        <v>0</v>
      </c>
      <c r="F45" s="1">
        <f t="shared" si="44"/>
        <v>0.7999012693</v>
      </c>
      <c r="G45" s="1">
        <f t="shared" si="44"/>
        <v>1.255234327</v>
      </c>
      <c r="H45" s="1">
        <f t="shared" si="44"/>
        <v>0</v>
      </c>
      <c r="I45" s="1">
        <f t="shared" si="44"/>
        <v>0</v>
      </c>
      <c r="J45" s="1">
        <f t="shared" si="44"/>
        <v>0</v>
      </c>
      <c r="K45" s="1">
        <f t="shared" si="44"/>
        <v>0</v>
      </c>
      <c r="L45" s="1">
        <f t="shared" si="44"/>
        <v>0</v>
      </c>
      <c r="M45" s="1">
        <f t="shared" si="44"/>
        <v>0.6644628648</v>
      </c>
      <c r="N45" s="1">
        <f t="shared" si="44"/>
        <v>0</v>
      </c>
      <c r="O45" s="1">
        <f t="shared" si="44"/>
        <v>0.8480443327</v>
      </c>
      <c r="P45" s="1">
        <f t="shared" si="44"/>
        <v>0</v>
      </c>
      <c r="Q45" s="1">
        <f t="shared" si="44"/>
        <v>0</v>
      </c>
      <c r="R45" s="1">
        <f t="shared" si="44"/>
        <v>0</v>
      </c>
      <c r="S45" s="1">
        <f t="shared" si="44"/>
        <v>0</v>
      </c>
      <c r="T45" s="1">
        <f t="shared" si="44"/>
        <v>0</v>
      </c>
      <c r="U45" s="1">
        <f t="shared" si="44"/>
        <v>0.3741520779</v>
      </c>
    </row>
    <row r="46">
      <c r="A46" s="3">
        <f>IFERROR(__xludf.DUMMYFUNCTION("""COMPUTED_VALUE"""),43965.0)</f>
        <v>43965</v>
      </c>
      <c r="B46" s="1">
        <f t="shared" ref="B46:U46" si="45">IF($A46&gt;0,Megyeinapi!B46/'megyelakosság'!B$2*100000," ")</f>
        <v>0</v>
      </c>
      <c r="C46" s="1">
        <f t="shared" si="45"/>
        <v>0</v>
      </c>
      <c r="D46" s="1">
        <f t="shared" si="45"/>
        <v>0</v>
      </c>
      <c r="E46" s="1">
        <f t="shared" si="45"/>
        <v>0</v>
      </c>
      <c r="F46" s="1">
        <f t="shared" si="45"/>
        <v>0.5713580495</v>
      </c>
      <c r="G46" s="1">
        <f t="shared" si="45"/>
        <v>0.2510468654</v>
      </c>
      <c r="H46" s="1">
        <f t="shared" si="45"/>
        <v>0.2388898312</v>
      </c>
      <c r="I46" s="1">
        <f t="shared" si="45"/>
        <v>0</v>
      </c>
      <c r="J46" s="1">
        <f t="shared" si="45"/>
        <v>0</v>
      </c>
      <c r="K46" s="1">
        <f t="shared" si="45"/>
        <v>0</v>
      </c>
      <c r="L46" s="1">
        <f t="shared" si="45"/>
        <v>0</v>
      </c>
      <c r="M46" s="1">
        <f t="shared" si="45"/>
        <v>1.32892573</v>
      </c>
      <c r="N46" s="1">
        <f t="shared" si="45"/>
        <v>0</v>
      </c>
      <c r="O46" s="1">
        <f t="shared" si="45"/>
        <v>0.231284818</v>
      </c>
      <c r="P46" s="1">
        <f t="shared" si="45"/>
        <v>0</v>
      </c>
      <c r="Q46" s="1">
        <f t="shared" si="45"/>
        <v>0</v>
      </c>
      <c r="R46" s="1">
        <f t="shared" si="45"/>
        <v>0</v>
      </c>
      <c r="S46" s="1">
        <f t="shared" si="45"/>
        <v>0.7869771029</v>
      </c>
      <c r="T46" s="1">
        <f t="shared" si="45"/>
        <v>0</v>
      </c>
      <c r="U46" s="1">
        <f t="shared" si="45"/>
        <v>6.734737401</v>
      </c>
    </row>
    <row r="47">
      <c r="A47" s="3">
        <f>IFERROR(__xludf.DUMMYFUNCTION("""COMPUTED_VALUE"""),43966.0)</f>
        <v>43966</v>
      </c>
      <c r="B47" s="1">
        <f t="shared" ref="B47:U47" si="46">IF($A47&gt;0,Megyeinapi!B47/'megyelakosság'!B$2*100000," ")</f>
        <v>0</v>
      </c>
      <c r="C47" s="1">
        <f t="shared" si="46"/>
        <v>0</v>
      </c>
      <c r="D47" s="1">
        <f t="shared" si="46"/>
        <v>0</v>
      </c>
      <c r="E47" s="1">
        <f t="shared" si="46"/>
        <v>0</v>
      </c>
      <c r="F47" s="1">
        <f t="shared" si="46"/>
        <v>0.9713086842</v>
      </c>
      <c r="G47" s="1">
        <f t="shared" si="46"/>
        <v>0</v>
      </c>
      <c r="H47" s="1">
        <f t="shared" si="46"/>
        <v>0.2388898312</v>
      </c>
      <c r="I47" s="1">
        <f t="shared" si="46"/>
        <v>0</v>
      </c>
      <c r="J47" s="1">
        <f t="shared" si="46"/>
        <v>0</v>
      </c>
      <c r="K47" s="1">
        <f t="shared" si="46"/>
        <v>0</v>
      </c>
      <c r="L47" s="1">
        <f t="shared" si="46"/>
        <v>0.2725501152</v>
      </c>
      <c r="M47" s="1">
        <f t="shared" si="46"/>
        <v>0.9966942972</v>
      </c>
      <c r="N47" s="1">
        <f t="shared" si="46"/>
        <v>0</v>
      </c>
      <c r="O47" s="1">
        <f t="shared" si="46"/>
        <v>0.07709493933</v>
      </c>
      <c r="P47" s="1">
        <f t="shared" si="46"/>
        <v>0</v>
      </c>
      <c r="Q47" s="1">
        <f t="shared" si="46"/>
        <v>0.182140073</v>
      </c>
      <c r="R47" s="1">
        <f t="shared" si="46"/>
        <v>0</v>
      </c>
      <c r="S47" s="1">
        <f t="shared" si="46"/>
        <v>0</v>
      </c>
      <c r="T47" s="1">
        <f t="shared" si="46"/>
        <v>0.2931201763</v>
      </c>
      <c r="U47" s="1">
        <f t="shared" si="46"/>
        <v>4.489824934</v>
      </c>
    </row>
    <row r="48">
      <c r="A48" s="3">
        <f>IFERROR(__xludf.DUMMYFUNCTION("""COMPUTED_VALUE"""),43967.0)</f>
        <v>43967</v>
      </c>
      <c r="B48" s="1">
        <f t="shared" ref="B48:U48" si="47">IF($A48&gt;0,Megyeinapi!B48/'megyelakosság'!B$2*100000," ")</f>
        <v>0.1991159253</v>
      </c>
      <c r="C48" s="1">
        <f t="shared" si="47"/>
        <v>0</v>
      </c>
      <c r="D48" s="1">
        <f t="shared" si="47"/>
        <v>0</v>
      </c>
      <c r="E48" s="1">
        <f t="shared" si="47"/>
        <v>0</v>
      </c>
      <c r="F48" s="1">
        <f t="shared" si="47"/>
        <v>1.085580294</v>
      </c>
      <c r="G48" s="1">
        <f t="shared" si="47"/>
        <v>0</v>
      </c>
      <c r="H48" s="1">
        <f t="shared" si="47"/>
        <v>3.583347468</v>
      </c>
      <c r="I48" s="1">
        <f t="shared" si="47"/>
        <v>0</v>
      </c>
      <c r="J48" s="1">
        <f t="shared" si="47"/>
        <v>0</v>
      </c>
      <c r="K48" s="1">
        <f t="shared" si="47"/>
        <v>0</v>
      </c>
      <c r="L48" s="1">
        <f t="shared" si="47"/>
        <v>0</v>
      </c>
      <c r="M48" s="1">
        <f t="shared" si="47"/>
        <v>0.3322314324</v>
      </c>
      <c r="N48" s="1">
        <f t="shared" si="47"/>
        <v>0</v>
      </c>
      <c r="O48" s="1">
        <f t="shared" si="47"/>
        <v>0.5396645753</v>
      </c>
      <c r="P48" s="1">
        <f t="shared" si="47"/>
        <v>0</v>
      </c>
      <c r="Q48" s="1">
        <f t="shared" si="47"/>
        <v>0</v>
      </c>
      <c r="R48" s="1">
        <f t="shared" si="47"/>
        <v>0</v>
      </c>
      <c r="S48" s="1">
        <f t="shared" si="47"/>
        <v>0.3934885515</v>
      </c>
      <c r="T48" s="1">
        <f t="shared" si="47"/>
        <v>0</v>
      </c>
      <c r="U48" s="1">
        <f t="shared" si="47"/>
        <v>4.489824934</v>
      </c>
    </row>
    <row r="49">
      <c r="A49" s="3">
        <f>IFERROR(__xludf.DUMMYFUNCTION("""COMPUTED_VALUE"""),43968.0)</f>
        <v>43968</v>
      </c>
      <c r="B49" s="1">
        <f t="shared" ref="B49:U49" si="48">IF($A49&gt;0,Megyeinapi!B49/'megyelakosság'!B$2*100000," ")</f>
        <v>0</v>
      </c>
      <c r="C49" s="1">
        <f t="shared" si="48"/>
        <v>0</v>
      </c>
      <c r="D49" s="1">
        <f t="shared" si="48"/>
        <v>0</v>
      </c>
      <c r="E49" s="1">
        <f t="shared" si="48"/>
        <v>0</v>
      </c>
      <c r="F49" s="1">
        <f t="shared" si="48"/>
        <v>0.9713086842</v>
      </c>
      <c r="G49" s="1">
        <f t="shared" si="48"/>
        <v>0</v>
      </c>
      <c r="H49" s="1">
        <f t="shared" si="48"/>
        <v>0.2388898312</v>
      </c>
      <c r="I49" s="1">
        <f t="shared" si="48"/>
        <v>0</v>
      </c>
      <c r="J49" s="1">
        <f t="shared" si="48"/>
        <v>0</v>
      </c>
      <c r="K49" s="1">
        <f t="shared" si="48"/>
        <v>0</v>
      </c>
      <c r="L49" s="1">
        <f t="shared" si="48"/>
        <v>0</v>
      </c>
      <c r="M49" s="1">
        <f t="shared" si="48"/>
        <v>3.654545757</v>
      </c>
      <c r="N49" s="1">
        <f t="shared" si="48"/>
        <v>0</v>
      </c>
      <c r="O49" s="1">
        <f t="shared" si="48"/>
        <v>0.462569636</v>
      </c>
      <c r="P49" s="1">
        <f t="shared" si="48"/>
        <v>0</v>
      </c>
      <c r="Q49" s="1">
        <f t="shared" si="48"/>
        <v>0</v>
      </c>
      <c r="R49" s="1">
        <f t="shared" si="48"/>
        <v>0</v>
      </c>
      <c r="S49" s="1">
        <f t="shared" si="48"/>
        <v>0</v>
      </c>
      <c r="T49" s="1">
        <f t="shared" si="48"/>
        <v>0</v>
      </c>
      <c r="U49" s="1">
        <f t="shared" si="48"/>
        <v>0.3741520779</v>
      </c>
    </row>
    <row r="50">
      <c r="A50" s="3">
        <f>IFERROR(__xludf.DUMMYFUNCTION("""COMPUTED_VALUE"""),43969.0)</f>
        <v>43969</v>
      </c>
      <c r="B50" s="1">
        <f t="shared" ref="B50:U50" si="49">IF($A50&gt;0,Megyeinapi!B50/'megyelakosság'!B$2*100000," ")</f>
        <v>0</v>
      </c>
      <c r="C50" s="1">
        <f t="shared" si="49"/>
        <v>0</v>
      </c>
      <c r="D50" s="1">
        <f t="shared" si="49"/>
        <v>0</v>
      </c>
      <c r="E50" s="1">
        <f t="shared" si="49"/>
        <v>0</v>
      </c>
      <c r="F50" s="1">
        <f t="shared" si="49"/>
        <v>0.5142222446</v>
      </c>
      <c r="G50" s="1">
        <f t="shared" si="49"/>
        <v>0</v>
      </c>
      <c r="H50" s="1">
        <f t="shared" si="49"/>
        <v>0.7166694935</v>
      </c>
      <c r="I50" s="1">
        <f t="shared" si="49"/>
        <v>0.2113534866</v>
      </c>
      <c r="J50" s="1">
        <f t="shared" si="49"/>
        <v>0</v>
      </c>
      <c r="K50" s="1">
        <f t="shared" si="49"/>
        <v>0</v>
      </c>
      <c r="L50" s="1">
        <f t="shared" si="49"/>
        <v>0.2725501152</v>
      </c>
      <c r="M50" s="1">
        <f t="shared" si="49"/>
        <v>0.9966942972</v>
      </c>
      <c r="N50" s="1">
        <f t="shared" si="49"/>
        <v>0</v>
      </c>
      <c r="O50" s="1">
        <f t="shared" si="49"/>
        <v>0.231284818</v>
      </c>
      <c r="P50" s="1">
        <f t="shared" si="49"/>
        <v>0</v>
      </c>
      <c r="Q50" s="1">
        <f t="shared" si="49"/>
        <v>0.182140073</v>
      </c>
      <c r="R50" s="1">
        <f t="shared" si="49"/>
        <v>0</v>
      </c>
      <c r="S50" s="1">
        <f t="shared" si="49"/>
        <v>0</v>
      </c>
      <c r="T50" s="1">
        <f t="shared" si="49"/>
        <v>0</v>
      </c>
      <c r="U50" s="1">
        <f t="shared" si="49"/>
        <v>1.870760389</v>
      </c>
    </row>
    <row r="51">
      <c r="A51" s="3">
        <f>IFERROR(__xludf.DUMMYFUNCTION("""COMPUTED_VALUE"""),43970.0)</f>
        <v>43970</v>
      </c>
      <c r="B51" s="1">
        <f t="shared" ref="B51:U51" si="50">IF($A51&gt;0,Megyeinapi!B51/'megyelakosság'!B$2*100000," ")</f>
        <v>0</v>
      </c>
      <c r="C51" s="1">
        <f t="shared" si="50"/>
        <v>0</v>
      </c>
      <c r="D51" s="1">
        <f t="shared" si="50"/>
        <v>0</v>
      </c>
      <c r="E51" s="1">
        <f t="shared" si="50"/>
        <v>0</v>
      </c>
      <c r="F51" s="1">
        <f t="shared" si="50"/>
        <v>0.4570864396</v>
      </c>
      <c r="G51" s="1">
        <f t="shared" si="50"/>
        <v>0</v>
      </c>
      <c r="H51" s="1">
        <f t="shared" si="50"/>
        <v>0</v>
      </c>
      <c r="I51" s="1">
        <f t="shared" si="50"/>
        <v>0</v>
      </c>
      <c r="J51" s="1">
        <f t="shared" si="50"/>
        <v>0</v>
      </c>
      <c r="K51" s="1">
        <f t="shared" si="50"/>
        <v>0</v>
      </c>
      <c r="L51" s="1">
        <f t="shared" si="50"/>
        <v>0</v>
      </c>
      <c r="M51" s="1">
        <f t="shared" si="50"/>
        <v>0.3322314324</v>
      </c>
      <c r="N51" s="1">
        <f t="shared" si="50"/>
        <v>0</v>
      </c>
      <c r="O51" s="1">
        <f t="shared" si="50"/>
        <v>0.7709493933</v>
      </c>
      <c r="P51" s="1">
        <f t="shared" si="50"/>
        <v>0</v>
      </c>
      <c r="Q51" s="1">
        <f t="shared" si="50"/>
        <v>0</v>
      </c>
      <c r="R51" s="1">
        <f t="shared" si="50"/>
        <v>0</v>
      </c>
      <c r="S51" s="1">
        <f t="shared" si="50"/>
        <v>0</v>
      </c>
      <c r="T51" s="1">
        <f t="shared" si="50"/>
        <v>0</v>
      </c>
      <c r="U51" s="1">
        <f t="shared" si="50"/>
        <v>0.7483041557</v>
      </c>
    </row>
    <row r="52">
      <c r="A52" s="3">
        <f>IFERROR(__xludf.DUMMYFUNCTION("""COMPUTED_VALUE"""),43971.0)</f>
        <v>43971</v>
      </c>
      <c r="B52" s="1">
        <f t="shared" ref="B52:U52" si="51">IF($A52&gt;0,Megyeinapi!B52/'megyelakosság'!B$2*100000," ")</f>
        <v>0</v>
      </c>
      <c r="C52" s="1">
        <f t="shared" si="51"/>
        <v>0</v>
      </c>
      <c r="D52" s="1">
        <f t="shared" si="51"/>
        <v>0</v>
      </c>
      <c r="E52" s="1">
        <f t="shared" si="51"/>
        <v>0</v>
      </c>
      <c r="F52" s="1">
        <f t="shared" si="51"/>
        <v>1.199851904</v>
      </c>
      <c r="G52" s="1">
        <f t="shared" si="51"/>
        <v>0</v>
      </c>
      <c r="H52" s="1">
        <f t="shared" si="51"/>
        <v>0.4777796624</v>
      </c>
      <c r="I52" s="1">
        <f t="shared" si="51"/>
        <v>0</v>
      </c>
      <c r="J52" s="1">
        <f t="shared" si="51"/>
        <v>0</v>
      </c>
      <c r="K52" s="1">
        <f t="shared" si="51"/>
        <v>-1.363228944</v>
      </c>
      <c r="L52" s="1">
        <f t="shared" si="51"/>
        <v>0</v>
      </c>
      <c r="M52" s="1">
        <f t="shared" si="51"/>
        <v>2.325620027</v>
      </c>
      <c r="N52" s="1">
        <f t="shared" si="51"/>
        <v>0.5316547222</v>
      </c>
      <c r="O52" s="1">
        <f t="shared" si="51"/>
        <v>0.7709493933</v>
      </c>
      <c r="P52" s="1">
        <f t="shared" si="51"/>
        <v>0</v>
      </c>
      <c r="Q52" s="1">
        <f t="shared" si="51"/>
        <v>0</v>
      </c>
      <c r="R52" s="1">
        <f t="shared" si="51"/>
        <v>0</v>
      </c>
      <c r="S52" s="1">
        <f t="shared" si="51"/>
        <v>0</v>
      </c>
      <c r="T52" s="1">
        <f t="shared" si="51"/>
        <v>0</v>
      </c>
      <c r="U52" s="1">
        <f t="shared" si="51"/>
        <v>1.870760389</v>
      </c>
    </row>
    <row r="53">
      <c r="A53" s="3">
        <f>IFERROR(__xludf.DUMMYFUNCTION("""COMPUTED_VALUE"""),43972.0)</f>
        <v>43972</v>
      </c>
      <c r="B53" s="1">
        <f t="shared" ref="B53:U53" si="52">IF($A53&gt;0,Megyeinapi!B53/'megyelakosság'!B$2*100000," ")</f>
        <v>0</v>
      </c>
      <c r="C53" s="1">
        <f t="shared" si="52"/>
        <v>0</v>
      </c>
      <c r="D53" s="1">
        <f t="shared" si="52"/>
        <v>0</v>
      </c>
      <c r="E53" s="1">
        <f t="shared" si="52"/>
        <v>0</v>
      </c>
      <c r="F53" s="1">
        <f t="shared" si="52"/>
        <v>0.9141728792</v>
      </c>
      <c r="G53" s="1">
        <f t="shared" si="52"/>
        <v>0</v>
      </c>
      <c r="H53" s="1">
        <f t="shared" si="52"/>
        <v>0.4777796624</v>
      </c>
      <c r="I53" s="1">
        <f t="shared" si="52"/>
        <v>0</v>
      </c>
      <c r="J53" s="1">
        <f t="shared" si="52"/>
        <v>0.1898516689</v>
      </c>
      <c r="K53" s="1">
        <f t="shared" si="52"/>
        <v>0</v>
      </c>
      <c r="L53" s="1">
        <f t="shared" si="52"/>
        <v>0.2725501152</v>
      </c>
      <c r="M53" s="1">
        <f t="shared" si="52"/>
        <v>2.657851459</v>
      </c>
      <c r="N53" s="1">
        <f t="shared" si="52"/>
        <v>0.5316547222</v>
      </c>
      <c r="O53" s="1">
        <f t="shared" si="52"/>
        <v>0.3083797573</v>
      </c>
      <c r="P53" s="1">
        <f t="shared" si="52"/>
        <v>0</v>
      </c>
      <c r="Q53" s="1">
        <f t="shared" si="52"/>
        <v>0</v>
      </c>
      <c r="R53" s="1">
        <f t="shared" si="52"/>
        <v>0</v>
      </c>
      <c r="S53" s="1">
        <f t="shared" si="52"/>
        <v>0</v>
      </c>
      <c r="T53" s="1">
        <f t="shared" si="52"/>
        <v>0</v>
      </c>
      <c r="U53" s="1">
        <f t="shared" si="52"/>
        <v>3.741520779</v>
      </c>
    </row>
    <row r="54">
      <c r="A54" s="3">
        <f>IFERROR(__xludf.DUMMYFUNCTION("""COMPUTED_VALUE"""),43973.0)</f>
        <v>43973</v>
      </c>
      <c r="B54" s="1">
        <f t="shared" ref="B54:U54" si="53">IF($A54&gt;0,Megyeinapi!B54/'megyelakosság'!B$2*100000," ")</f>
        <v>0</v>
      </c>
      <c r="C54" s="1">
        <f t="shared" si="53"/>
        <v>0</v>
      </c>
      <c r="D54" s="1">
        <f t="shared" si="53"/>
        <v>0</v>
      </c>
      <c r="E54" s="1">
        <f t="shared" si="53"/>
        <v>-0.470910301</v>
      </c>
      <c r="F54" s="1">
        <f t="shared" si="53"/>
        <v>1.599802539</v>
      </c>
      <c r="G54" s="1">
        <f t="shared" si="53"/>
        <v>0</v>
      </c>
      <c r="H54" s="1">
        <f t="shared" si="53"/>
        <v>0.4777796624</v>
      </c>
      <c r="I54" s="1">
        <f t="shared" si="53"/>
        <v>0</v>
      </c>
      <c r="J54" s="1">
        <f t="shared" si="53"/>
        <v>0</v>
      </c>
      <c r="K54" s="1">
        <f t="shared" si="53"/>
        <v>0</v>
      </c>
      <c r="L54" s="1">
        <f t="shared" si="53"/>
        <v>0</v>
      </c>
      <c r="M54" s="1">
        <f t="shared" si="53"/>
        <v>2.657851459</v>
      </c>
      <c r="N54" s="1">
        <f t="shared" si="53"/>
        <v>0.5316547222</v>
      </c>
      <c r="O54" s="1">
        <f t="shared" si="53"/>
        <v>0.7709493933</v>
      </c>
      <c r="P54" s="1">
        <f t="shared" si="53"/>
        <v>0</v>
      </c>
      <c r="Q54" s="1">
        <f t="shared" si="53"/>
        <v>-2.003540803</v>
      </c>
      <c r="R54" s="1">
        <f t="shared" si="53"/>
        <v>0</v>
      </c>
      <c r="S54" s="1">
        <f t="shared" si="53"/>
        <v>0</v>
      </c>
      <c r="T54" s="1">
        <f t="shared" si="53"/>
        <v>0</v>
      </c>
      <c r="U54" s="1">
        <f t="shared" si="53"/>
        <v>0.7483041557</v>
      </c>
    </row>
    <row r="55">
      <c r="A55" s="3">
        <f>IFERROR(__xludf.DUMMYFUNCTION("""COMPUTED_VALUE"""),43974.0)</f>
        <v>43974</v>
      </c>
      <c r="B55" s="1">
        <f t="shared" ref="B55:U55" si="54">IF($A55&gt;0,Megyeinapi!B55/'megyelakosság'!B$2*100000," ")</f>
        <v>0</v>
      </c>
      <c r="C55" s="1">
        <f t="shared" si="54"/>
        <v>0</v>
      </c>
      <c r="D55" s="1">
        <f t="shared" si="54"/>
        <v>0</v>
      </c>
      <c r="E55" s="1">
        <f t="shared" si="54"/>
        <v>0</v>
      </c>
      <c r="F55" s="1">
        <f t="shared" si="54"/>
        <v>0.6284938545</v>
      </c>
      <c r="G55" s="1">
        <f t="shared" si="54"/>
        <v>0</v>
      </c>
      <c r="H55" s="1">
        <f t="shared" si="54"/>
        <v>0.2388898312</v>
      </c>
      <c r="I55" s="1">
        <f t="shared" si="54"/>
        <v>0</v>
      </c>
      <c r="J55" s="1">
        <f t="shared" si="54"/>
        <v>0</v>
      </c>
      <c r="K55" s="1">
        <f t="shared" si="54"/>
        <v>0</v>
      </c>
      <c r="L55" s="1">
        <f t="shared" si="54"/>
        <v>0</v>
      </c>
      <c r="M55" s="1">
        <f t="shared" si="54"/>
        <v>3.986777189</v>
      </c>
      <c r="N55" s="1">
        <f t="shared" si="54"/>
        <v>1.594964166</v>
      </c>
      <c r="O55" s="1">
        <f t="shared" si="54"/>
        <v>0.462569636</v>
      </c>
      <c r="P55" s="1">
        <f t="shared" si="54"/>
        <v>0</v>
      </c>
      <c r="Q55" s="1">
        <f t="shared" si="54"/>
        <v>0</v>
      </c>
      <c r="R55" s="1">
        <f t="shared" si="54"/>
        <v>0</v>
      </c>
      <c r="S55" s="1">
        <f t="shared" si="54"/>
        <v>0</v>
      </c>
      <c r="T55" s="1">
        <f t="shared" si="54"/>
        <v>0</v>
      </c>
      <c r="U55" s="1">
        <f t="shared" si="54"/>
        <v>0.7483041557</v>
      </c>
    </row>
    <row r="56">
      <c r="A56" s="3">
        <f>IFERROR(__xludf.DUMMYFUNCTION("""COMPUTED_VALUE"""),43975.0)</f>
        <v>43975</v>
      </c>
      <c r="B56" s="1">
        <f t="shared" ref="B56:U56" si="55">IF($A56&gt;0,Megyeinapi!B56/'megyelakosság'!B$2*100000," ")</f>
        <v>0</v>
      </c>
      <c r="C56" s="1">
        <f t="shared" si="55"/>
        <v>0</v>
      </c>
      <c r="D56" s="1">
        <f t="shared" si="55"/>
        <v>0</v>
      </c>
      <c r="E56" s="1">
        <f t="shared" si="55"/>
        <v>0</v>
      </c>
      <c r="F56" s="1">
        <f t="shared" si="55"/>
        <v>0.8570370743</v>
      </c>
      <c r="G56" s="1">
        <f t="shared" si="55"/>
        <v>0</v>
      </c>
      <c r="H56" s="1">
        <f t="shared" si="55"/>
        <v>0.2388898312</v>
      </c>
      <c r="I56" s="1">
        <f t="shared" si="55"/>
        <v>0</v>
      </c>
      <c r="J56" s="1">
        <f t="shared" si="55"/>
        <v>0</v>
      </c>
      <c r="K56" s="1">
        <f t="shared" si="55"/>
        <v>0</v>
      </c>
      <c r="L56" s="1">
        <f t="shared" si="55"/>
        <v>0</v>
      </c>
      <c r="M56" s="1">
        <f t="shared" si="55"/>
        <v>0.6644628648</v>
      </c>
      <c r="N56" s="1">
        <f t="shared" si="55"/>
        <v>0.5316547222</v>
      </c>
      <c r="O56" s="1">
        <f t="shared" si="55"/>
        <v>0.693854454</v>
      </c>
      <c r="P56" s="1">
        <f t="shared" si="55"/>
        <v>0</v>
      </c>
      <c r="Q56" s="1">
        <f t="shared" si="55"/>
        <v>0</v>
      </c>
      <c r="R56" s="1">
        <f t="shared" si="55"/>
        <v>0</v>
      </c>
      <c r="S56" s="1">
        <f t="shared" si="55"/>
        <v>0</v>
      </c>
      <c r="T56" s="1">
        <f t="shared" si="55"/>
        <v>0</v>
      </c>
      <c r="U56" s="1">
        <f t="shared" si="55"/>
        <v>0</v>
      </c>
    </row>
    <row r="57">
      <c r="A57" s="3">
        <f>IFERROR(__xludf.DUMMYFUNCTION("""COMPUTED_VALUE"""),43976.0)</f>
        <v>43976</v>
      </c>
      <c r="B57" s="1">
        <f t="shared" ref="B57:U57" si="56">IF($A57&gt;0,Megyeinapi!B57/'megyelakosság'!B$2*100000," ")</f>
        <v>0</v>
      </c>
      <c r="C57" s="1">
        <f t="shared" si="56"/>
        <v>0</v>
      </c>
      <c r="D57" s="1">
        <f t="shared" si="56"/>
        <v>0</v>
      </c>
      <c r="E57" s="1">
        <f t="shared" si="56"/>
        <v>0</v>
      </c>
      <c r="F57" s="1">
        <f t="shared" si="56"/>
        <v>0.2285432198</v>
      </c>
      <c r="G57" s="1">
        <f t="shared" si="56"/>
        <v>0</v>
      </c>
      <c r="H57" s="1">
        <f t="shared" si="56"/>
        <v>0.2388898312</v>
      </c>
      <c r="I57" s="1">
        <f t="shared" si="56"/>
        <v>0</v>
      </c>
      <c r="J57" s="1">
        <f t="shared" si="56"/>
        <v>0</v>
      </c>
      <c r="K57" s="1">
        <f t="shared" si="56"/>
        <v>0</v>
      </c>
      <c r="L57" s="1">
        <f t="shared" si="56"/>
        <v>0</v>
      </c>
      <c r="M57" s="1">
        <f t="shared" si="56"/>
        <v>2.325620027</v>
      </c>
      <c r="N57" s="1">
        <f t="shared" si="56"/>
        <v>0</v>
      </c>
      <c r="O57" s="1">
        <f t="shared" si="56"/>
        <v>0.1541898787</v>
      </c>
      <c r="P57" s="1">
        <f t="shared" si="56"/>
        <v>0</v>
      </c>
      <c r="Q57" s="1">
        <f t="shared" si="56"/>
        <v>0</v>
      </c>
      <c r="R57" s="1">
        <f t="shared" si="56"/>
        <v>0</v>
      </c>
      <c r="S57" s="1">
        <f t="shared" si="56"/>
        <v>0</v>
      </c>
      <c r="T57" s="1">
        <f t="shared" si="56"/>
        <v>0.2931201763</v>
      </c>
      <c r="U57" s="1">
        <f t="shared" si="56"/>
        <v>0</v>
      </c>
    </row>
    <row r="58">
      <c r="A58" s="3">
        <f>IFERROR(__xludf.DUMMYFUNCTION("""COMPUTED_VALUE"""),43977.0)</f>
        <v>43977</v>
      </c>
      <c r="B58" s="1">
        <f t="shared" ref="B58:U58" si="57">IF($A58&gt;0,Megyeinapi!B58/'megyelakosság'!B$2*100000," ")</f>
        <v>0</v>
      </c>
      <c r="C58" s="1">
        <f t="shared" si="57"/>
        <v>0</v>
      </c>
      <c r="D58" s="1">
        <f t="shared" si="57"/>
        <v>0</v>
      </c>
      <c r="E58" s="1">
        <f t="shared" si="57"/>
        <v>0</v>
      </c>
      <c r="F58" s="1">
        <f t="shared" si="57"/>
        <v>0.2856790248</v>
      </c>
      <c r="G58" s="1">
        <f t="shared" si="57"/>
        <v>0</v>
      </c>
      <c r="H58" s="1">
        <f t="shared" si="57"/>
        <v>0</v>
      </c>
      <c r="I58" s="1">
        <f t="shared" si="57"/>
        <v>0</v>
      </c>
      <c r="J58" s="1">
        <f t="shared" si="57"/>
        <v>0</v>
      </c>
      <c r="K58" s="1">
        <f t="shared" si="57"/>
        <v>0</v>
      </c>
      <c r="L58" s="1">
        <f t="shared" si="57"/>
        <v>0</v>
      </c>
      <c r="M58" s="1">
        <f t="shared" si="57"/>
        <v>0.3322314324</v>
      </c>
      <c r="N58" s="1">
        <f t="shared" si="57"/>
        <v>1.063309444</v>
      </c>
      <c r="O58" s="1">
        <f t="shared" si="57"/>
        <v>0.3083797573</v>
      </c>
      <c r="P58" s="1">
        <f t="shared" si="57"/>
        <v>0</v>
      </c>
      <c r="Q58" s="1">
        <f t="shared" si="57"/>
        <v>0</v>
      </c>
      <c r="R58" s="1">
        <f t="shared" si="57"/>
        <v>0</v>
      </c>
      <c r="S58" s="1">
        <f t="shared" si="57"/>
        <v>0</v>
      </c>
      <c r="T58" s="1">
        <f t="shared" si="57"/>
        <v>0.2931201763</v>
      </c>
      <c r="U58" s="1">
        <f t="shared" si="57"/>
        <v>0.7483041557</v>
      </c>
    </row>
    <row r="59">
      <c r="A59" s="3">
        <f>IFERROR(__xludf.DUMMYFUNCTION("""COMPUTED_VALUE"""),43978.0)</f>
        <v>43978</v>
      </c>
      <c r="B59" s="1">
        <f t="shared" ref="B59:U59" si="58">IF($A59&gt;0,Megyeinapi!B59/'megyelakosság'!B$2*100000," ")</f>
        <v>0</v>
      </c>
      <c r="C59" s="1">
        <f t="shared" si="58"/>
        <v>0</v>
      </c>
      <c r="D59" s="1">
        <f t="shared" si="58"/>
        <v>0</v>
      </c>
      <c r="E59" s="1">
        <f t="shared" si="58"/>
        <v>0</v>
      </c>
      <c r="F59" s="1">
        <f t="shared" si="58"/>
        <v>0.9141728792</v>
      </c>
      <c r="G59" s="1">
        <f t="shared" si="58"/>
        <v>0</v>
      </c>
      <c r="H59" s="1">
        <f t="shared" si="58"/>
        <v>0.2388898312</v>
      </c>
      <c r="I59" s="1">
        <f t="shared" si="58"/>
        <v>0</v>
      </c>
      <c r="J59" s="1">
        <f t="shared" si="58"/>
        <v>0</v>
      </c>
      <c r="K59" s="1">
        <f t="shared" si="58"/>
        <v>0</v>
      </c>
      <c r="L59" s="1">
        <f t="shared" si="58"/>
        <v>0</v>
      </c>
      <c r="M59" s="1">
        <f t="shared" si="58"/>
        <v>-0.3322314324</v>
      </c>
      <c r="N59" s="1">
        <f t="shared" si="58"/>
        <v>0.5316547222</v>
      </c>
      <c r="O59" s="1">
        <f t="shared" si="58"/>
        <v>0.3083797573</v>
      </c>
      <c r="P59" s="1">
        <f t="shared" si="58"/>
        <v>0</v>
      </c>
      <c r="Q59" s="1">
        <f t="shared" si="58"/>
        <v>0.182140073</v>
      </c>
      <c r="R59" s="1">
        <f t="shared" si="58"/>
        <v>0</v>
      </c>
      <c r="S59" s="1">
        <f t="shared" si="58"/>
        <v>0</v>
      </c>
      <c r="T59" s="1">
        <f t="shared" si="58"/>
        <v>0</v>
      </c>
      <c r="U59" s="1">
        <f t="shared" si="58"/>
        <v>0</v>
      </c>
    </row>
    <row r="60">
      <c r="A60" s="3">
        <f>IFERROR(__xludf.DUMMYFUNCTION("""COMPUTED_VALUE"""),43979.0)</f>
        <v>43979</v>
      </c>
      <c r="B60" s="1">
        <f t="shared" ref="B60:U60" si="59">IF($A60&gt;0,Megyeinapi!B60/'megyelakosság'!B$2*100000," ")</f>
        <v>0</v>
      </c>
      <c r="C60" s="1">
        <f t="shared" si="59"/>
        <v>0</v>
      </c>
      <c r="D60" s="1">
        <f t="shared" si="59"/>
        <v>0</v>
      </c>
      <c r="E60" s="1">
        <f t="shared" si="59"/>
        <v>0</v>
      </c>
      <c r="F60" s="1">
        <f t="shared" si="59"/>
        <v>0.7427654644</v>
      </c>
      <c r="G60" s="1">
        <f t="shared" si="59"/>
        <v>0.2510468654</v>
      </c>
      <c r="H60" s="1">
        <f t="shared" si="59"/>
        <v>0</v>
      </c>
      <c r="I60" s="1">
        <f t="shared" si="59"/>
        <v>0</v>
      </c>
      <c r="J60" s="1">
        <f t="shared" si="59"/>
        <v>0</v>
      </c>
      <c r="K60" s="1">
        <f t="shared" si="59"/>
        <v>0</v>
      </c>
      <c r="L60" s="1">
        <f t="shared" si="59"/>
        <v>-2.452951036</v>
      </c>
      <c r="M60" s="1">
        <f t="shared" si="59"/>
        <v>2.325620027</v>
      </c>
      <c r="N60" s="1">
        <f t="shared" si="59"/>
        <v>0.5316547222</v>
      </c>
      <c r="O60" s="1">
        <f t="shared" si="59"/>
        <v>0.462569636</v>
      </c>
      <c r="P60" s="1">
        <f t="shared" si="59"/>
        <v>0.3333888981</v>
      </c>
      <c r="Q60" s="1">
        <f t="shared" si="59"/>
        <v>-0.182140073</v>
      </c>
      <c r="R60" s="1">
        <f t="shared" si="59"/>
        <v>0</v>
      </c>
      <c r="S60" s="1">
        <f t="shared" si="59"/>
        <v>0</v>
      </c>
      <c r="T60" s="1">
        <f t="shared" si="59"/>
        <v>0</v>
      </c>
      <c r="U60" s="1">
        <f t="shared" si="59"/>
        <v>1.496608311</v>
      </c>
    </row>
    <row r="61">
      <c r="A61" s="3">
        <f>IFERROR(__xludf.DUMMYFUNCTION("""COMPUTED_VALUE"""),43980.0)</f>
        <v>43980</v>
      </c>
      <c r="B61" s="1">
        <f t="shared" ref="B61:U61" si="60">IF($A61&gt;0,Megyeinapi!B61/'megyelakosság'!B$2*100000," ")</f>
        <v>0</v>
      </c>
      <c r="C61" s="1">
        <f t="shared" si="60"/>
        <v>0</v>
      </c>
      <c r="D61" s="1">
        <f t="shared" si="60"/>
        <v>0</v>
      </c>
      <c r="E61" s="1">
        <f t="shared" si="60"/>
        <v>0</v>
      </c>
      <c r="F61" s="1">
        <f t="shared" si="60"/>
        <v>0.6284938545</v>
      </c>
      <c r="G61" s="1">
        <f t="shared" si="60"/>
        <v>0</v>
      </c>
      <c r="H61" s="1">
        <f t="shared" si="60"/>
        <v>0.2388898312</v>
      </c>
      <c r="I61" s="1">
        <f t="shared" si="60"/>
        <v>0</v>
      </c>
      <c r="J61" s="1">
        <f t="shared" si="60"/>
        <v>0</v>
      </c>
      <c r="K61" s="1">
        <f t="shared" si="60"/>
        <v>0</v>
      </c>
      <c r="L61" s="1">
        <f t="shared" si="60"/>
        <v>0.2725501152</v>
      </c>
      <c r="M61" s="1">
        <f t="shared" si="60"/>
        <v>0.6644628648</v>
      </c>
      <c r="N61" s="1">
        <f t="shared" si="60"/>
        <v>0.5316547222</v>
      </c>
      <c r="O61" s="1">
        <f t="shared" si="60"/>
        <v>0.462569636</v>
      </c>
      <c r="P61" s="1">
        <f t="shared" si="60"/>
        <v>0</v>
      </c>
      <c r="Q61" s="1">
        <f t="shared" si="60"/>
        <v>0.364280146</v>
      </c>
      <c r="R61" s="1">
        <f t="shared" si="60"/>
        <v>0</v>
      </c>
      <c r="S61" s="1">
        <f t="shared" si="60"/>
        <v>0</v>
      </c>
      <c r="T61" s="1">
        <f t="shared" si="60"/>
        <v>0</v>
      </c>
      <c r="U61" s="1">
        <f t="shared" si="60"/>
        <v>0.3741520779</v>
      </c>
    </row>
    <row r="62">
      <c r="A62" s="3">
        <f>IFERROR(__xludf.DUMMYFUNCTION("""COMPUTED_VALUE"""),43981.0)</f>
        <v>43981</v>
      </c>
      <c r="B62" s="1">
        <f t="shared" ref="B62:U62" si="61">IF($A62&gt;0,Megyeinapi!B62/'megyelakosság'!B$2*100000," ")</f>
        <v>0</v>
      </c>
      <c r="C62" s="1">
        <f t="shared" si="61"/>
        <v>0</v>
      </c>
      <c r="D62" s="1">
        <f t="shared" si="61"/>
        <v>0</v>
      </c>
      <c r="E62" s="1">
        <f t="shared" si="61"/>
        <v>0</v>
      </c>
      <c r="F62" s="1">
        <f t="shared" si="61"/>
        <v>0.5142222446</v>
      </c>
      <c r="G62" s="1">
        <f t="shared" si="61"/>
        <v>0</v>
      </c>
      <c r="H62" s="1">
        <f t="shared" si="61"/>
        <v>0</v>
      </c>
      <c r="I62" s="1">
        <f t="shared" si="61"/>
        <v>0</v>
      </c>
      <c r="J62" s="1">
        <f t="shared" si="61"/>
        <v>0.1898516689</v>
      </c>
      <c r="K62" s="1">
        <f t="shared" si="61"/>
        <v>0.340807236</v>
      </c>
      <c r="L62" s="1">
        <f t="shared" si="61"/>
        <v>0</v>
      </c>
      <c r="M62" s="1">
        <f t="shared" si="61"/>
        <v>2.325620027</v>
      </c>
      <c r="N62" s="1">
        <f t="shared" si="61"/>
        <v>2.658273611</v>
      </c>
      <c r="O62" s="1">
        <f t="shared" si="61"/>
        <v>0.231284818</v>
      </c>
      <c r="P62" s="1">
        <f t="shared" si="61"/>
        <v>0</v>
      </c>
      <c r="Q62" s="1">
        <f t="shared" si="61"/>
        <v>0</v>
      </c>
      <c r="R62" s="1">
        <f t="shared" si="61"/>
        <v>0</v>
      </c>
      <c r="S62" s="1">
        <f t="shared" si="61"/>
        <v>0</v>
      </c>
      <c r="T62" s="1">
        <f t="shared" si="61"/>
        <v>0</v>
      </c>
      <c r="U62" s="1">
        <f t="shared" si="61"/>
        <v>0</v>
      </c>
    </row>
    <row r="63">
      <c r="A63" s="3">
        <f>IFERROR(__xludf.DUMMYFUNCTION("""COMPUTED_VALUE"""),43982.0)</f>
        <v>43982</v>
      </c>
      <c r="B63" s="1">
        <f t="shared" ref="B63:U63" si="62">IF($A63&gt;0,Megyeinapi!B63/'megyelakosság'!B$2*100000," ")</f>
        <v>0</v>
      </c>
      <c r="C63" s="1">
        <f t="shared" si="62"/>
        <v>0</v>
      </c>
      <c r="D63" s="1">
        <f t="shared" si="62"/>
        <v>0</v>
      </c>
      <c r="E63" s="1">
        <f t="shared" si="62"/>
        <v>0</v>
      </c>
      <c r="F63" s="1">
        <f t="shared" si="62"/>
        <v>0.1714074149</v>
      </c>
      <c r="G63" s="1">
        <f t="shared" si="62"/>
        <v>0</v>
      </c>
      <c r="H63" s="1">
        <f t="shared" si="62"/>
        <v>0.2388898312</v>
      </c>
      <c r="I63" s="1">
        <f t="shared" si="62"/>
        <v>0.2113534866</v>
      </c>
      <c r="J63" s="1">
        <f t="shared" si="62"/>
        <v>0</v>
      </c>
      <c r="K63" s="1">
        <f t="shared" si="62"/>
        <v>0</v>
      </c>
      <c r="L63" s="1">
        <f t="shared" si="62"/>
        <v>0</v>
      </c>
      <c r="M63" s="1">
        <f t="shared" si="62"/>
        <v>0</v>
      </c>
      <c r="N63" s="1">
        <f t="shared" si="62"/>
        <v>0.5316547222</v>
      </c>
      <c r="O63" s="1">
        <f t="shared" si="62"/>
        <v>0.1541898787</v>
      </c>
      <c r="P63" s="1">
        <f t="shared" si="62"/>
        <v>0</v>
      </c>
      <c r="Q63" s="1">
        <f t="shared" si="62"/>
        <v>0</v>
      </c>
      <c r="R63" s="1">
        <f t="shared" si="62"/>
        <v>0</v>
      </c>
      <c r="S63" s="1">
        <f t="shared" si="62"/>
        <v>0</v>
      </c>
      <c r="T63" s="1">
        <f t="shared" si="62"/>
        <v>0</v>
      </c>
      <c r="U63" s="1">
        <f t="shared" si="62"/>
        <v>0.3741520779</v>
      </c>
    </row>
    <row r="64">
      <c r="A64" s="3">
        <f>IFERROR(__xludf.DUMMYFUNCTION("""COMPUTED_VALUE"""),43983.0)</f>
        <v>43983</v>
      </c>
      <c r="B64" s="1">
        <f t="shared" ref="B64:U64" si="63">IF($A64&gt;0,Megyeinapi!B64/'megyelakosság'!B$2*100000," ")</f>
        <v>0</v>
      </c>
      <c r="C64" s="1">
        <f t="shared" si="63"/>
        <v>0</v>
      </c>
      <c r="D64" s="1">
        <f t="shared" si="63"/>
        <v>0</v>
      </c>
      <c r="E64" s="1">
        <f t="shared" si="63"/>
        <v>0</v>
      </c>
      <c r="F64" s="1">
        <f t="shared" si="63"/>
        <v>0.3999506347</v>
      </c>
      <c r="G64" s="1">
        <f t="shared" si="63"/>
        <v>0</v>
      </c>
      <c r="H64" s="1">
        <f t="shared" si="63"/>
        <v>0</v>
      </c>
      <c r="I64" s="1">
        <f t="shared" si="63"/>
        <v>0</v>
      </c>
      <c r="J64" s="1">
        <f t="shared" si="63"/>
        <v>0</v>
      </c>
      <c r="K64" s="1">
        <f t="shared" si="63"/>
        <v>0</v>
      </c>
      <c r="L64" s="1">
        <f t="shared" si="63"/>
        <v>0</v>
      </c>
      <c r="M64" s="1">
        <f t="shared" si="63"/>
        <v>0.9966942972</v>
      </c>
      <c r="N64" s="1">
        <f t="shared" si="63"/>
        <v>0</v>
      </c>
      <c r="O64" s="1">
        <f t="shared" si="63"/>
        <v>0.1541898787</v>
      </c>
      <c r="P64" s="1">
        <f t="shared" si="63"/>
        <v>0</v>
      </c>
      <c r="Q64" s="1">
        <f t="shared" si="63"/>
        <v>0.182140073</v>
      </c>
      <c r="R64" s="1">
        <f t="shared" si="63"/>
        <v>0</v>
      </c>
      <c r="S64" s="1">
        <f t="shared" si="63"/>
        <v>0</v>
      </c>
      <c r="T64" s="1">
        <f t="shared" si="63"/>
        <v>0.2931201763</v>
      </c>
      <c r="U64" s="1">
        <f t="shared" si="63"/>
        <v>0.7483041557</v>
      </c>
    </row>
    <row r="65">
      <c r="A65" s="3">
        <f>IFERROR(__xludf.DUMMYFUNCTION("""COMPUTED_VALUE"""),43984.0)</f>
        <v>43984</v>
      </c>
      <c r="B65" s="1">
        <f t="shared" ref="B65:U65" si="64">IF($A65&gt;0,Megyeinapi!B65/'megyelakosság'!B$2*100000," ")</f>
        <v>0</v>
      </c>
      <c r="C65" s="1">
        <f t="shared" si="64"/>
        <v>0</v>
      </c>
      <c r="D65" s="1">
        <f t="shared" si="64"/>
        <v>0</v>
      </c>
      <c r="E65" s="1">
        <f t="shared" si="64"/>
        <v>0</v>
      </c>
      <c r="F65" s="1">
        <f t="shared" si="64"/>
        <v>1.028444489</v>
      </c>
      <c r="G65" s="1">
        <f t="shared" si="64"/>
        <v>0</v>
      </c>
      <c r="H65" s="1">
        <f t="shared" si="64"/>
        <v>0</v>
      </c>
      <c r="I65" s="1">
        <f t="shared" si="64"/>
        <v>0</v>
      </c>
      <c r="J65" s="1">
        <f t="shared" si="64"/>
        <v>0</v>
      </c>
      <c r="K65" s="1">
        <f t="shared" si="64"/>
        <v>0</v>
      </c>
      <c r="L65" s="1">
        <f t="shared" si="64"/>
        <v>0</v>
      </c>
      <c r="M65" s="1">
        <f t="shared" si="64"/>
        <v>0.6644628648</v>
      </c>
      <c r="N65" s="1">
        <f t="shared" si="64"/>
        <v>0</v>
      </c>
      <c r="O65" s="1">
        <f t="shared" si="64"/>
        <v>0.693854454</v>
      </c>
      <c r="P65" s="1">
        <f t="shared" si="64"/>
        <v>0</v>
      </c>
      <c r="Q65" s="1">
        <f t="shared" si="64"/>
        <v>0</v>
      </c>
      <c r="R65" s="1">
        <f t="shared" si="64"/>
        <v>0</v>
      </c>
      <c r="S65" s="1">
        <f t="shared" si="64"/>
        <v>0</v>
      </c>
      <c r="T65" s="1">
        <f t="shared" si="64"/>
        <v>0</v>
      </c>
      <c r="U65" s="1">
        <f t="shared" si="64"/>
        <v>0</v>
      </c>
    </row>
    <row r="66">
      <c r="A66" s="3">
        <f>IFERROR(__xludf.DUMMYFUNCTION("""COMPUTED_VALUE"""),43985.0)</f>
        <v>43985</v>
      </c>
      <c r="B66" s="1">
        <f t="shared" ref="B66:U66" si="65">IF($A66&gt;0,Megyeinapi!B66/'megyelakosság'!B$2*100000," ")</f>
        <v>0</v>
      </c>
      <c r="C66" s="1">
        <f t="shared" si="65"/>
        <v>0</v>
      </c>
      <c r="D66" s="1">
        <f t="shared" si="65"/>
        <v>0</v>
      </c>
      <c r="E66" s="1">
        <f t="shared" si="65"/>
        <v>0</v>
      </c>
      <c r="F66" s="1">
        <f t="shared" si="65"/>
        <v>0.1142716099</v>
      </c>
      <c r="G66" s="1">
        <f t="shared" si="65"/>
        <v>0</v>
      </c>
      <c r="H66" s="1">
        <f t="shared" si="65"/>
        <v>0</v>
      </c>
      <c r="I66" s="1">
        <f t="shared" si="65"/>
        <v>0</v>
      </c>
      <c r="J66" s="1">
        <f t="shared" si="65"/>
        <v>0</v>
      </c>
      <c r="K66" s="1">
        <f t="shared" si="65"/>
        <v>-0.340807236</v>
      </c>
      <c r="L66" s="1">
        <f t="shared" si="65"/>
        <v>0</v>
      </c>
      <c r="M66" s="1">
        <f t="shared" si="65"/>
        <v>1.32892573</v>
      </c>
      <c r="N66" s="1">
        <f t="shared" si="65"/>
        <v>2.126618889</v>
      </c>
      <c r="O66" s="1">
        <f t="shared" si="65"/>
        <v>0</v>
      </c>
      <c r="P66" s="1">
        <f t="shared" si="65"/>
        <v>0</v>
      </c>
      <c r="Q66" s="1">
        <f t="shared" si="65"/>
        <v>0.182140073</v>
      </c>
      <c r="R66" s="1">
        <f t="shared" si="65"/>
        <v>0</v>
      </c>
      <c r="S66" s="1">
        <f t="shared" si="65"/>
        <v>0</v>
      </c>
      <c r="T66" s="1">
        <f t="shared" si="65"/>
        <v>0</v>
      </c>
      <c r="U66" s="1">
        <f t="shared" si="65"/>
        <v>0</v>
      </c>
    </row>
    <row r="67">
      <c r="A67" s="3">
        <f>IFERROR(__xludf.DUMMYFUNCTION("""COMPUTED_VALUE"""),43986.0)</f>
        <v>43986</v>
      </c>
      <c r="B67" s="1">
        <f t="shared" ref="B67:U67" si="66">IF($A67&gt;0,Megyeinapi!B67/'megyelakosság'!B$2*100000," ")</f>
        <v>0</v>
      </c>
      <c r="C67" s="1">
        <f t="shared" si="66"/>
        <v>0</v>
      </c>
      <c r="D67" s="1">
        <f t="shared" si="66"/>
        <v>0</v>
      </c>
      <c r="E67" s="1">
        <f t="shared" si="66"/>
        <v>0</v>
      </c>
      <c r="F67" s="1">
        <f t="shared" si="66"/>
        <v>0.6856296594</v>
      </c>
      <c r="G67" s="1">
        <f t="shared" si="66"/>
        <v>0</v>
      </c>
      <c r="H67" s="1">
        <f t="shared" si="66"/>
        <v>0</v>
      </c>
      <c r="I67" s="1">
        <f t="shared" si="66"/>
        <v>0</v>
      </c>
      <c r="J67" s="1">
        <f t="shared" si="66"/>
        <v>0</v>
      </c>
      <c r="K67" s="1">
        <f t="shared" si="66"/>
        <v>0.340807236</v>
      </c>
      <c r="L67" s="1">
        <f t="shared" si="66"/>
        <v>0</v>
      </c>
      <c r="M67" s="1">
        <f t="shared" si="66"/>
        <v>1.32892573</v>
      </c>
      <c r="N67" s="1">
        <f t="shared" si="66"/>
        <v>0</v>
      </c>
      <c r="O67" s="1">
        <f t="shared" si="66"/>
        <v>0.3083797573</v>
      </c>
      <c r="P67" s="1">
        <f t="shared" si="66"/>
        <v>0</v>
      </c>
      <c r="Q67" s="1">
        <f t="shared" si="66"/>
        <v>0.182140073</v>
      </c>
      <c r="R67" s="1">
        <f t="shared" si="66"/>
        <v>0</v>
      </c>
      <c r="S67" s="1">
        <f t="shared" si="66"/>
        <v>0</v>
      </c>
      <c r="T67" s="1">
        <f t="shared" si="66"/>
        <v>0</v>
      </c>
      <c r="U67" s="1">
        <f t="shared" si="66"/>
        <v>0.3741520779</v>
      </c>
    </row>
    <row r="68">
      <c r="A68" s="3">
        <f>IFERROR(__xludf.DUMMYFUNCTION("""COMPUTED_VALUE"""),43987.0)</f>
        <v>43987</v>
      </c>
      <c r="B68" s="1">
        <f t="shared" ref="B68:U68" si="67">IF($A68&gt;0,Megyeinapi!B68/'megyelakosság'!B$2*100000," ")</f>
        <v>0</v>
      </c>
      <c r="C68" s="1">
        <f t="shared" si="67"/>
        <v>0</v>
      </c>
      <c r="D68" s="1">
        <f t="shared" si="67"/>
        <v>0</v>
      </c>
      <c r="E68" s="1">
        <f t="shared" si="67"/>
        <v>0</v>
      </c>
      <c r="F68" s="1">
        <f t="shared" si="67"/>
        <v>0.3428148297</v>
      </c>
      <c r="G68" s="1">
        <f t="shared" si="67"/>
        <v>0</v>
      </c>
      <c r="H68" s="1">
        <f t="shared" si="67"/>
        <v>0</v>
      </c>
      <c r="I68" s="1">
        <f t="shared" si="67"/>
        <v>0</v>
      </c>
      <c r="J68" s="1">
        <f t="shared" si="67"/>
        <v>0</v>
      </c>
      <c r="K68" s="1">
        <f t="shared" si="67"/>
        <v>0</v>
      </c>
      <c r="L68" s="1">
        <f t="shared" si="67"/>
        <v>0</v>
      </c>
      <c r="M68" s="1">
        <f t="shared" si="67"/>
        <v>0.3322314324</v>
      </c>
      <c r="N68" s="1">
        <f t="shared" si="67"/>
        <v>0</v>
      </c>
      <c r="O68" s="1">
        <f t="shared" si="67"/>
        <v>0.6167595147</v>
      </c>
      <c r="P68" s="1">
        <f t="shared" si="67"/>
        <v>0</v>
      </c>
      <c r="Q68" s="1">
        <f t="shared" si="67"/>
        <v>0</v>
      </c>
      <c r="R68" s="1">
        <f t="shared" si="67"/>
        <v>0</v>
      </c>
      <c r="S68" s="1">
        <f t="shared" si="67"/>
        <v>0</v>
      </c>
      <c r="T68" s="1">
        <f t="shared" si="67"/>
        <v>0</v>
      </c>
      <c r="U68" s="1">
        <f t="shared" si="67"/>
        <v>0.3741520779</v>
      </c>
    </row>
    <row r="69">
      <c r="A69" s="3">
        <f>IFERROR(__xludf.DUMMYFUNCTION("""COMPUTED_VALUE"""),43988.0)</f>
        <v>43988</v>
      </c>
      <c r="B69" s="1">
        <f t="shared" ref="B69:U69" si="68">IF($A69&gt;0,Megyeinapi!B69/'megyelakosság'!B$2*100000," ")</f>
        <v>0</v>
      </c>
      <c r="C69" s="1">
        <f t="shared" si="68"/>
        <v>0.2784669836</v>
      </c>
      <c r="D69" s="1">
        <f t="shared" si="68"/>
        <v>0</v>
      </c>
      <c r="E69" s="1">
        <f t="shared" si="68"/>
        <v>0</v>
      </c>
      <c r="F69" s="1">
        <f t="shared" si="68"/>
        <v>0.6856296594</v>
      </c>
      <c r="G69" s="1">
        <f t="shared" si="68"/>
        <v>0</v>
      </c>
      <c r="H69" s="1">
        <f t="shared" si="68"/>
        <v>0.4777796624</v>
      </c>
      <c r="I69" s="1">
        <f t="shared" si="68"/>
        <v>0</v>
      </c>
      <c r="J69" s="1">
        <f t="shared" si="68"/>
        <v>0</v>
      </c>
      <c r="K69" s="1">
        <f t="shared" si="68"/>
        <v>0</v>
      </c>
      <c r="L69" s="1">
        <f t="shared" si="68"/>
        <v>-0.2725501152</v>
      </c>
      <c r="M69" s="1">
        <f t="shared" si="68"/>
        <v>1.661157162</v>
      </c>
      <c r="N69" s="1">
        <f t="shared" si="68"/>
        <v>1.594964166</v>
      </c>
      <c r="O69" s="1">
        <f t="shared" si="68"/>
        <v>0.3083797573</v>
      </c>
      <c r="P69" s="1">
        <f t="shared" si="68"/>
        <v>-2.333722287</v>
      </c>
      <c r="Q69" s="1">
        <f t="shared" si="68"/>
        <v>0</v>
      </c>
      <c r="R69" s="1">
        <f t="shared" si="68"/>
        <v>0</v>
      </c>
      <c r="S69" s="1">
        <f t="shared" si="68"/>
        <v>0</v>
      </c>
      <c r="T69" s="1">
        <f t="shared" si="68"/>
        <v>0</v>
      </c>
      <c r="U69" s="1">
        <f t="shared" si="68"/>
        <v>0.3741520779</v>
      </c>
    </row>
    <row r="70">
      <c r="A70" s="3">
        <f>IFERROR(__xludf.DUMMYFUNCTION("""COMPUTED_VALUE"""),43989.0)</f>
        <v>43989</v>
      </c>
      <c r="B70" s="1">
        <f t="shared" ref="B70:U70" si="69">IF($A70&gt;0,Megyeinapi!B70/'megyelakosság'!B$2*100000," ")</f>
        <v>0</v>
      </c>
      <c r="C70" s="1">
        <f t="shared" si="69"/>
        <v>0</v>
      </c>
      <c r="D70" s="1">
        <f t="shared" si="69"/>
        <v>0</v>
      </c>
      <c r="E70" s="1">
        <f t="shared" si="69"/>
        <v>0.1569701003</v>
      </c>
      <c r="F70" s="1">
        <f t="shared" si="69"/>
        <v>0.2856790248</v>
      </c>
      <c r="G70" s="1">
        <f t="shared" si="69"/>
        <v>0</v>
      </c>
      <c r="H70" s="1">
        <f t="shared" si="69"/>
        <v>0.2388898312</v>
      </c>
      <c r="I70" s="1">
        <f t="shared" si="69"/>
        <v>0</v>
      </c>
      <c r="J70" s="1">
        <f t="shared" si="69"/>
        <v>0</v>
      </c>
      <c r="K70" s="1">
        <f t="shared" si="69"/>
        <v>0</v>
      </c>
      <c r="L70" s="1">
        <f t="shared" si="69"/>
        <v>0</v>
      </c>
      <c r="M70" s="1">
        <f t="shared" si="69"/>
        <v>1.661157162</v>
      </c>
      <c r="N70" s="1">
        <f t="shared" si="69"/>
        <v>1.063309444</v>
      </c>
      <c r="O70" s="1">
        <f t="shared" si="69"/>
        <v>0.231284818</v>
      </c>
      <c r="P70" s="1">
        <f t="shared" si="69"/>
        <v>0</v>
      </c>
      <c r="Q70" s="1">
        <f t="shared" si="69"/>
        <v>0</v>
      </c>
      <c r="R70" s="1">
        <f t="shared" si="69"/>
        <v>0</v>
      </c>
      <c r="S70" s="1">
        <f t="shared" si="69"/>
        <v>0</v>
      </c>
      <c r="T70" s="1">
        <f t="shared" si="69"/>
        <v>0</v>
      </c>
      <c r="U70" s="1">
        <f t="shared" si="69"/>
        <v>0.3741520779</v>
      </c>
    </row>
    <row r="71">
      <c r="A71" s="3">
        <f>IFERROR(__xludf.DUMMYFUNCTION("""COMPUTED_VALUE"""),43990.0)</f>
        <v>43990</v>
      </c>
      <c r="B71" s="1">
        <f t="shared" ref="B71:U71" si="70">IF($A71&gt;0,Megyeinapi!B71/'megyelakosság'!B$2*100000," ")</f>
        <v>0</v>
      </c>
      <c r="C71" s="1">
        <f t="shared" si="70"/>
        <v>0</v>
      </c>
      <c r="D71" s="1">
        <f t="shared" si="70"/>
        <v>0</v>
      </c>
      <c r="E71" s="1">
        <f t="shared" si="70"/>
        <v>0</v>
      </c>
      <c r="F71" s="1">
        <f t="shared" si="70"/>
        <v>0.1714074149</v>
      </c>
      <c r="G71" s="1">
        <f t="shared" si="70"/>
        <v>0</v>
      </c>
      <c r="H71" s="1">
        <f t="shared" si="70"/>
        <v>0</v>
      </c>
      <c r="I71" s="1">
        <f t="shared" si="70"/>
        <v>0</v>
      </c>
      <c r="J71" s="1">
        <f t="shared" si="70"/>
        <v>0</v>
      </c>
      <c r="K71" s="1">
        <f t="shared" si="70"/>
        <v>0</v>
      </c>
      <c r="L71" s="1">
        <f t="shared" si="70"/>
        <v>0</v>
      </c>
      <c r="M71" s="1">
        <f t="shared" si="70"/>
        <v>0</v>
      </c>
      <c r="N71" s="1">
        <f t="shared" si="70"/>
        <v>0</v>
      </c>
      <c r="O71" s="1">
        <f t="shared" si="70"/>
        <v>0.1541898787</v>
      </c>
      <c r="P71" s="1">
        <f t="shared" si="70"/>
        <v>0</v>
      </c>
      <c r="Q71" s="1">
        <f t="shared" si="70"/>
        <v>0.182140073</v>
      </c>
      <c r="R71" s="1">
        <f t="shared" si="70"/>
        <v>0</v>
      </c>
      <c r="S71" s="1">
        <f t="shared" si="70"/>
        <v>0</v>
      </c>
      <c r="T71" s="1">
        <f t="shared" si="70"/>
        <v>0</v>
      </c>
      <c r="U71" s="1">
        <f t="shared" si="70"/>
        <v>0</v>
      </c>
    </row>
    <row r="72">
      <c r="A72" s="3">
        <f>IFERROR(__xludf.DUMMYFUNCTION("""COMPUTED_VALUE"""),43991.0)</f>
        <v>43991</v>
      </c>
      <c r="B72" s="1">
        <f t="shared" ref="B72:U72" si="71">IF($A72&gt;0,Megyeinapi!B72/'megyelakosság'!B$2*100000," ")</f>
        <v>0</v>
      </c>
      <c r="C72" s="1">
        <f t="shared" si="71"/>
        <v>0</v>
      </c>
      <c r="D72" s="1">
        <f t="shared" si="71"/>
        <v>0</v>
      </c>
      <c r="E72" s="1">
        <f t="shared" si="71"/>
        <v>0</v>
      </c>
      <c r="F72" s="1">
        <f t="shared" si="71"/>
        <v>0</v>
      </c>
      <c r="G72" s="1">
        <f t="shared" si="71"/>
        <v>0</v>
      </c>
      <c r="H72" s="1">
        <f t="shared" si="71"/>
        <v>0</v>
      </c>
      <c r="I72" s="1">
        <f t="shared" si="71"/>
        <v>0</v>
      </c>
      <c r="J72" s="1">
        <f t="shared" si="71"/>
        <v>0</v>
      </c>
      <c r="K72" s="1">
        <f t="shared" si="71"/>
        <v>0</v>
      </c>
      <c r="L72" s="1">
        <f t="shared" si="71"/>
        <v>0</v>
      </c>
      <c r="M72" s="1">
        <f t="shared" si="71"/>
        <v>0.6644628648</v>
      </c>
      <c r="N72" s="1">
        <f t="shared" si="71"/>
        <v>0</v>
      </c>
      <c r="O72" s="1">
        <f t="shared" si="71"/>
        <v>0.07709493933</v>
      </c>
      <c r="P72" s="1">
        <f t="shared" si="71"/>
        <v>0</v>
      </c>
      <c r="Q72" s="1">
        <f t="shared" si="71"/>
        <v>0</v>
      </c>
      <c r="R72" s="1">
        <f t="shared" si="71"/>
        <v>0</v>
      </c>
      <c r="S72" s="1">
        <f t="shared" si="71"/>
        <v>0</v>
      </c>
      <c r="T72" s="1">
        <f t="shared" si="71"/>
        <v>0</v>
      </c>
      <c r="U72" s="1">
        <f t="shared" si="71"/>
        <v>0</v>
      </c>
    </row>
    <row r="73">
      <c r="A73" s="3">
        <f>IFERROR(__xludf.DUMMYFUNCTION("""COMPUTED_VALUE"""),43992.0)</f>
        <v>43992</v>
      </c>
      <c r="B73" s="1">
        <f t="shared" ref="B73:U73" si="72">IF($A73&gt;0,Megyeinapi!B73/'megyelakosság'!B$2*100000," ")</f>
        <v>0</v>
      </c>
      <c r="C73" s="1">
        <f t="shared" si="72"/>
        <v>0.2784669836</v>
      </c>
      <c r="D73" s="1">
        <f t="shared" si="72"/>
        <v>0</v>
      </c>
      <c r="E73" s="1">
        <f t="shared" si="72"/>
        <v>0</v>
      </c>
      <c r="F73" s="1">
        <f t="shared" si="72"/>
        <v>0.2285432198</v>
      </c>
      <c r="G73" s="1">
        <f t="shared" si="72"/>
        <v>0</v>
      </c>
      <c r="H73" s="1">
        <f t="shared" si="72"/>
        <v>0</v>
      </c>
      <c r="I73" s="1">
        <f t="shared" si="72"/>
        <v>0</v>
      </c>
      <c r="J73" s="1">
        <f t="shared" si="72"/>
        <v>0.1898516689</v>
      </c>
      <c r="K73" s="1">
        <f t="shared" si="72"/>
        <v>0</v>
      </c>
      <c r="L73" s="1">
        <f t="shared" si="72"/>
        <v>0</v>
      </c>
      <c r="M73" s="1">
        <f t="shared" si="72"/>
        <v>0.6644628648</v>
      </c>
      <c r="N73" s="1">
        <f t="shared" si="72"/>
        <v>0</v>
      </c>
      <c r="O73" s="1">
        <f t="shared" si="72"/>
        <v>0.3083797573</v>
      </c>
      <c r="P73" s="1">
        <f t="shared" si="72"/>
        <v>0</v>
      </c>
      <c r="Q73" s="1">
        <f t="shared" si="72"/>
        <v>0</v>
      </c>
      <c r="R73" s="1">
        <f t="shared" si="72"/>
        <v>-1.392020936</v>
      </c>
      <c r="S73" s="1">
        <f t="shared" si="72"/>
        <v>0</v>
      </c>
      <c r="T73" s="1">
        <f t="shared" si="72"/>
        <v>0.2931201763</v>
      </c>
      <c r="U73" s="1">
        <f t="shared" si="72"/>
        <v>0</v>
      </c>
    </row>
    <row r="74">
      <c r="A74" s="3">
        <f>IFERROR(__xludf.DUMMYFUNCTION("""COMPUTED_VALUE"""),43993.0)</f>
        <v>43993</v>
      </c>
      <c r="B74" s="1">
        <f t="shared" ref="B74:U74" si="73">IF($A74&gt;0,Megyeinapi!B74/'megyelakosság'!B$2*100000," ")</f>
        <v>-0.7964637012</v>
      </c>
      <c r="C74" s="1">
        <f t="shared" si="73"/>
        <v>-0.2784669836</v>
      </c>
      <c r="D74" s="1">
        <f t="shared" si="73"/>
        <v>0</v>
      </c>
      <c r="E74" s="1">
        <f t="shared" si="73"/>
        <v>0</v>
      </c>
      <c r="F74" s="1">
        <f t="shared" si="73"/>
        <v>0.3999506347</v>
      </c>
      <c r="G74" s="1">
        <f t="shared" si="73"/>
        <v>0.2510468654</v>
      </c>
      <c r="H74" s="1">
        <f t="shared" si="73"/>
        <v>0</v>
      </c>
      <c r="I74" s="1">
        <f t="shared" si="73"/>
        <v>0</v>
      </c>
      <c r="J74" s="1">
        <f t="shared" si="73"/>
        <v>0.1898516689</v>
      </c>
      <c r="K74" s="1">
        <f t="shared" si="73"/>
        <v>0</v>
      </c>
      <c r="L74" s="1">
        <f t="shared" si="73"/>
        <v>0</v>
      </c>
      <c r="M74" s="1">
        <f t="shared" si="73"/>
        <v>0.9966942972</v>
      </c>
      <c r="N74" s="1">
        <f t="shared" si="73"/>
        <v>0</v>
      </c>
      <c r="O74" s="1">
        <f t="shared" si="73"/>
        <v>0.07709493933</v>
      </c>
      <c r="P74" s="1">
        <f t="shared" si="73"/>
        <v>0</v>
      </c>
      <c r="Q74" s="1">
        <f t="shared" si="73"/>
        <v>0.546420219</v>
      </c>
      <c r="R74" s="1">
        <f t="shared" si="73"/>
        <v>0</v>
      </c>
      <c r="S74" s="1">
        <f t="shared" si="73"/>
        <v>0</v>
      </c>
      <c r="T74" s="1">
        <f t="shared" si="73"/>
        <v>0</v>
      </c>
      <c r="U74" s="1">
        <f t="shared" si="73"/>
        <v>0.3741520779</v>
      </c>
    </row>
    <row r="75">
      <c r="A75" s="3">
        <f>IFERROR(__xludf.DUMMYFUNCTION("""COMPUTED_VALUE"""),43994.0)</f>
        <v>43994</v>
      </c>
      <c r="B75" s="1">
        <f t="shared" ref="B75:U75" si="74">IF($A75&gt;0,Megyeinapi!B75/'megyelakosság'!B$2*100000," ")</f>
        <v>0</v>
      </c>
      <c r="C75" s="1">
        <f t="shared" si="74"/>
        <v>0.5569339671</v>
      </c>
      <c r="D75" s="1">
        <f t="shared" si="74"/>
        <v>0.6050668296</v>
      </c>
      <c r="E75" s="1">
        <f t="shared" si="74"/>
        <v>0</v>
      </c>
      <c r="F75" s="1">
        <f t="shared" si="74"/>
        <v>0.2856790248</v>
      </c>
      <c r="G75" s="1">
        <f t="shared" si="74"/>
        <v>0.2510468654</v>
      </c>
      <c r="H75" s="1">
        <f t="shared" si="74"/>
        <v>0.2388898312</v>
      </c>
      <c r="I75" s="1">
        <f t="shared" si="74"/>
        <v>0</v>
      </c>
      <c r="J75" s="1">
        <f t="shared" si="74"/>
        <v>0</v>
      </c>
      <c r="K75" s="1">
        <f t="shared" si="74"/>
        <v>0</v>
      </c>
      <c r="L75" s="1">
        <f t="shared" si="74"/>
        <v>0</v>
      </c>
      <c r="M75" s="1">
        <f t="shared" si="74"/>
        <v>1.661157162</v>
      </c>
      <c r="N75" s="1">
        <f t="shared" si="74"/>
        <v>-1.594964166</v>
      </c>
      <c r="O75" s="1">
        <f t="shared" si="74"/>
        <v>0.1541898787</v>
      </c>
      <c r="P75" s="1">
        <f t="shared" si="74"/>
        <v>0</v>
      </c>
      <c r="Q75" s="1">
        <f t="shared" si="74"/>
        <v>0</v>
      </c>
      <c r="R75" s="1">
        <f t="shared" si="74"/>
        <v>0</v>
      </c>
      <c r="S75" s="1">
        <f t="shared" si="74"/>
        <v>0</v>
      </c>
      <c r="T75" s="1">
        <f t="shared" si="74"/>
        <v>-0.2931201763</v>
      </c>
      <c r="U75" s="1">
        <f t="shared" si="74"/>
        <v>0</v>
      </c>
    </row>
    <row r="76">
      <c r="A76" s="3">
        <f>IFERROR(__xludf.DUMMYFUNCTION("""COMPUTED_VALUE"""),43995.0)</f>
        <v>43995</v>
      </c>
      <c r="B76" s="1">
        <f t="shared" ref="B76:U76" si="75">IF($A76&gt;0,Megyeinapi!B76/'megyelakosság'!B$2*100000," ")</f>
        <v>0</v>
      </c>
      <c r="C76" s="1">
        <f t="shared" si="75"/>
        <v>0</v>
      </c>
      <c r="D76" s="1">
        <f t="shared" si="75"/>
        <v>0</v>
      </c>
      <c r="E76" s="1">
        <f t="shared" si="75"/>
        <v>0</v>
      </c>
      <c r="F76" s="1">
        <f t="shared" si="75"/>
        <v>0.2856790248</v>
      </c>
      <c r="G76" s="1">
        <f t="shared" si="75"/>
        <v>0.2510468654</v>
      </c>
      <c r="H76" s="1">
        <f t="shared" si="75"/>
        <v>0.2388898312</v>
      </c>
      <c r="I76" s="1">
        <f t="shared" si="75"/>
        <v>0.2113534866</v>
      </c>
      <c r="J76" s="1">
        <f t="shared" si="75"/>
        <v>0</v>
      </c>
      <c r="K76" s="1">
        <f t="shared" si="75"/>
        <v>0</v>
      </c>
      <c r="L76" s="1">
        <f t="shared" si="75"/>
        <v>0</v>
      </c>
      <c r="M76" s="1">
        <f t="shared" si="75"/>
        <v>0.9966942972</v>
      </c>
      <c r="N76" s="1">
        <f t="shared" si="75"/>
        <v>1.063309444</v>
      </c>
      <c r="O76" s="1">
        <f t="shared" si="75"/>
        <v>0.07709493933</v>
      </c>
      <c r="P76" s="1">
        <f t="shared" si="75"/>
        <v>0</v>
      </c>
      <c r="Q76" s="1">
        <f t="shared" si="75"/>
        <v>0</v>
      </c>
      <c r="R76" s="1">
        <f t="shared" si="75"/>
        <v>-0.4640069787</v>
      </c>
      <c r="S76" s="1">
        <f t="shared" si="75"/>
        <v>0</v>
      </c>
      <c r="T76" s="1">
        <f t="shared" si="75"/>
        <v>-0.879360529</v>
      </c>
      <c r="U76" s="1">
        <f t="shared" si="75"/>
        <v>0.3741520779</v>
      </c>
    </row>
    <row r="77">
      <c r="A77" s="3">
        <f>IFERROR(__xludf.DUMMYFUNCTION("""COMPUTED_VALUE"""),43996.0)</f>
        <v>43996</v>
      </c>
      <c r="B77" s="1">
        <f t="shared" ref="B77:U77" si="76">IF($A77&gt;0,Megyeinapi!B77/'megyelakosság'!B$2*100000," ")</f>
        <v>0</v>
      </c>
      <c r="C77" s="1">
        <f t="shared" si="76"/>
        <v>0</v>
      </c>
      <c r="D77" s="1">
        <f t="shared" si="76"/>
        <v>0</v>
      </c>
      <c r="E77" s="1">
        <f t="shared" si="76"/>
        <v>0</v>
      </c>
      <c r="F77" s="1">
        <f t="shared" si="76"/>
        <v>0.1714074149</v>
      </c>
      <c r="G77" s="1">
        <f t="shared" si="76"/>
        <v>0</v>
      </c>
      <c r="H77" s="1">
        <f t="shared" si="76"/>
        <v>0</v>
      </c>
      <c r="I77" s="1">
        <f t="shared" si="76"/>
        <v>0</v>
      </c>
      <c r="J77" s="1">
        <f t="shared" si="76"/>
        <v>0</v>
      </c>
      <c r="K77" s="1">
        <f t="shared" si="76"/>
        <v>0</v>
      </c>
      <c r="L77" s="1">
        <f t="shared" si="76"/>
        <v>0</v>
      </c>
      <c r="M77" s="1">
        <f t="shared" si="76"/>
        <v>0</v>
      </c>
      <c r="N77" s="1">
        <f t="shared" si="76"/>
        <v>0</v>
      </c>
      <c r="O77" s="1">
        <f t="shared" si="76"/>
        <v>0.1541898787</v>
      </c>
      <c r="P77" s="1">
        <f t="shared" si="76"/>
        <v>0</v>
      </c>
      <c r="Q77" s="1">
        <f t="shared" si="76"/>
        <v>0</v>
      </c>
      <c r="R77" s="1">
        <f t="shared" si="76"/>
        <v>0</v>
      </c>
      <c r="S77" s="1">
        <f t="shared" si="76"/>
        <v>0</v>
      </c>
      <c r="T77" s="1">
        <f t="shared" si="76"/>
        <v>0</v>
      </c>
      <c r="U77" s="1">
        <f t="shared" si="76"/>
        <v>0</v>
      </c>
    </row>
    <row r="78">
      <c r="A78" s="3">
        <f>IFERROR(__xludf.DUMMYFUNCTION("""COMPUTED_VALUE"""),43997.0)</f>
        <v>43997</v>
      </c>
      <c r="B78" s="1">
        <f t="shared" ref="B78:U78" si="77">IF($A78&gt;0,Megyeinapi!B78/'megyelakosság'!B$2*100000," ")</f>
        <v>0.1991159253</v>
      </c>
      <c r="C78" s="1">
        <f t="shared" si="77"/>
        <v>0</v>
      </c>
      <c r="D78" s="1">
        <f t="shared" si="77"/>
        <v>0</v>
      </c>
      <c r="E78" s="1">
        <f t="shared" si="77"/>
        <v>0</v>
      </c>
      <c r="F78" s="1">
        <f t="shared" si="77"/>
        <v>0.1142716099</v>
      </c>
      <c r="G78" s="1">
        <f t="shared" si="77"/>
        <v>0</v>
      </c>
      <c r="H78" s="1">
        <f t="shared" si="77"/>
        <v>0</v>
      </c>
      <c r="I78" s="1">
        <f t="shared" si="77"/>
        <v>0</v>
      </c>
      <c r="J78" s="1">
        <f t="shared" si="77"/>
        <v>0</v>
      </c>
      <c r="K78" s="1">
        <f t="shared" si="77"/>
        <v>0</v>
      </c>
      <c r="L78" s="1">
        <f t="shared" si="77"/>
        <v>0</v>
      </c>
      <c r="M78" s="1">
        <f t="shared" si="77"/>
        <v>0.6644628648</v>
      </c>
      <c r="N78" s="1">
        <f t="shared" si="77"/>
        <v>0</v>
      </c>
      <c r="O78" s="1">
        <f t="shared" si="77"/>
        <v>0.1541898787</v>
      </c>
      <c r="P78" s="1">
        <f t="shared" si="77"/>
        <v>0</v>
      </c>
      <c r="Q78" s="1">
        <f t="shared" si="77"/>
        <v>0</v>
      </c>
      <c r="R78" s="1">
        <f t="shared" si="77"/>
        <v>0</v>
      </c>
      <c r="S78" s="1">
        <f t="shared" si="77"/>
        <v>0</v>
      </c>
      <c r="T78" s="1">
        <f t="shared" si="77"/>
        <v>0</v>
      </c>
      <c r="U78" s="1">
        <f t="shared" si="77"/>
        <v>0</v>
      </c>
    </row>
    <row r="79">
      <c r="A79" s="3">
        <f>IFERROR(__xludf.DUMMYFUNCTION("""COMPUTED_VALUE"""),43998.0)</f>
        <v>43998</v>
      </c>
      <c r="B79" s="1">
        <f t="shared" ref="B79:U79" si="78">IF($A79&gt;0,Megyeinapi!B79/'megyelakosság'!B$2*100000," ")</f>
        <v>0</v>
      </c>
      <c r="C79" s="1">
        <f t="shared" si="78"/>
        <v>0</v>
      </c>
      <c r="D79" s="1">
        <f t="shared" si="78"/>
        <v>0</v>
      </c>
      <c r="E79" s="1">
        <f t="shared" si="78"/>
        <v>0</v>
      </c>
      <c r="F79" s="1">
        <f t="shared" si="78"/>
        <v>0</v>
      </c>
      <c r="G79" s="1">
        <f t="shared" si="78"/>
        <v>0</v>
      </c>
      <c r="H79" s="1">
        <f t="shared" si="78"/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0</v>
      </c>
      <c r="O79" s="1">
        <f t="shared" si="78"/>
        <v>0</v>
      </c>
      <c r="P79" s="1">
        <f t="shared" si="78"/>
        <v>0</v>
      </c>
      <c r="Q79" s="1">
        <f t="shared" si="78"/>
        <v>0</v>
      </c>
      <c r="R79" s="1">
        <f t="shared" si="78"/>
        <v>0</v>
      </c>
      <c r="S79" s="1">
        <f t="shared" si="78"/>
        <v>0</v>
      </c>
      <c r="T79" s="1">
        <f t="shared" si="78"/>
        <v>0</v>
      </c>
      <c r="U79" s="1">
        <f t="shared" si="78"/>
        <v>0</v>
      </c>
    </row>
    <row r="80">
      <c r="A80" s="3">
        <f>IFERROR(__xludf.DUMMYFUNCTION("""COMPUTED_VALUE"""),43999.0)</f>
        <v>43999</v>
      </c>
      <c r="B80" s="1">
        <f t="shared" ref="B80:U80" si="79">IF($A80&gt;0,Megyeinapi!B80/'megyelakosság'!B$2*100000," ")</f>
        <v>-0.1991159253</v>
      </c>
      <c r="C80" s="1">
        <f t="shared" si="79"/>
        <v>0</v>
      </c>
      <c r="D80" s="1">
        <f t="shared" si="79"/>
        <v>0</v>
      </c>
      <c r="E80" s="1">
        <f t="shared" si="79"/>
        <v>0</v>
      </c>
      <c r="F80" s="1">
        <f t="shared" si="79"/>
        <v>0</v>
      </c>
      <c r="G80" s="1">
        <f t="shared" si="79"/>
        <v>0</v>
      </c>
      <c r="H80" s="1">
        <f t="shared" si="79"/>
        <v>0</v>
      </c>
      <c r="I80" s="1">
        <f t="shared" si="79"/>
        <v>0</v>
      </c>
      <c r="J80" s="1">
        <f t="shared" si="79"/>
        <v>0</v>
      </c>
      <c r="K80" s="1">
        <f t="shared" si="79"/>
        <v>0</v>
      </c>
      <c r="L80" s="1">
        <f t="shared" si="79"/>
        <v>0.2725501152</v>
      </c>
      <c r="M80" s="1">
        <f t="shared" si="79"/>
        <v>0.3322314324</v>
      </c>
      <c r="N80" s="1">
        <f t="shared" si="79"/>
        <v>0</v>
      </c>
      <c r="O80" s="1">
        <f t="shared" si="79"/>
        <v>0</v>
      </c>
      <c r="P80" s="1">
        <f t="shared" si="79"/>
        <v>0</v>
      </c>
      <c r="Q80" s="1">
        <f t="shared" si="79"/>
        <v>0.182140073</v>
      </c>
      <c r="R80" s="1">
        <f t="shared" si="79"/>
        <v>0</v>
      </c>
      <c r="S80" s="1">
        <f t="shared" si="79"/>
        <v>0</v>
      </c>
      <c r="T80" s="1">
        <f t="shared" si="79"/>
        <v>0</v>
      </c>
      <c r="U80" s="1">
        <f t="shared" si="79"/>
        <v>0</v>
      </c>
    </row>
    <row r="81">
      <c r="A81" s="3">
        <f>IFERROR(__xludf.DUMMYFUNCTION("""COMPUTED_VALUE"""),44000.0)</f>
        <v>44000</v>
      </c>
      <c r="B81" s="1">
        <f t="shared" ref="B81:U81" si="80">IF($A81&gt;0,Megyeinapi!B81/'megyelakosság'!B$2*100000," ")</f>
        <v>0</v>
      </c>
      <c r="C81" s="1">
        <f t="shared" si="80"/>
        <v>0</v>
      </c>
      <c r="D81" s="1">
        <f t="shared" si="80"/>
        <v>0</v>
      </c>
      <c r="E81" s="1">
        <f t="shared" si="80"/>
        <v>0</v>
      </c>
      <c r="F81" s="1">
        <f t="shared" si="80"/>
        <v>0.1142716099</v>
      </c>
      <c r="G81" s="1">
        <f t="shared" si="80"/>
        <v>-0.2510468654</v>
      </c>
      <c r="H81" s="1">
        <f t="shared" si="80"/>
        <v>0</v>
      </c>
      <c r="I81" s="1">
        <f t="shared" si="80"/>
        <v>0</v>
      </c>
      <c r="J81" s="1">
        <f t="shared" si="80"/>
        <v>0</v>
      </c>
      <c r="K81" s="1">
        <f t="shared" si="80"/>
        <v>0</v>
      </c>
      <c r="L81" s="1">
        <f t="shared" si="80"/>
        <v>0</v>
      </c>
      <c r="M81" s="1">
        <f t="shared" si="80"/>
        <v>0</v>
      </c>
      <c r="N81" s="1">
        <f t="shared" si="80"/>
        <v>0</v>
      </c>
      <c r="O81" s="1">
        <f t="shared" si="80"/>
        <v>0</v>
      </c>
      <c r="P81" s="1">
        <f t="shared" si="80"/>
        <v>0</v>
      </c>
      <c r="Q81" s="1">
        <f t="shared" si="80"/>
        <v>0</v>
      </c>
      <c r="R81" s="1">
        <f t="shared" si="80"/>
        <v>0</v>
      </c>
      <c r="S81" s="1">
        <f t="shared" si="80"/>
        <v>0</v>
      </c>
      <c r="T81" s="1">
        <f t="shared" si="80"/>
        <v>0</v>
      </c>
      <c r="U81" s="1">
        <f t="shared" si="80"/>
        <v>0</v>
      </c>
    </row>
    <row r="82">
      <c r="A82" s="3">
        <f>IFERROR(__xludf.DUMMYFUNCTION("""COMPUTED_VALUE"""),44001.0)</f>
        <v>44001</v>
      </c>
      <c r="B82" s="1">
        <f t="shared" ref="B82:U82" si="81">IF($A82&gt;0,Megyeinapi!B82/'megyelakosság'!B$2*100000," ")</f>
        <v>0</v>
      </c>
      <c r="C82" s="1">
        <f t="shared" si="81"/>
        <v>0</v>
      </c>
      <c r="D82" s="1">
        <f t="shared" si="81"/>
        <v>0</v>
      </c>
      <c r="E82" s="1">
        <f t="shared" si="81"/>
        <v>0</v>
      </c>
      <c r="F82" s="1">
        <f t="shared" si="81"/>
        <v>0.05713580495</v>
      </c>
      <c r="G82" s="1">
        <f t="shared" si="81"/>
        <v>0</v>
      </c>
      <c r="H82" s="1">
        <f t="shared" si="81"/>
        <v>0</v>
      </c>
      <c r="I82" s="1">
        <f t="shared" si="81"/>
        <v>0</v>
      </c>
      <c r="J82" s="1">
        <f t="shared" si="81"/>
        <v>0</v>
      </c>
      <c r="K82" s="1">
        <f t="shared" si="81"/>
        <v>0</v>
      </c>
      <c r="L82" s="1">
        <f t="shared" si="81"/>
        <v>0</v>
      </c>
      <c r="M82" s="1">
        <f t="shared" si="81"/>
        <v>0</v>
      </c>
      <c r="N82" s="1">
        <f t="shared" si="81"/>
        <v>0</v>
      </c>
      <c r="O82" s="1">
        <f t="shared" si="81"/>
        <v>0.07709493933</v>
      </c>
      <c r="P82" s="1">
        <f t="shared" si="81"/>
        <v>0</v>
      </c>
      <c r="Q82" s="1">
        <f t="shared" si="81"/>
        <v>0</v>
      </c>
      <c r="R82" s="1">
        <f t="shared" si="81"/>
        <v>0</v>
      </c>
      <c r="S82" s="1">
        <f t="shared" si="81"/>
        <v>0</v>
      </c>
      <c r="T82" s="1">
        <f t="shared" si="81"/>
        <v>0</v>
      </c>
      <c r="U82" s="1">
        <f t="shared" si="81"/>
        <v>0</v>
      </c>
    </row>
    <row r="83">
      <c r="A83" s="3">
        <f>IFERROR(__xludf.DUMMYFUNCTION("""COMPUTED_VALUE"""),44002.0)</f>
        <v>44002</v>
      </c>
      <c r="B83" s="1">
        <f t="shared" ref="B83:U83" si="82">IF($A83&gt;0,Megyeinapi!B83/'megyelakosság'!B$2*100000," ")</f>
        <v>0</v>
      </c>
      <c r="C83" s="1">
        <f t="shared" si="82"/>
        <v>0</v>
      </c>
      <c r="D83" s="1">
        <f t="shared" si="82"/>
        <v>0</v>
      </c>
      <c r="E83" s="1">
        <f t="shared" si="82"/>
        <v>0</v>
      </c>
      <c r="F83" s="1">
        <f t="shared" si="82"/>
        <v>0.2285432198</v>
      </c>
      <c r="G83" s="1">
        <f t="shared" si="82"/>
        <v>0</v>
      </c>
      <c r="H83" s="1">
        <f t="shared" si="82"/>
        <v>0</v>
      </c>
      <c r="I83" s="1">
        <f t="shared" si="82"/>
        <v>0</v>
      </c>
      <c r="J83" s="1">
        <f t="shared" si="82"/>
        <v>0</v>
      </c>
      <c r="K83" s="1">
        <f t="shared" si="82"/>
        <v>0</v>
      </c>
      <c r="L83" s="1">
        <f t="shared" si="82"/>
        <v>0</v>
      </c>
      <c r="M83" s="1">
        <f t="shared" si="82"/>
        <v>0</v>
      </c>
      <c r="N83" s="1">
        <f t="shared" si="82"/>
        <v>0</v>
      </c>
      <c r="O83" s="1">
        <f t="shared" si="82"/>
        <v>0.1541898787</v>
      </c>
      <c r="P83" s="1">
        <f t="shared" si="82"/>
        <v>0</v>
      </c>
      <c r="Q83" s="1">
        <f t="shared" si="82"/>
        <v>0</v>
      </c>
      <c r="R83" s="1">
        <f t="shared" si="82"/>
        <v>0</v>
      </c>
      <c r="S83" s="1">
        <f t="shared" si="82"/>
        <v>0</v>
      </c>
      <c r="T83" s="1">
        <f t="shared" si="82"/>
        <v>0</v>
      </c>
      <c r="U83" s="1">
        <f t="shared" si="82"/>
        <v>-0.3741520779</v>
      </c>
    </row>
    <row r="84">
      <c r="A84" s="3">
        <f>IFERROR(__xludf.DUMMYFUNCTION("""COMPUTED_VALUE"""),44003.0)</f>
        <v>44003</v>
      </c>
      <c r="B84" s="1">
        <f t="shared" ref="B84:U84" si="83">IF($A84&gt;0,Megyeinapi!B84/'megyelakosság'!B$2*100000," ")</f>
        <v>0</v>
      </c>
      <c r="C84" s="1">
        <f t="shared" si="83"/>
        <v>0</v>
      </c>
      <c r="D84" s="1">
        <f t="shared" si="83"/>
        <v>0</v>
      </c>
      <c r="E84" s="1">
        <f t="shared" si="83"/>
        <v>0</v>
      </c>
      <c r="F84" s="1">
        <f t="shared" si="83"/>
        <v>0.2285432198</v>
      </c>
      <c r="G84" s="1">
        <f t="shared" si="83"/>
        <v>0</v>
      </c>
      <c r="H84" s="1">
        <f t="shared" si="83"/>
        <v>0</v>
      </c>
      <c r="I84" s="1">
        <f t="shared" si="83"/>
        <v>0</v>
      </c>
      <c r="J84" s="1">
        <f t="shared" si="83"/>
        <v>0</v>
      </c>
      <c r="K84" s="1">
        <f t="shared" si="83"/>
        <v>0</v>
      </c>
      <c r="L84" s="1">
        <f t="shared" si="83"/>
        <v>0</v>
      </c>
      <c r="M84" s="1">
        <f t="shared" si="83"/>
        <v>0</v>
      </c>
      <c r="N84" s="1">
        <f t="shared" si="83"/>
        <v>0</v>
      </c>
      <c r="O84" s="1">
        <f t="shared" si="83"/>
        <v>0.3083797573</v>
      </c>
      <c r="P84" s="1">
        <f t="shared" si="83"/>
        <v>0</v>
      </c>
      <c r="Q84" s="1">
        <f t="shared" si="83"/>
        <v>0</v>
      </c>
      <c r="R84" s="1">
        <f t="shared" si="83"/>
        <v>0</v>
      </c>
      <c r="S84" s="1">
        <f t="shared" si="83"/>
        <v>0</v>
      </c>
      <c r="T84" s="1">
        <f t="shared" si="83"/>
        <v>0</v>
      </c>
      <c r="U84" s="1">
        <f t="shared" si="83"/>
        <v>0</v>
      </c>
    </row>
    <row r="85">
      <c r="A85" s="3">
        <f>IFERROR(__xludf.DUMMYFUNCTION("""COMPUTED_VALUE"""),44004.0)</f>
        <v>44004</v>
      </c>
      <c r="B85" s="1">
        <f t="shared" ref="B85:U85" si="84">IF($A85&gt;0,Megyeinapi!B85/'megyelakosság'!B$2*100000," ")</f>
        <v>0</v>
      </c>
      <c r="C85" s="1">
        <f t="shared" si="84"/>
        <v>0</v>
      </c>
      <c r="D85" s="1">
        <f t="shared" si="84"/>
        <v>0</v>
      </c>
      <c r="E85" s="1">
        <f t="shared" si="84"/>
        <v>0</v>
      </c>
      <c r="F85" s="1">
        <f t="shared" si="84"/>
        <v>0.1714074149</v>
      </c>
      <c r="G85" s="1">
        <f t="shared" si="84"/>
        <v>0</v>
      </c>
      <c r="H85" s="1">
        <f t="shared" si="84"/>
        <v>0</v>
      </c>
      <c r="I85" s="1">
        <f t="shared" si="84"/>
        <v>0</v>
      </c>
      <c r="J85" s="1">
        <f t="shared" si="84"/>
        <v>0</v>
      </c>
      <c r="K85" s="1">
        <f t="shared" si="84"/>
        <v>0</v>
      </c>
      <c r="L85" s="1">
        <f t="shared" si="84"/>
        <v>0.2725501152</v>
      </c>
      <c r="M85" s="1">
        <f t="shared" si="84"/>
        <v>0.3322314324</v>
      </c>
      <c r="N85" s="1">
        <f t="shared" si="84"/>
        <v>0</v>
      </c>
      <c r="O85" s="1">
        <f t="shared" si="84"/>
        <v>0.07709493933</v>
      </c>
      <c r="P85" s="1">
        <f t="shared" si="84"/>
        <v>0</v>
      </c>
      <c r="Q85" s="1">
        <f t="shared" si="84"/>
        <v>0.364280146</v>
      </c>
      <c r="R85" s="1">
        <f t="shared" si="84"/>
        <v>0</v>
      </c>
      <c r="S85" s="1">
        <f t="shared" si="84"/>
        <v>0</v>
      </c>
      <c r="T85" s="1">
        <f t="shared" si="84"/>
        <v>0</v>
      </c>
      <c r="U85" s="1">
        <f t="shared" si="84"/>
        <v>0</v>
      </c>
    </row>
    <row r="86">
      <c r="A86" s="3">
        <f>IFERROR(__xludf.DUMMYFUNCTION("""COMPUTED_VALUE"""),44005.0)</f>
        <v>44005</v>
      </c>
      <c r="B86" s="1">
        <f t="shared" ref="B86:U86" si="85">IF($A86&gt;0,Megyeinapi!B86/'megyelakosság'!B$2*100000," ")</f>
        <v>0</v>
      </c>
      <c r="C86" s="1">
        <f t="shared" si="85"/>
        <v>0</v>
      </c>
      <c r="D86" s="1">
        <f t="shared" si="85"/>
        <v>0</v>
      </c>
      <c r="E86" s="1">
        <f t="shared" si="85"/>
        <v>0</v>
      </c>
      <c r="F86" s="1">
        <f t="shared" si="85"/>
        <v>0.1142716099</v>
      </c>
      <c r="G86" s="1">
        <f t="shared" si="85"/>
        <v>0</v>
      </c>
      <c r="H86" s="1">
        <f t="shared" si="85"/>
        <v>0</v>
      </c>
      <c r="I86" s="1">
        <f t="shared" si="85"/>
        <v>0</v>
      </c>
      <c r="J86" s="1">
        <f t="shared" si="85"/>
        <v>0</v>
      </c>
      <c r="K86" s="1">
        <f t="shared" si="85"/>
        <v>0</v>
      </c>
      <c r="L86" s="1">
        <f t="shared" si="85"/>
        <v>0</v>
      </c>
      <c r="M86" s="1">
        <f t="shared" si="85"/>
        <v>0</v>
      </c>
      <c r="N86" s="1">
        <f t="shared" si="85"/>
        <v>0</v>
      </c>
      <c r="O86" s="1">
        <f t="shared" si="85"/>
        <v>0.231284818</v>
      </c>
      <c r="P86" s="1">
        <f t="shared" si="85"/>
        <v>0</v>
      </c>
      <c r="Q86" s="1">
        <f t="shared" si="85"/>
        <v>0</v>
      </c>
      <c r="R86" s="1">
        <f t="shared" si="85"/>
        <v>0</v>
      </c>
      <c r="S86" s="1">
        <f t="shared" si="85"/>
        <v>0</v>
      </c>
      <c r="T86" s="1">
        <f t="shared" si="85"/>
        <v>0</v>
      </c>
      <c r="U86" s="1">
        <f t="shared" si="85"/>
        <v>0</v>
      </c>
    </row>
    <row r="87">
      <c r="A87" s="3">
        <f>IFERROR(__xludf.DUMMYFUNCTION("""COMPUTED_VALUE"""),44006.0)</f>
        <v>44006</v>
      </c>
      <c r="B87" s="1">
        <f t="shared" ref="B87:U87" si="86">IF($A87&gt;0,Megyeinapi!B87/'megyelakosság'!B$2*100000," ")</f>
        <v>0</v>
      </c>
      <c r="C87" s="1">
        <f t="shared" si="86"/>
        <v>0.2784669836</v>
      </c>
      <c r="D87" s="1">
        <f t="shared" si="86"/>
        <v>0</v>
      </c>
      <c r="E87" s="1">
        <f t="shared" si="86"/>
        <v>0</v>
      </c>
      <c r="F87" s="1">
        <f t="shared" si="86"/>
        <v>0.2285432198</v>
      </c>
      <c r="G87" s="1">
        <f t="shared" si="86"/>
        <v>0</v>
      </c>
      <c r="H87" s="1">
        <f t="shared" si="86"/>
        <v>0</v>
      </c>
      <c r="I87" s="1">
        <f t="shared" si="86"/>
        <v>0</v>
      </c>
      <c r="J87" s="1">
        <f t="shared" si="86"/>
        <v>0</v>
      </c>
      <c r="K87" s="1">
        <f t="shared" si="86"/>
        <v>0</v>
      </c>
      <c r="L87" s="1">
        <f t="shared" si="86"/>
        <v>0</v>
      </c>
      <c r="M87" s="1">
        <f t="shared" si="86"/>
        <v>0</v>
      </c>
      <c r="N87" s="1">
        <f t="shared" si="86"/>
        <v>0</v>
      </c>
      <c r="O87" s="1">
        <f t="shared" si="86"/>
        <v>0.07709493933</v>
      </c>
      <c r="P87" s="1">
        <f t="shared" si="86"/>
        <v>0</v>
      </c>
      <c r="Q87" s="1">
        <f t="shared" si="86"/>
        <v>0</v>
      </c>
      <c r="R87" s="1">
        <f t="shared" si="86"/>
        <v>0</v>
      </c>
      <c r="S87" s="1">
        <f t="shared" si="86"/>
        <v>0</v>
      </c>
      <c r="T87" s="1">
        <f t="shared" si="86"/>
        <v>0</v>
      </c>
      <c r="U87" s="1">
        <f t="shared" si="86"/>
        <v>0.3741520779</v>
      </c>
    </row>
    <row r="88">
      <c r="A88" s="3">
        <f>IFERROR(__xludf.DUMMYFUNCTION("""COMPUTED_VALUE"""),44007.0)</f>
        <v>44007</v>
      </c>
      <c r="B88" s="1">
        <f t="shared" ref="B88:U88" si="87">IF($A88&gt;0,Megyeinapi!B88/'megyelakosság'!B$2*100000," ")</f>
        <v>0</v>
      </c>
      <c r="C88" s="1">
        <f t="shared" si="87"/>
        <v>0</v>
      </c>
      <c r="D88" s="1">
        <f t="shared" si="87"/>
        <v>0</v>
      </c>
      <c r="E88" s="1">
        <f t="shared" si="87"/>
        <v>0</v>
      </c>
      <c r="F88" s="1">
        <f t="shared" si="87"/>
        <v>0.2856790248</v>
      </c>
      <c r="G88" s="1">
        <f t="shared" si="87"/>
        <v>-1.255234327</v>
      </c>
      <c r="H88" s="1">
        <f t="shared" si="87"/>
        <v>0</v>
      </c>
      <c r="I88" s="1">
        <f t="shared" si="87"/>
        <v>0</v>
      </c>
      <c r="J88" s="1">
        <f t="shared" si="87"/>
        <v>0</v>
      </c>
      <c r="K88" s="1">
        <f t="shared" si="87"/>
        <v>0</v>
      </c>
      <c r="L88" s="1">
        <f t="shared" si="87"/>
        <v>0</v>
      </c>
      <c r="M88" s="1">
        <f t="shared" si="87"/>
        <v>0.9966942972</v>
      </c>
      <c r="N88" s="1">
        <f t="shared" si="87"/>
        <v>0</v>
      </c>
      <c r="O88" s="1">
        <f t="shared" si="87"/>
        <v>0.462569636</v>
      </c>
      <c r="P88" s="1">
        <f t="shared" si="87"/>
        <v>0</v>
      </c>
      <c r="Q88" s="1">
        <f t="shared" si="87"/>
        <v>0</v>
      </c>
      <c r="R88" s="1">
        <f t="shared" si="87"/>
        <v>0</v>
      </c>
      <c r="S88" s="1">
        <f t="shared" si="87"/>
        <v>0</v>
      </c>
      <c r="T88" s="1">
        <f t="shared" si="87"/>
        <v>0</v>
      </c>
      <c r="U88" s="1">
        <f t="shared" si="87"/>
        <v>0</v>
      </c>
    </row>
    <row r="89">
      <c r="A89" s="3">
        <f>IFERROR(__xludf.DUMMYFUNCTION("""COMPUTED_VALUE"""),44008.0)</f>
        <v>44008</v>
      </c>
      <c r="B89" s="1">
        <f t="shared" ref="B89:U89" si="88">IF($A89&gt;0,Megyeinapi!B89/'megyelakosság'!B$2*100000," ")</f>
        <v>0</v>
      </c>
      <c r="C89" s="1">
        <f t="shared" si="88"/>
        <v>0</v>
      </c>
      <c r="D89" s="1">
        <f t="shared" si="88"/>
        <v>0</v>
      </c>
      <c r="E89" s="1">
        <f t="shared" si="88"/>
        <v>0</v>
      </c>
      <c r="F89" s="1">
        <f t="shared" si="88"/>
        <v>0.1142716099</v>
      </c>
      <c r="G89" s="1">
        <f t="shared" si="88"/>
        <v>0</v>
      </c>
      <c r="H89" s="1">
        <f t="shared" si="88"/>
        <v>0</v>
      </c>
      <c r="I89" s="1">
        <f t="shared" si="88"/>
        <v>0</v>
      </c>
      <c r="J89" s="1">
        <f t="shared" si="88"/>
        <v>0</v>
      </c>
      <c r="K89" s="1">
        <f t="shared" si="88"/>
        <v>0</v>
      </c>
      <c r="L89" s="1">
        <f t="shared" si="88"/>
        <v>0</v>
      </c>
      <c r="M89" s="1">
        <f t="shared" si="88"/>
        <v>0</v>
      </c>
      <c r="N89" s="1">
        <f t="shared" si="88"/>
        <v>0</v>
      </c>
      <c r="O89" s="1">
        <f t="shared" si="88"/>
        <v>0.07709493933</v>
      </c>
      <c r="P89" s="1">
        <f t="shared" si="88"/>
        <v>0</v>
      </c>
      <c r="Q89" s="1">
        <f t="shared" si="88"/>
        <v>0.182140073</v>
      </c>
      <c r="R89" s="1">
        <f t="shared" si="88"/>
        <v>0</v>
      </c>
      <c r="S89" s="1">
        <f t="shared" si="88"/>
        <v>0</v>
      </c>
      <c r="T89" s="1">
        <f t="shared" si="88"/>
        <v>0</v>
      </c>
      <c r="U89" s="1">
        <f t="shared" si="88"/>
        <v>0</v>
      </c>
    </row>
    <row r="90">
      <c r="A90" s="3">
        <f>IFERROR(__xludf.DUMMYFUNCTION("""COMPUTED_VALUE"""),44009.0)</f>
        <v>44009</v>
      </c>
      <c r="B90" s="1">
        <f t="shared" ref="B90:U90" si="89">IF($A90&gt;0,Megyeinapi!B90/'megyelakosság'!B$2*100000," ")</f>
        <v>0</v>
      </c>
      <c r="C90" s="1">
        <f t="shared" si="89"/>
        <v>0</v>
      </c>
      <c r="D90" s="1">
        <f t="shared" si="89"/>
        <v>0</v>
      </c>
      <c r="E90" s="1">
        <f t="shared" si="89"/>
        <v>0</v>
      </c>
      <c r="F90" s="1">
        <f t="shared" si="89"/>
        <v>0.7999012693</v>
      </c>
      <c r="G90" s="1">
        <f t="shared" si="89"/>
        <v>0</v>
      </c>
      <c r="H90" s="1">
        <f t="shared" si="89"/>
        <v>0</v>
      </c>
      <c r="I90" s="1">
        <f t="shared" si="89"/>
        <v>0</v>
      </c>
      <c r="J90" s="1">
        <f t="shared" si="89"/>
        <v>-1.139110013</v>
      </c>
      <c r="K90" s="1">
        <f t="shared" si="89"/>
        <v>0</v>
      </c>
      <c r="L90" s="1">
        <f t="shared" si="89"/>
        <v>0</v>
      </c>
      <c r="M90" s="1">
        <f t="shared" si="89"/>
        <v>0.6644628648</v>
      </c>
      <c r="N90" s="1">
        <f t="shared" si="89"/>
        <v>0</v>
      </c>
      <c r="O90" s="1">
        <f t="shared" si="89"/>
        <v>0.07709493933</v>
      </c>
      <c r="P90" s="1">
        <f t="shared" si="89"/>
        <v>0</v>
      </c>
      <c r="Q90" s="1">
        <f t="shared" si="89"/>
        <v>0</v>
      </c>
      <c r="R90" s="1">
        <f t="shared" si="89"/>
        <v>0</v>
      </c>
      <c r="S90" s="1">
        <f t="shared" si="89"/>
        <v>0</v>
      </c>
      <c r="T90" s="1">
        <f t="shared" si="89"/>
        <v>0</v>
      </c>
      <c r="U90" s="1">
        <f t="shared" si="89"/>
        <v>0</v>
      </c>
    </row>
    <row r="91">
      <c r="A91" s="3">
        <f>IFERROR(__xludf.DUMMYFUNCTION("""COMPUTED_VALUE"""),44010.0)</f>
        <v>44010</v>
      </c>
      <c r="B91" s="1">
        <f t="shared" ref="B91:U91" si="90">IF($A91&gt;0,Megyeinapi!B91/'megyelakosság'!B$2*100000," ")</f>
        <v>0</v>
      </c>
      <c r="C91" s="1">
        <f t="shared" si="90"/>
        <v>0</v>
      </c>
      <c r="D91" s="1">
        <f t="shared" si="90"/>
        <v>0</v>
      </c>
      <c r="E91" s="1">
        <f t="shared" si="90"/>
        <v>0</v>
      </c>
      <c r="F91" s="1">
        <f t="shared" si="90"/>
        <v>0.1142716099</v>
      </c>
      <c r="G91" s="1">
        <f t="shared" si="90"/>
        <v>0</v>
      </c>
      <c r="H91" s="1">
        <f t="shared" si="90"/>
        <v>0</v>
      </c>
      <c r="I91" s="1">
        <f t="shared" si="90"/>
        <v>0</v>
      </c>
      <c r="J91" s="1">
        <f t="shared" si="90"/>
        <v>0.1898516689</v>
      </c>
      <c r="K91" s="1">
        <f t="shared" si="90"/>
        <v>0</v>
      </c>
      <c r="L91" s="1">
        <f t="shared" si="90"/>
        <v>0</v>
      </c>
      <c r="M91" s="1">
        <f t="shared" si="90"/>
        <v>0</v>
      </c>
      <c r="N91" s="1">
        <f t="shared" si="90"/>
        <v>0</v>
      </c>
      <c r="O91" s="1">
        <f t="shared" si="90"/>
        <v>0</v>
      </c>
      <c r="P91" s="1">
        <f t="shared" si="90"/>
        <v>0</v>
      </c>
      <c r="Q91" s="1">
        <f t="shared" si="90"/>
        <v>0</v>
      </c>
      <c r="R91" s="1">
        <f t="shared" si="90"/>
        <v>0</v>
      </c>
      <c r="S91" s="1">
        <f t="shared" si="90"/>
        <v>0</v>
      </c>
      <c r="T91" s="1">
        <f t="shared" si="90"/>
        <v>0</v>
      </c>
      <c r="U91" s="1">
        <f t="shared" si="90"/>
        <v>0.3741520779</v>
      </c>
    </row>
    <row r="92">
      <c r="A92" s="3">
        <f>IFERROR(__xludf.DUMMYFUNCTION("""COMPUTED_VALUE"""),44011.0)</f>
        <v>44011</v>
      </c>
      <c r="B92" s="1">
        <f t="shared" ref="B92:U92" si="91">IF($A92&gt;0,Megyeinapi!B92/'megyelakosság'!B$2*100000," ")</f>
        <v>0</v>
      </c>
      <c r="C92" s="1">
        <f t="shared" si="91"/>
        <v>0</v>
      </c>
      <c r="D92" s="1">
        <f t="shared" si="91"/>
        <v>0</v>
      </c>
      <c r="E92" s="1">
        <f t="shared" si="91"/>
        <v>0</v>
      </c>
      <c r="F92" s="1">
        <f t="shared" si="91"/>
        <v>0.1142716099</v>
      </c>
      <c r="G92" s="1">
        <f t="shared" si="91"/>
        <v>0</v>
      </c>
      <c r="H92" s="1">
        <f t="shared" si="91"/>
        <v>0</v>
      </c>
      <c r="I92" s="1">
        <f t="shared" si="91"/>
        <v>0</v>
      </c>
      <c r="J92" s="1">
        <f t="shared" si="91"/>
        <v>0</v>
      </c>
      <c r="K92" s="1">
        <f t="shared" si="91"/>
        <v>0</v>
      </c>
      <c r="L92" s="1">
        <f t="shared" si="91"/>
        <v>0</v>
      </c>
      <c r="M92" s="1">
        <f t="shared" si="91"/>
        <v>0</v>
      </c>
      <c r="N92" s="1">
        <f t="shared" si="91"/>
        <v>0</v>
      </c>
      <c r="O92" s="1">
        <f t="shared" si="91"/>
        <v>0.07709493933</v>
      </c>
      <c r="P92" s="1">
        <f t="shared" si="91"/>
        <v>0</v>
      </c>
      <c r="Q92" s="1">
        <f t="shared" si="91"/>
        <v>0</v>
      </c>
      <c r="R92" s="1">
        <f t="shared" si="91"/>
        <v>0</v>
      </c>
      <c r="S92" s="1">
        <f t="shared" si="91"/>
        <v>0</v>
      </c>
      <c r="T92" s="1">
        <f t="shared" si="91"/>
        <v>0</v>
      </c>
      <c r="U92" s="1">
        <f t="shared" si="91"/>
        <v>0</v>
      </c>
    </row>
    <row r="93">
      <c r="A93" s="3">
        <f>IFERROR(__xludf.DUMMYFUNCTION("""COMPUTED_VALUE"""),44012.0)</f>
        <v>44012</v>
      </c>
      <c r="B93" s="1">
        <f t="shared" ref="B93:U93" si="92">IF($A93&gt;0,Megyeinapi!B93/'megyelakosság'!B$2*100000," ")</f>
        <v>0</v>
      </c>
      <c r="C93" s="1">
        <f t="shared" si="92"/>
        <v>0</v>
      </c>
      <c r="D93" s="1">
        <f t="shared" si="92"/>
        <v>0</v>
      </c>
      <c r="E93" s="1">
        <f t="shared" si="92"/>
        <v>0</v>
      </c>
      <c r="F93" s="1">
        <f t="shared" si="92"/>
        <v>0.05713580495</v>
      </c>
      <c r="G93" s="1">
        <f t="shared" si="92"/>
        <v>0</v>
      </c>
      <c r="H93" s="1">
        <f t="shared" si="92"/>
        <v>0.2388898312</v>
      </c>
      <c r="I93" s="1">
        <f t="shared" si="92"/>
        <v>0</v>
      </c>
      <c r="J93" s="1">
        <f t="shared" si="92"/>
        <v>0</v>
      </c>
      <c r="K93" s="1">
        <f t="shared" si="92"/>
        <v>0</v>
      </c>
      <c r="L93" s="1">
        <f t="shared" si="92"/>
        <v>0</v>
      </c>
      <c r="M93" s="1">
        <f t="shared" si="92"/>
        <v>0</v>
      </c>
      <c r="N93" s="1">
        <f t="shared" si="92"/>
        <v>0.5316547222</v>
      </c>
      <c r="O93" s="1">
        <f t="shared" si="92"/>
        <v>0.462569636</v>
      </c>
      <c r="P93" s="1">
        <f t="shared" si="92"/>
        <v>0</v>
      </c>
      <c r="Q93" s="1">
        <f t="shared" si="92"/>
        <v>0</v>
      </c>
      <c r="R93" s="1">
        <f t="shared" si="92"/>
        <v>0.4640069787</v>
      </c>
      <c r="S93" s="1">
        <f t="shared" si="92"/>
        <v>0</v>
      </c>
      <c r="T93" s="1">
        <f t="shared" si="92"/>
        <v>0</v>
      </c>
      <c r="U93" s="1">
        <f t="shared" si="92"/>
        <v>0</v>
      </c>
    </row>
    <row r="94">
      <c r="A94" s="3">
        <f>IFERROR(__xludf.DUMMYFUNCTION("""COMPUTED_VALUE"""),44013.0)</f>
        <v>44013</v>
      </c>
      <c r="B94" s="1">
        <f t="shared" ref="B94:U94" si="93">IF($A94&gt;0,Megyeinapi!B94/'megyelakosság'!B$2*100000," ")</f>
        <v>0</v>
      </c>
      <c r="C94" s="1">
        <f t="shared" si="93"/>
        <v>0</v>
      </c>
      <c r="D94" s="1">
        <f t="shared" si="93"/>
        <v>0</v>
      </c>
      <c r="E94" s="1">
        <f t="shared" si="93"/>
        <v>0</v>
      </c>
      <c r="F94" s="1">
        <f t="shared" si="93"/>
        <v>0.05713580495</v>
      </c>
      <c r="G94" s="1">
        <f t="shared" si="93"/>
        <v>0</v>
      </c>
      <c r="H94" s="1">
        <f t="shared" si="93"/>
        <v>0</v>
      </c>
      <c r="I94" s="1">
        <f t="shared" si="93"/>
        <v>0</v>
      </c>
      <c r="J94" s="1">
        <f t="shared" si="93"/>
        <v>0</v>
      </c>
      <c r="K94" s="1">
        <f t="shared" si="93"/>
        <v>0</v>
      </c>
      <c r="L94" s="1">
        <f t="shared" si="93"/>
        <v>0</v>
      </c>
      <c r="M94" s="1">
        <f t="shared" si="93"/>
        <v>0</v>
      </c>
      <c r="N94" s="1">
        <f t="shared" si="93"/>
        <v>0</v>
      </c>
      <c r="O94" s="1">
        <f t="shared" si="93"/>
        <v>0.07709493933</v>
      </c>
      <c r="P94" s="1">
        <f t="shared" si="93"/>
        <v>0</v>
      </c>
      <c r="Q94" s="1">
        <f t="shared" si="93"/>
        <v>0</v>
      </c>
      <c r="R94" s="1">
        <f t="shared" si="93"/>
        <v>0</v>
      </c>
      <c r="S94" s="1">
        <f t="shared" si="93"/>
        <v>0</v>
      </c>
      <c r="T94" s="1">
        <f t="shared" si="93"/>
        <v>0</v>
      </c>
      <c r="U94" s="1">
        <f t="shared" si="93"/>
        <v>0</v>
      </c>
    </row>
    <row r="95">
      <c r="A95" s="3">
        <f>IFERROR(__xludf.DUMMYFUNCTION("""COMPUTED_VALUE"""),44014.0)</f>
        <v>44014</v>
      </c>
      <c r="B95" s="1">
        <f t="shared" ref="B95:U95" si="94">IF($A95&gt;0,Megyeinapi!B95/'megyelakosság'!B$2*100000," ")</f>
        <v>0.1991159253</v>
      </c>
      <c r="C95" s="1">
        <f t="shared" si="94"/>
        <v>0</v>
      </c>
      <c r="D95" s="1">
        <f t="shared" si="94"/>
        <v>0</v>
      </c>
      <c r="E95" s="1">
        <f t="shared" si="94"/>
        <v>0</v>
      </c>
      <c r="F95" s="1">
        <f t="shared" si="94"/>
        <v>0.2285432198</v>
      </c>
      <c r="G95" s="1">
        <f t="shared" si="94"/>
        <v>0</v>
      </c>
      <c r="H95" s="1">
        <f t="shared" si="94"/>
        <v>0.2388898312</v>
      </c>
      <c r="I95" s="1">
        <f t="shared" si="94"/>
        <v>0</v>
      </c>
      <c r="J95" s="1">
        <f t="shared" si="94"/>
        <v>0</v>
      </c>
      <c r="K95" s="1">
        <f t="shared" si="94"/>
        <v>0.340807236</v>
      </c>
      <c r="L95" s="1">
        <f t="shared" si="94"/>
        <v>0</v>
      </c>
      <c r="M95" s="1">
        <f t="shared" si="94"/>
        <v>0</v>
      </c>
      <c r="N95" s="1">
        <f t="shared" si="94"/>
        <v>0</v>
      </c>
      <c r="O95" s="1">
        <f t="shared" si="94"/>
        <v>0.1541898787</v>
      </c>
      <c r="P95" s="1">
        <f t="shared" si="94"/>
        <v>0</v>
      </c>
      <c r="Q95" s="1">
        <f t="shared" si="94"/>
        <v>0</v>
      </c>
      <c r="R95" s="1">
        <f t="shared" si="94"/>
        <v>0</v>
      </c>
      <c r="S95" s="1">
        <f t="shared" si="94"/>
        <v>0</v>
      </c>
      <c r="T95" s="1">
        <f t="shared" si="94"/>
        <v>0</v>
      </c>
      <c r="U95" s="1">
        <f t="shared" si="94"/>
        <v>0</v>
      </c>
    </row>
    <row r="96">
      <c r="A96" s="3">
        <f>IFERROR(__xludf.DUMMYFUNCTION("""COMPUTED_VALUE"""),44015.0)</f>
        <v>44015</v>
      </c>
      <c r="B96" s="1">
        <f t="shared" ref="B96:U96" si="95">IF($A96&gt;0,Megyeinapi!B96/'megyelakosság'!B$2*100000," ")</f>
        <v>0</v>
      </c>
      <c r="C96" s="1">
        <f t="shared" si="95"/>
        <v>0</v>
      </c>
      <c r="D96" s="1">
        <f t="shared" si="95"/>
        <v>0</v>
      </c>
      <c r="E96" s="1">
        <f t="shared" si="95"/>
        <v>0.1569701003</v>
      </c>
      <c r="F96" s="1">
        <f t="shared" si="95"/>
        <v>0</v>
      </c>
      <c r="G96" s="1">
        <f t="shared" si="95"/>
        <v>0</v>
      </c>
      <c r="H96" s="1">
        <f t="shared" si="95"/>
        <v>0</v>
      </c>
      <c r="I96" s="1">
        <f t="shared" si="95"/>
        <v>0.2113534866</v>
      </c>
      <c r="J96" s="1">
        <f t="shared" si="95"/>
        <v>0</v>
      </c>
      <c r="K96" s="1">
        <f t="shared" si="95"/>
        <v>1.022421708</v>
      </c>
      <c r="L96" s="1">
        <f t="shared" si="95"/>
        <v>0</v>
      </c>
      <c r="M96" s="1">
        <f t="shared" si="95"/>
        <v>0</v>
      </c>
      <c r="N96" s="1">
        <f t="shared" si="95"/>
        <v>0</v>
      </c>
      <c r="O96" s="1">
        <f t="shared" si="95"/>
        <v>0</v>
      </c>
      <c r="P96" s="1">
        <f t="shared" si="95"/>
        <v>0</v>
      </c>
      <c r="Q96" s="1">
        <f t="shared" si="95"/>
        <v>0.182140073</v>
      </c>
      <c r="R96" s="1">
        <f t="shared" si="95"/>
        <v>0</v>
      </c>
      <c r="S96" s="1">
        <f t="shared" si="95"/>
        <v>0</v>
      </c>
      <c r="T96" s="1">
        <f t="shared" si="95"/>
        <v>0</v>
      </c>
      <c r="U96" s="1">
        <f t="shared" si="95"/>
        <v>0</v>
      </c>
    </row>
    <row r="97">
      <c r="A97" s="3">
        <f>IFERROR(__xludf.DUMMYFUNCTION("""COMPUTED_VALUE"""),44016.0)</f>
        <v>44016</v>
      </c>
      <c r="B97" s="1">
        <f t="shared" ref="B97:U97" si="96">IF($A97&gt;0,Megyeinapi!B97/'megyelakosság'!B$2*100000," ")</f>
        <v>0</v>
      </c>
      <c r="C97" s="1">
        <f t="shared" si="96"/>
        <v>0</v>
      </c>
      <c r="D97" s="1">
        <f t="shared" si="96"/>
        <v>0</v>
      </c>
      <c r="E97" s="1">
        <f t="shared" si="96"/>
        <v>0</v>
      </c>
      <c r="F97" s="1">
        <f t="shared" si="96"/>
        <v>0.1714074149</v>
      </c>
      <c r="G97" s="1">
        <f t="shared" si="96"/>
        <v>0</v>
      </c>
      <c r="H97" s="1">
        <f t="shared" si="96"/>
        <v>0</v>
      </c>
      <c r="I97" s="1">
        <f t="shared" si="96"/>
        <v>0</v>
      </c>
      <c r="J97" s="1">
        <f t="shared" si="96"/>
        <v>0</v>
      </c>
      <c r="K97" s="1">
        <f t="shared" si="96"/>
        <v>0</v>
      </c>
      <c r="L97" s="1">
        <f t="shared" si="96"/>
        <v>-0.5451002303</v>
      </c>
      <c r="M97" s="1">
        <f t="shared" si="96"/>
        <v>0</v>
      </c>
      <c r="N97" s="1">
        <f t="shared" si="96"/>
        <v>0</v>
      </c>
      <c r="O97" s="1">
        <f t="shared" si="96"/>
        <v>0.1541898787</v>
      </c>
      <c r="P97" s="1">
        <f t="shared" si="96"/>
        <v>0</v>
      </c>
      <c r="Q97" s="1">
        <f t="shared" si="96"/>
        <v>0</v>
      </c>
      <c r="R97" s="1">
        <f t="shared" si="96"/>
        <v>-0.4640069787</v>
      </c>
      <c r="S97" s="1">
        <f t="shared" si="96"/>
        <v>0</v>
      </c>
      <c r="T97" s="1">
        <f t="shared" si="96"/>
        <v>0</v>
      </c>
      <c r="U97" s="1">
        <f t="shared" si="96"/>
        <v>0</v>
      </c>
    </row>
    <row r="98">
      <c r="A98" s="3">
        <f>IFERROR(__xludf.DUMMYFUNCTION("""COMPUTED_VALUE"""),44017.0)</f>
        <v>44017</v>
      </c>
      <c r="B98" s="1">
        <f t="shared" ref="B98:U98" si="97">IF($A98&gt;0,Megyeinapi!B98/'megyelakosság'!B$2*100000," ")</f>
        <v>0</v>
      </c>
      <c r="C98" s="1">
        <f t="shared" si="97"/>
        <v>0</v>
      </c>
      <c r="D98" s="1">
        <f t="shared" si="97"/>
        <v>0</v>
      </c>
      <c r="E98" s="1">
        <f t="shared" si="97"/>
        <v>0.3139402007</v>
      </c>
      <c r="F98" s="1">
        <f t="shared" si="97"/>
        <v>0.1142716099</v>
      </c>
      <c r="G98" s="1">
        <f t="shared" si="97"/>
        <v>0.2510468654</v>
      </c>
      <c r="H98" s="1">
        <f t="shared" si="97"/>
        <v>0</v>
      </c>
      <c r="I98" s="1">
        <f t="shared" si="97"/>
        <v>0</v>
      </c>
      <c r="J98" s="1">
        <f t="shared" si="97"/>
        <v>0</v>
      </c>
      <c r="K98" s="1">
        <f t="shared" si="97"/>
        <v>0.340807236</v>
      </c>
      <c r="L98" s="1">
        <f t="shared" si="97"/>
        <v>0</v>
      </c>
      <c r="M98" s="1">
        <f t="shared" si="97"/>
        <v>0</v>
      </c>
      <c r="N98" s="1">
        <f t="shared" si="97"/>
        <v>0</v>
      </c>
      <c r="O98" s="1">
        <f t="shared" si="97"/>
        <v>0.1541898787</v>
      </c>
      <c r="P98" s="1">
        <f t="shared" si="97"/>
        <v>0</v>
      </c>
      <c r="Q98" s="1">
        <f t="shared" si="97"/>
        <v>0.182140073</v>
      </c>
      <c r="R98" s="1">
        <f t="shared" si="97"/>
        <v>0</v>
      </c>
      <c r="S98" s="1">
        <f t="shared" si="97"/>
        <v>0</v>
      </c>
      <c r="T98" s="1">
        <f t="shared" si="97"/>
        <v>0</v>
      </c>
      <c r="U98" s="1">
        <f t="shared" si="97"/>
        <v>0</v>
      </c>
    </row>
    <row r="99">
      <c r="A99" s="3">
        <f>IFERROR(__xludf.DUMMYFUNCTION("""COMPUTED_VALUE"""),44018.0)</f>
        <v>44018</v>
      </c>
      <c r="B99" s="1">
        <f t="shared" ref="B99:U99" si="98">IF($A99&gt;0,Megyeinapi!B99/'megyelakosság'!B$2*100000," ")</f>
        <v>0</v>
      </c>
      <c r="C99" s="1">
        <f t="shared" si="98"/>
        <v>0</v>
      </c>
      <c r="D99" s="1">
        <f t="shared" si="98"/>
        <v>0</v>
      </c>
      <c r="E99" s="1">
        <f t="shared" si="98"/>
        <v>0.7848505017</v>
      </c>
      <c r="F99" s="1">
        <f t="shared" si="98"/>
        <v>0</v>
      </c>
      <c r="G99" s="1">
        <f t="shared" si="98"/>
        <v>0</v>
      </c>
      <c r="H99" s="1">
        <f t="shared" si="98"/>
        <v>0.2388898312</v>
      </c>
      <c r="I99" s="1">
        <f t="shared" si="98"/>
        <v>0</v>
      </c>
      <c r="J99" s="1">
        <f t="shared" si="98"/>
        <v>0</v>
      </c>
      <c r="K99" s="1">
        <f t="shared" si="98"/>
        <v>0</v>
      </c>
      <c r="L99" s="1">
        <f t="shared" si="98"/>
        <v>0</v>
      </c>
      <c r="M99" s="1">
        <f t="shared" si="98"/>
        <v>0</v>
      </c>
      <c r="N99" s="1">
        <f t="shared" si="98"/>
        <v>0</v>
      </c>
      <c r="O99" s="1">
        <f t="shared" si="98"/>
        <v>0</v>
      </c>
      <c r="P99" s="1">
        <f t="shared" si="98"/>
        <v>0</v>
      </c>
      <c r="Q99" s="1">
        <f t="shared" si="98"/>
        <v>0</v>
      </c>
      <c r="R99" s="1">
        <f t="shared" si="98"/>
        <v>0</v>
      </c>
      <c r="S99" s="1">
        <f t="shared" si="98"/>
        <v>0</v>
      </c>
      <c r="T99" s="1">
        <f t="shared" si="98"/>
        <v>0</v>
      </c>
      <c r="U99" s="1">
        <f t="shared" si="98"/>
        <v>0</v>
      </c>
    </row>
    <row r="100">
      <c r="A100" s="3">
        <f>IFERROR(__xludf.DUMMYFUNCTION("""COMPUTED_VALUE"""),44019.0)</f>
        <v>44019</v>
      </c>
      <c r="B100" s="1">
        <f t="shared" ref="B100:U100" si="99">IF($A100&gt;0,Megyeinapi!B100/'megyelakosság'!B$2*100000," ")</f>
        <v>0</v>
      </c>
      <c r="C100" s="1">
        <f t="shared" si="99"/>
        <v>0</v>
      </c>
      <c r="D100" s="1">
        <f t="shared" si="99"/>
        <v>0</v>
      </c>
      <c r="E100" s="1">
        <f t="shared" si="99"/>
        <v>0</v>
      </c>
      <c r="F100" s="1">
        <f t="shared" si="99"/>
        <v>0</v>
      </c>
      <c r="G100" s="1">
        <f t="shared" si="99"/>
        <v>0</v>
      </c>
      <c r="H100" s="1">
        <f t="shared" si="99"/>
        <v>0</v>
      </c>
      <c r="I100" s="1">
        <f t="shared" si="99"/>
        <v>0</v>
      </c>
      <c r="J100" s="1">
        <f t="shared" si="99"/>
        <v>0</v>
      </c>
      <c r="K100" s="1">
        <f t="shared" si="99"/>
        <v>0</v>
      </c>
      <c r="L100" s="1">
        <f t="shared" si="99"/>
        <v>0</v>
      </c>
      <c r="M100" s="1">
        <f t="shared" si="99"/>
        <v>0</v>
      </c>
      <c r="N100" s="1">
        <f t="shared" si="99"/>
        <v>0</v>
      </c>
      <c r="O100" s="1">
        <f t="shared" si="99"/>
        <v>0</v>
      </c>
      <c r="P100" s="1">
        <f t="shared" si="99"/>
        <v>0</v>
      </c>
      <c r="Q100" s="1">
        <f t="shared" si="99"/>
        <v>0</v>
      </c>
      <c r="R100" s="1">
        <f t="shared" si="99"/>
        <v>0</v>
      </c>
      <c r="S100" s="1">
        <f t="shared" si="99"/>
        <v>0</v>
      </c>
      <c r="T100" s="1">
        <f t="shared" si="99"/>
        <v>0</v>
      </c>
      <c r="U100" s="1">
        <f t="shared" si="99"/>
        <v>0</v>
      </c>
    </row>
    <row r="101">
      <c r="A101" s="3">
        <f>IFERROR(__xludf.DUMMYFUNCTION("""COMPUTED_VALUE"""),44020.0)</f>
        <v>44020</v>
      </c>
      <c r="B101" s="1">
        <f t="shared" ref="B101:U101" si="100">IF($A101&gt;0,Megyeinapi!B101/'megyelakosság'!B$2*100000," ")</f>
        <v>0</v>
      </c>
      <c r="C101" s="1">
        <f t="shared" si="100"/>
        <v>0</v>
      </c>
      <c r="D101" s="1">
        <f t="shared" si="100"/>
        <v>0</v>
      </c>
      <c r="E101" s="1">
        <f t="shared" si="100"/>
        <v>2.197581405</v>
      </c>
      <c r="F101" s="1">
        <f t="shared" si="100"/>
        <v>0</v>
      </c>
      <c r="G101" s="1">
        <f t="shared" si="100"/>
        <v>0</v>
      </c>
      <c r="H101" s="1">
        <f t="shared" si="100"/>
        <v>0</v>
      </c>
      <c r="I101" s="1">
        <f t="shared" si="100"/>
        <v>0.2113534866</v>
      </c>
      <c r="J101" s="1">
        <f t="shared" si="100"/>
        <v>0.1898516689</v>
      </c>
      <c r="K101" s="1">
        <f t="shared" si="100"/>
        <v>0.340807236</v>
      </c>
      <c r="L101" s="1">
        <f t="shared" si="100"/>
        <v>0</v>
      </c>
      <c r="M101" s="1">
        <f t="shared" si="100"/>
        <v>0</v>
      </c>
      <c r="N101" s="1">
        <f t="shared" si="100"/>
        <v>0</v>
      </c>
      <c r="O101" s="1">
        <f t="shared" si="100"/>
        <v>0.3083797573</v>
      </c>
      <c r="P101" s="1">
        <f t="shared" si="100"/>
        <v>0</v>
      </c>
      <c r="Q101" s="1">
        <f t="shared" si="100"/>
        <v>0</v>
      </c>
      <c r="R101" s="1">
        <f t="shared" si="100"/>
        <v>0</v>
      </c>
      <c r="S101" s="1">
        <f t="shared" si="100"/>
        <v>0</v>
      </c>
      <c r="T101" s="1">
        <f t="shared" si="100"/>
        <v>0</v>
      </c>
      <c r="U101" s="1">
        <f t="shared" si="100"/>
        <v>0</v>
      </c>
    </row>
    <row r="102">
      <c r="A102" s="3">
        <f>IFERROR(__xludf.DUMMYFUNCTION("""COMPUTED_VALUE"""),44021.0)</f>
        <v>44021</v>
      </c>
      <c r="B102" s="1">
        <f t="shared" ref="B102:U102" si="101">IF($A102&gt;0,Megyeinapi!B102/'megyelakosság'!B$2*100000," ")</f>
        <v>0.3982318506</v>
      </c>
      <c r="C102" s="1">
        <f t="shared" si="101"/>
        <v>0</v>
      </c>
      <c r="D102" s="1">
        <f t="shared" si="101"/>
        <v>0.6050668296</v>
      </c>
      <c r="E102" s="1">
        <f t="shared" si="101"/>
        <v>0.1569701003</v>
      </c>
      <c r="F102" s="1">
        <f t="shared" si="101"/>
        <v>0</v>
      </c>
      <c r="G102" s="1">
        <f t="shared" si="101"/>
        <v>0</v>
      </c>
      <c r="H102" s="1">
        <f t="shared" si="101"/>
        <v>0</v>
      </c>
      <c r="I102" s="1">
        <f t="shared" si="101"/>
        <v>0.2113534866</v>
      </c>
      <c r="J102" s="1">
        <f t="shared" si="101"/>
        <v>0</v>
      </c>
      <c r="K102" s="1">
        <f t="shared" si="101"/>
        <v>0</v>
      </c>
      <c r="L102" s="1">
        <f t="shared" si="101"/>
        <v>0</v>
      </c>
      <c r="M102" s="1">
        <f t="shared" si="101"/>
        <v>0</v>
      </c>
      <c r="N102" s="1">
        <f t="shared" si="101"/>
        <v>0</v>
      </c>
      <c r="O102" s="1">
        <f t="shared" si="101"/>
        <v>0.3083797573</v>
      </c>
      <c r="P102" s="1">
        <f t="shared" si="101"/>
        <v>0</v>
      </c>
      <c r="Q102" s="1">
        <f t="shared" si="101"/>
        <v>0</v>
      </c>
      <c r="R102" s="1">
        <f t="shared" si="101"/>
        <v>0</v>
      </c>
      <c r="S102" s="1">
        <f t="shared" si="101"/>
        <v>0</v>
      </c>
      <c r="T102" s="1">
        <f t="shared" si="101"/>
        <v>0</v>
      </c>
      <c r="U102" s="1">
        <f t="shared" si="101"/>
        <v>0</v>
      </c>
    </row>
    <row r="103">
      <c r="A103" s="3">
        <f>IFERROR(__xludf.DUMMYFUNCTION("""COMPUTED_VALUE"""),44022.0)</f>
        <v>44022</v>
      </c>
      <c r="B103" s="1">
        <f t="shared" ref="B103:U103" si="102">IF($A103&gt;0,Megyeinapi!B103/'megyelakosság'!B$2*100000," ")</f>
        <v>0.1991159253</v>
      </c>
      <c r="C103" s="1">
        <f t="shared" si="102"/>
        <v>0</v>
      </c>
      <c r="D103" s="1">
        <f t="shared" si="102"/>
        <v>0</v>
      </c>
      <c r="E103" s="1">
        <f t="shared" si="102"/>
        <v>0.1569701003</v>
      </c>
      <c r="F103" s="1">
        <f t="shared" si="102"/>
        <v>0</v>
      </c>
      <c r="G103" s="1">
        <f t="shared" si="102"/>
        <v>0.2510468654</v>
      </c>
      <c r="H103" s="1">
        <f t="shared" si="102"/>
        <v>0</v>
      </c>
      <c r="I103" s="1">
        <f t="shared" si="102"/>
        <v>0</v>
      </c>
      <c r="J103" s="1">
        <f t="shared" si="102"/>
        <v>0</v>
      </c>
      <c r="K103" s="1">
        <f t="shared" si="102"/>
        <v>0</v>
      </c>
      <c r="L103" s="1">
        <f t="shared" si="102"/>
        <v>0</v>
      </c>
      <c r="M103" s="1">
        <f t="shared" si="102"/>
        <v>0</v>
      </c>
      <c r="N103" s="1">
        <f t="shared" si="102"/>
        <v>0</v>
      </c>
      <c r="O103" s="1">
        <f t="shared" si="102"/>
        <v>0</v>
      </c>
      <c r="P103" s="1">
        <f t="shared" si="102"/>
        <v>0</v>
      </c>
      <c r="Q103" s="1">
        <f t="shared" si="102"/>
        <v>0</v>
      </c>
      <c r="R103" s="1">
        <f t="shared" si="102"/>
        <v>0</v>
      </c>
      <c r="S103" s="1">
        <f t="shared" si="102"/>
        <v>0</v>
      </c>
      <c r="T103" s="1">
        <f t="shared" si="102"/>
        <v>0</v>
      </c>
      <c r="U103" s="1">
        <f t="shared" si="102"/>
        <v>0</v>
      </c>
    </row>
    <row r="104">
      <c r="A104" s="3">
        <f>IFERROR(__xludf.DUMMYFUNCTION("""COMPUTED_VALUE"""),44023.0)</f>
        <v>44023</v>
      </c>
      <c r="B104" s="1">
        <f t="shared" ref="B104:U104" si="103">IF($A104&gt;0,Megyeinapi!B104/'megyelakosság'!B$2*100000," ")</f>
        <v>0</v>
      </c>
      <c r="C104" s="1">
        <f t="shared" si="103"/>
        <v>0</v>
      </c>
      <c r="D104" s="1">
        <f t="shared" si="103"/>
        <v>0</v>
      </c>
      <c r="E104" s="1">
        <f t="shared" si="103"/>
        <v>0.3139402007</v>
      </c>
      <c r="F104" s="1">
        <f t="shared" si="103"/>
        <v>0.05713580495</v>
      </c>
      <c r="G104" s="1">
        <f t="shared" si="103"/>
        <v>0.2510468654</v>
      </c>
      <c r="H104" s="1">
        <f t="shared" si="103"/>
        <v>0</v>
      </c>
      <c r="I104" s="1">
        <f t="shared" si="103"/>
        <v>0</v>
      </c>
      <c r="J104" s="1">
        <f t="shared" si="103"/>
        <v>0</v>
      </c>
      <c r="K104" s="1">
        <f t="shared" si="103"/>
        <v>0</v>
      </c>
      <c r="L104" s="1">
        <f t="shared" si="103"/>
        <v>0</v>
      </c>
      <c r="M104" s="1">
        <f t="shared" si="103"/>
        <v>0.3322314324</v>
      </c>
      <c r="N104" s="1">
        <f t="shared" si="103"/>
        <v>0</v>
      </c>
      <c r="O104" s="1">
        <f t="shared" si="103"/>
        <v>0.07709493933</v>
      </c>
      <c r="P104" s="1">
        <f t="shared" si="103"/>
        <v>0</v>
      </c>
      <c r="Q104" s="1">
        <f t="shared" si="103"/>
        <v>0</v>
      </c>
      <c r="R104" s="1">
        <f t="shared" si="103"/>
        <v>0</v>
      </c>
      <c r="S104" s="1">
        <f t="shared" si="103"/>
        <v>0</v>
      </c>
      <c r="T104" s="1">
        <f t="shared" si="103"/>
        <v>0</v>
      </c>
      <c r="U104" s="1">
        <f t="shared" si="103"/>
        <v>0</v>
      </c>
    </row>
    <row r="105">
      <c r="A105" s="3">
        <f>IFERROR(__xludf.DUMMYFUNCTION("""COMPUTED_VALUE"""),44024.0)</f>
        <v>44024</v>
      </c>
      <c r="B105" s="1">
        <f t="shared" ref="B105:U105" si="104">IF($A105&gt;0,Megyeinapi!B105/'megyelakosság'!B$2*100000," ")</f>
        <v>0.1991159253</v>
      </c>
      <c r="C105" s="1">
        <f t="shared" si="104"/>
        <v>0</v>
      </c>
      <c r="D105" s="1">
        <f t="shared" si="104"/>
        <v>0</v>
      </c>
      <c r="E105" s="1">
        <f t="shared" si="104"/>
        <v>0</v>
      </c>
      <c r="F105" s="1">
        <f t="shared" si="104"/>
        <v>0.1714074149</v>
      </c>
      <c r="G105" s="1">
        <f t="shared" si="104"/>
        <v>0.2510468654</v>
      </c>
      <c r="H105" s="1">
        <f t="shared" si="104"/>
        <v>0</v>
      </c>
      <c r="I105" s="1">
        <f t="shared" si="104"/>
        <v>0</v>
      </c>
      <c r="J105" s="1">
        <f t="shared" si="104"/>
        <v>0</v>
      </c>
      <c r="K105" s="1">
        <f t="shared" si="104"/>
        <v>0</v>
      </c>
      <c r="L105" s="1">
        <f t="shared" si="104"/>
        <v>0</v>
      </c>
      <c r="M105" s="1">
        <f t="shared" si="104"/>
        <v>0</v>
      </c>
      <c r="N105" s="1">
        <f t="shared" si="104"/>
        <v>0</v>
      </c>
      <c r="O105" s="1">
        <f t="shared" si="104"/>
        <v>0</v>
      </c>
      <c r="P105" s="1">
        <f t="shared" si="104"/>
        <v>0</v>
      </c>
      <c r="Q105" s="1">
        <f t="shared" si="104"/>
        <v>0</v>
      </c>
      <c r="R105" s="1">
        <f t="shared" si="104"/>
        <v>0</v>
      </c>
      <c r="S105" s="1">
        <f t="shared" si="104"/>
        <v>0</v>
      </c>
      <c r="T105" s="1">
        <f t="shared" si="104"/>
        <v>0</v>
      </c>
      <c r="U105" s="1">
        <f t="shared" si="104"/>
        <v>0</v>
      </c>
    </row>
    <row r="106">
      <c r="A106" s="3">
        <f>IFERROR(__xludf.DUMMYFUNCTION("""COMPUTED_VALUE"""),44025.0)</f>
        <v>44025</v>
      </c>
      <c r="B106" s="1">
        <f t="shared" ref="B106:U106" si="105">IF($A106&gt;0,Megyeinapi!B106/'megyelakosság'!B$2*100000," ")</f>
        <v>0</v>
      </c>
      <c r="C106" s="1">
        <f t="shared" si="105"/>
        <v>0</v>
      </c>
      <c r="D106" s="1">
        <f t="shared" si="105"/>
        <v>0</v>
      </c>
      <c r="E106" s="1">
        <f t="shared" si="105"/>
        <v>1.412730903</v>
      </c>
      <c r="F106" s="1">
        <f t="shared" si="105"/>
        <v>0.05713580495</v>
      </c>
      <c r="G106" s="1">
        <f t="shared" si="105"/>
        <v>0</v>
      </c>
      <c r="H106" s="1">
        <f t="shared" si="105"/>
        <v>0</v>
      </c>
      <c r="I106" s="1">
        <f t="shared" si="105"/>
        <v>0</v>
      </c>
      <c r="J106" s="1">
        <f t="shared" si="105"/>
        <v>0.1898516689</v>
      </c>
      <c r="K106" s="1">
        <f t="shared" si="105"/>
        <v>0</v>
      </c>
      <c r="L106" s="1">
        <f t="shared" si="105"/>
        <v>0</v>
      </c>
      <c r="M106" s="1">
        <f t="shared" si="105"/>
        <v>0</v>
      </c>
      <c r="N106" s="1">
        <f t="shared" si="105"/>
        <v>0</v>
      </c>
      <c r="O106" s="1">
        <f t="shared" si="105"/>
        <v>0.07709493933</v>
      </c>
      <c r="P106" s="1">
        <f t="shared" si="105"/>
        <v>0</v>
      </c>
      <c r="Q106" s="1">
        <f t="shared" si="105"/>
        <v>0</v>
      </c>
      <c r="R106" s="1">
        <f t="shared" si="105"/>
        <v>0</v>
      </c>
      <c r="S106" s="1">
        <f t="shared" si="105"/>
        <v>0.3934885515</v>
      </c>
      <c r="T106" s="1">
        <f t="shared" si="105"/>
        <v>0</v>
      </c>
      <c r="U106" s="1">
        <f t="shared" si="105"/>
        <v>0</v>
      </c>
    </row>
    <row r="107">
      <c r="A107" s="3">
        <f>IFERROR(__xludf.DUMMYFUNCTION("""COMPUTED_VALUE"""),44026.0)</f>
        <v>44026</v>
      </c>
      <c r="B107" s="1">
        <f t="shared" ref="B107:U107" si="106">IF($A107&gt;0,Megyeinapi!B107/'megyelakosság'!B$2*100000," ")</f>
        <v>0</v>
      </c>
      <c r="C107" s="1">
        <f t="shared" si="106"/>
        <v>0</v>
      </c>
      <c r="D107" s="1">
        <f t="shared" si="106"/>
        <v>0</v>
      </c>
      <c r="E107" s="1">
        <f t="shared" si="106"/>
        <v>0.470910301</v>
      </c>
      <c r="F107" s="1">
        <f t="shared" si="106"/>
        <v>0.05713580495</v>
      </c>
      <c r="G107" s="1">
        <f t="shared" si="106"/>
        <v>0</v>
      </c>
      <c r="H107" s="1">
        <f t="shared" si="106"/>
        <v>0</v>
      </c>
      <c r="I107" s="1">
        <f t="shared" si="106"/>
        <v>0</v>
      </c>
      <c r="J107" s="1">
        <f t="shared" si="106"/>
        <v>0.3797033378</v>
      </c>
      <c r="K107" s="1">
        <f t="shared" si="106"/>
        <v>0.681614472</v>
      </c>
      <c r="L107" s="1">
        <f t="shared" si="106"/>
        <v>0</v>
      </c>
      <c r="M107" s="1">
        <f t="shared" si="106"/>
        <v>0</v>
      </c>
      <c r="N107" s="1">
        <f t="shared" si="106"/>
        <v>0</v>
      </c>
      <c r="O107" s="1">
        <f t="shared" si="106"/>
        <v>0.231284818</v>
      </c>
      <c r="P107" s="1">
        <f t="shared" si="106"/>
        <v>0</v>
      </c>
      <c r="Q107" s="1">
        <f t="shared" si="106"/>
        <v>0</v>
      </c>
      <c r="R107" s="1">
        <f t="shared" si="106"/>
        <v>0</v>
      </c>
      <c r="S107" s="1">
        <f t="shared" si="106"/>
        <v>0</v>
      </c>
      <c r="T107" s="1">
        <f t="shared" si="106"/>
        <v>0</v>
      </c>
      <c r="U107" s="1">
        <f t="shared" si="106"/>
        <v>0</v>
      </c>
    </row>
    <row r="108">
      <c r="A108" s="3">
        <f>IFERROR(__xludf.DUMMYFUNCTION("""COMPUTED_VALUE"""),44027.0)</f>
        <v>44027</v>
      </c>
      <c r="B108" s="1">
        <f t="shared" ref="B108:U108" si="107">IF($A108&gt;0,Megyeinapi!B108/'megyelakosság'!B$2*100000," ")</f>
        <v>0</v>
      </c>
      <c r="C108" s="1">
        <f t="shared" si="107"/>
        <v>0</v>
      </c>
      <c r="D108" s="1">
        <f t="shared" si="107"/>
        <v>0</v>
      </c>
      <c r="E108" s="1">
        <f t="shared" si="107"/>
        <v>0</v>
      </c>
      <c r="F108" s="1">
        <f t="shared" si="107"/>
        <v>0.1714074149</v>
      </c>
      <c r="G108" s="1">
        <f t="shared" si="107"/>
        <v>0.2510468654</v>
      </c>
      <c r="H108" s="1">
        <f t="shared" si="107"/>
        <v>0</v>
      </c>
      <c r="I108" s="1">
        <f t="shared" si="107"/>
        <v>0</v>
      </c>
      <c r="J108" s="1">
        <f t="shared" si="107"/>
        <v>0</v>
      </c>
      <c r="K108" s="1">
        <f t="shared" si="107"/>
        <v>0</v>
      </c>
      <c r="L108" s="1">
        <f t="shared" si="107"/>
        <v>0</v>
      </c>
      <c r="M108" s="1">
        <f t="shared" si="107"/>
        <v>0</v>
      </c>
      <c r="N108" s="1">
        <f t="shared" si="107"/>
        <v>0</v>
      </c>
      <c r="O108" s="1">
        <f t="shared" si="107"/>
        <v>0.07709493933</v>
      </c>
      <c r="P108" s="1">
        <f t="shared" si="107"/>
        <v>0</v>
      </c>
      <c r="Q108" s="1">
        <f t="shared" si="107"/>
        <v>0</v>
      </c>
      <c r="R108" s="1">
        <f t="shared" si="107"/>
        <v>0</v>
      </c>
      <c r="S108" s="1">
        <f t="shared" si="107"/>
        <v>0</v>
      </c>
      <c r="T108" s="1">
        <f t="shared" si="107"/>
        <v>0</v>
      </c>
      <c r="U108" s="1">
        <f t="shared" si="107"/>
        <v>0</v>
      </c>
    </row>
    <row r="109">
      <c r="A109" s="3">
        <f>IFERROR(__xludf.DUMMYFUNCTION("""COMPUTED_VALUE"""),44028.0)</f>
        <v>44028</v>
      </c>
      <c r="B109" s="1">
        <f t="shared" ref="B109:U109" si="108">IF($A109&gt;0,Megyeinapi!B109/'megyelakosság'!B$2*100000," ")</f>
        <v>0</v>
      </c>
      <c r="C109" s="1">
        <f t="shared" si="108"/>
        <v>0</v>
      </c>
      <c r="D109" s="1">
        <f t="shared" si="108"/>
        <v>0</v>
      </c>
      <c r="E109" s="1">
        <f t="shared" si="108"/>
        <v>0.7848505017</v>
      </c>
      <c r="F109" s="1">
        <f t="shared" si="108"/>
        <v>0.2285432198</v>
      </c>
      <c r="G109" s="1">
        <f t="shared" si="108"/>
        <v>1.757328058</v>
      </c>
      <c r="H109" s="1">
        <f t="shared" si="108"/>
        <v>0</v>
      </c>
      <c r="I109" s="1">
        <f t="shared" si="108"/>
        <v>0</v>
      </c>
      <c r="J109" s="1">
        <f t="shared" si="108"/>
        <v>0</v>
      </c>
      <c r="K109" s="1">
        <f t="shared" si="108"/>
        <v>0</v>
      </c>
      <c r="L109" s="1">
        <f t="shared" si="108"/>
        <v>0</v>
      </c>
      <c r="M109" s="1">
        <f t="shared" si="108"/>
        <v>0</v>
      </c>
      <c r="N109" s="1">
        <f t="shared" si="108"/>
        <v>0</v>
      </c>
      <c r="O109" s="1">
        <f t="shared" si="108"/>
        <v>0</v>
      </c>
      <c r="P109" s="1">
        <f t="shared" si="108"/>
        <v>0</v>
      </c>
      <c r="Q109" s="1">
        <f t="shared" si="108"/>
        <v>0</v>
      </c>
      <c r="R109" s="1">
        <f t="shared" si="108"/>
        <v>0</v>
      </c>
      <c r="S109" s="1">
        <f t="shared" si="108"/>
        <v>0</v>
      </c>
      <c r="T109" s="1">
        <f t="shared" si="108"/>
        <v>0</v>
      </c>
      <c r="U109" s="1">
        <f t="shared" si="108"/>
        <v>0</v>
      </c>
    </row>
    <row r="110">
      <c r="A110" s="3">
        <f>IFERROR(__xludf.DUMMYFUNCTION("""COMPUTED_VALUE"""),44029.0)</f>
        <v>44029</v>
      </c>
      <c r="B110" s="1">
        <f t="shared" ref="B110:U110" si="109">IF($A110&gt;0,Megyeinapi!B110/'megyelakosság'!B$2*100000," ")</f>
        <v>0</v>
      </c>
      <c r="C110" s="1">
        <f t="shared" si="109"/>
        <v>0.2784669836</v>
      </c>
      <c r="D110" s="1">
        <f t="shared" si="109"/>
        <v>0</v>
      </c>
      <c r="E110" s="1">
        <f t="shared" si="109"/>
        <v>0.470910301</v>
      </c>
      <c r="F110" s="1">
        <f t="shared" si="109"/>
        <v>0.2856790248</v>
      </c>
      <c r="G110" s="1">
        <f t="shared" si="109"/>
        <v>0.2510468654</v>
      </c>
      <c r="H110" s="1">
        <f t="shared" si="109"/>
        <v>0</v>
      </c>
      <c r="I110" s="1">
        <f t="shared" si="109"/>
        <v>0</v>
      </c>
      <c r="J110" s="1">
        <f t="shared" si="109"/>
        <v>0</v>
      </c>
      <c r="K110" s="1">
        <f t="shared" si="109"/>
        <v>0</v>
      </c>
      <c r="L110" s="1">
        <f t="shared" si="109"/>
        <v>0.2725501152</v>
      </c>
      <c r="M110" s="1">
        <f t="shared" si="109"/>
        <v>0</v>
      </c>
      <c r="N110" s="1">
        <f t="shared" si="109"/>
        <v>0</v>
      </c>
      <c r="O110" s="1">
        <f t="shared" si="109"/>
        <v>0.231284818</v>
      </c>
      <c r="P110" s="1">
        <f t="shared" si="109"/>
        <v>0</v>
      </c>
      <c r="Q110" s="1">
        <f t="shared" si="109"/>
        <v>0</v>
      </c>
      <c r="R110" s="1">
        <f t="shared" si="109"/>
        <v>0</v>
      </c>
      <c r="S110" s="1">
        <f t="shared" si="109"/>
        <v>0</v>
      </c>
      <c r="T110" s="1">
        <f t="shared" si="109"/>
        <v>0</v>
      </c>
      <c r="U110" s="1">
        <f t="shared" si="109"/>
        <v>0</v>
      </c>
    </row>
    <row r="111">
      <c r="A111" s="3">
        <f>IFERROR(__xludf.DUMMYFUNCTION("""COMPUTED_VALUE"""),44030.0)</f>
        <v>44030</v>
      </c>
      <c r="B111" s="1">
        <f t="shared" ref="B111:U111" si="110">IF($A111&gt;0,Megyeinapi!B111/'megyelakosság'!B$2*100000," ")</f>
        <v>0</v>
      </c>
      <c r="C111" s="1">
        <f t="shared" si="110"/>
        <v>0</v>
      </c>
      <c r="D111" s="1">
        <f t="shared" si="110"/>
        <v>0</v>
      </c>
      <c r="E111" s="1">
        <f t="shared" si="110"/>
        <v>1.098790702</v>
      </c>
      <c r="F111" s="1">
        <f t="shared" si="110"/>
        <v>0.1714074149</v>
      </c>
      <c r="G111" s="1">
        <f t="shared" si="110"/>
        <v>1.255234327</v>
      </c>
      <c r="H111" s="1">
        <f t="shared" si="110"/>
        <v>0</v>
      </c>
      <c r="I111" s="1">
        <f t="shared" si="110"/>
        <v>0.2113534866</v>
      </c>
      <c r="J111" s="1">
        <f t="shared" si="110"/>
        <v>-0.1898516689</v>
      </c>
      <c r="K111" s="1">
        <f t="shared" si="110"/>
        <v>0.340807236</v>
      </c>
      <c r="L111" s="1">
        <f t="shared" si="110"/>
        <v>0</v>
      </c>
      <c r="M111" s="1">
        <f t="shared" si="110"/>
        <v>0</v>
      </c>
      <c r="N111" s="1">
        <f t="shared" si="110"/>
        <v>0</v>
      </c>
      <c r="O111" s="1">
        <f t="shared" si="110"/>
        <v>0.231284818</v>
      </c>
      <c r="P111" s="1">
        <f t="shared" si="110"/>
        <v>0.3333888981</v>
      </c>
      <c r="Q111" s="1">
        <f t="shared" si="110"/>
        <v>0</v>
      </c>
      <c r="R111" s="1">
        <f t="shared" si="110"/>
        <v>0</v>
      </c>
      <c r="S111" s="1">
        <f t="shared" si="110"/>
        <v>0</v>
      </c>
      <c r="T111" s="1">
        <f t="shared" si="110"/>
        <v>0.5862403527</v>
      </c>
      <c r="U111" s="1">
        <f t="shared" si="110"/>
        <v>0</v>
      </c>
    </row>
    <row r="112">
      <c r="A112" s="3">
        <f>IFERROR(__xludf.DUMMYFUNCTION("""COMPUTED_VALUE"""),44031.0)</f>
        <v>44031</v>
      </c>
      <c r="B112" s="1">
        <f t="shared" ref="B112:U112" si="111">IF($A112&gt;0,Megyeinapi!B112/'megyelakosság'!B$2*100000," ")</f>
        <v>0.3982318506</v>
      </c>
      <c r="C112" s="1">
        <f t="shared" si="111"/>
        <v>0</v>
      </c>
      <c r="D112" s="1">
        <f t="shared" si="111"/>
        <v>0</v>
      </c>
      <c r="E112" s="1">
        <f t="shared" si="111"/>
        <v>0.3139402007</v>
      </c>
      <c r="F112" s="1">
        <f t="shared" si="111"/>
        <v>0.1714074149</v>
      </c>
      <c r="G112" s="1">
        <f t="shared" si="111"/>
        <v>0.7531405963</v>
      </c>
      <c r="H112" s="1">
        <f t="shared" si="111"/>
        <v>0</v>
      </c>
      <c r="I112" s="1">
        <f t="shared" si="111"/>
        <v>0</v>
      </c>
      <c r="J112" s="1">
        <f t="shared" si="111"/>
        <v>0.1898516689</v>
      </c>
      <c r="K112" s="1">
        <f t="shared" si="111"/>
        <v>0</v>
      </c>
      <c r="L112" s="1">
        <f t="shared" si="111"/>
        <v>0</v>
      </c>
      <c r="M112" s="1">
        <f t="shared" si="111"/>
        <v>0</v>
      </c>
      <c r="N112" s="1">
        <f t="shared" si="111"/>
        <v>0</v>
      </c>
      <c r="O112" s="1">
        <f t="shared" si="111"/>
        <v>0.3854746967</v>
      </c>
      <c r="P112" s="1">
        <f t="shared" si="111"/>
        <v>0</v>
      </c>
      <c r="Q112" s="1">
        <f t="shared" si="111"/>
        <v>0</v>
      </c>
      <c r="R112" s="1">
        <f t="shared" si="111"/>
        <v>0</v>
      </c>
      <c r="S112" s="1">
        <f t="shared" si="111"/>
        <v>0.3934885515</v>
      </c>
      <c r="T112" s="1">
        <f t="shared" si="111"/>
        <v>0</v>
      </c>
      <c r="U112" s="1">
        <f t="shared" si="111"/>
        <v>0.3741520779</v>
      </c>
    </row>
    <row r="113">
      <c r="A113" s="3">
        <f>IFERROR(__xludf.DUMMYFUNCTION("""COMPUTED_VALUE"""),44032.0)</f>
        <v>44032</v>
      </c>
      <c r="B113" s="1">
        <f t="shared" ref="B113:U113" si="112">IF($A113&gt;0,Megyeinapi!B113/'megyelakosság'!B$2*100000," ")</f>
        <v>0</v>
      </c>
      <c r="C113" s="1">
        <f t="shared" si="112"/>
        <v>0</v>
      </c>
      <c r="D113" s="1">
        <f t="shared" si="112"/>
        <v>0</v>
      </c>
      <c r="E113" s="1">
        <f t="shared" si="112"/>
        <v>0.1569701003</v>
      </c>
      <c r="F113" s="1">
        <f t="shared" si="112"/>
        <v>0.05713580495</v>
      </c>
      <c r="G113" s="1">
        <f t="shared" si="112"/>
        <v>0.2510468654</v>
      </c>
      <c r="H113" s="1">
        <f t="shared" si="112"/>
        <v>0</v>
      </c>
      <c r="I113" s="1">
        <f t="shared" si="112"/>
        <v>0</v>
      </c>
      <c r="J113" s="1">
        <f t="shared" si="112"/>
        <v>0</v>
      </c>
      <c r="K113" s="1">
        <f t="shared" si="112"/>
        <v>0.340807236</v>
      </c>
      <c r="L113" s="1">
        <f t="shared" si="112"/>
        <v>0</v>
      </c>
      <c r="M113" s="1">
        <f t="shared" si="112"/>
        <v>0</v>
      </c>
      <c r="N113" s="1">
        <f t="shared" si="112"/>
        <v>0.5316547222</v>
      </c>
      <c r="O113" s="1">
        <f t="shared" si="112"/>
        <v>0.07709493933</v>
      </c>
      <c r="P113" s="1">
        <f t="shared" si="112"/>
        <v>0.3333888981</v>
      </c>
      <c r="Q113" s="1">
        <f t="shared" si="112"/>
        <v>0</v>
      </c>
      <c r="R113" s="1">
        <f t="shared" si="112"/>
        <v>0</v>
      </c>
      <c r="S113" s="1">
        <f t="shared" si="112"/>
        <v>0</v>
      </c>
      <c r="T113" s="1">
        <f t="shared" si="112"/>
        <v>0</v>
      </c>
      <c r="U113" s="1">
        <f t="shared" si="112"/>
        <v>-0.3741520779</v>
      </c>
    </row>
    <row r="114">
      <c r="A114" s="3">
        <f>IFERROR(__xludf.DUMMYFUNCTION("""COMPUTED_VALUE"""),44033.0)</f>
        <v>44033</v>
      </c>
      <c r="B114" s="1">
        <f t="shared" ref="B114:U114" si="113">IF($A114&gt;0,Megyeinapi!B114/'megyelakosság'!B$2*100000," ")</f>
        <v>0</v>
      </c>
      <c r="C114" s="1">
        <f t="shared" si="113"/>
        <v>0</v>
      </c>
      <c r="D114" s="1">
        <f t="shared" si="113"/>
        <v>-0.3025334148</v>
      </c>
      <c r="E114" s="1">
        <f t="shared" si="113"/>
        <v>0.3139402007</v>
      </c>
      <c r="F114" s="1">
        <f t="shared" si="113"/>
        <v>0.05713580495</v>
      </c>
      <c r="G114" s="1">
        <f t="shared" si="113"/>
        <v>0</v>
      </c>
      <c r="H114" s="1">
        <f t="shared" si="113"/>
        <v>0</v>
      </c>
      <c r="I114" s="1">
        <f t="shared" si="113"/>
        <v>0</v>
      </c>
      <c r="J114" s="1">
        <f t="shared" si="113"/>
        <v>0.3797033378</v>
      </c>
      <c r="K114" s="1">
        <f t="shared" si="113"/>
        <v>0</v>
      </c>
      <c r="L114" s="1">
        <f t="shared" si="113"/>
        <v>0.2725501152</v>
      </c>
      <c r="M114" s="1">
        <f t="shared" si="113"/>
        <v>0</v>
      </c>
      <c r="N114" s="1">
        <f t="shared" si="113"/>
        <v>0</v>
      </c>
      <c r="O114" s="1">
        <f t="shared" si="113"/>
        <v>0.231284818</v>
      </c>
      <c r="P114" s="1">
        <f t="shared" si="113"/>
        <v>0</v>
      </c>
      <c r="Q114" s="1">
        <f t="shared" si="113"/>
        <v>0</v>
      </c>
      <c r="R114" s="1">
        <f t="shared" si="113"/>
        <v>0</v>
      </c>
      <c r="S114" s="1">
        <f t="shared" si="113"/>
        <v>0</v>
      </c>
      <c r="T114" s="1">
        <f t="shared" si="113"/>
        <v>0</v>
      </c>
      <c r="U114" s="1">
        <f t="shared" si="113"/>
        <v>0</v>
      </c>
    </row>
    <row r="115">
      <c r="A115" s="3">
        <f>IFERROR(__xludf.DUMMYFUNCTION("""COMPUTED_VALUE"""),44034.0)</f>
        <v>44034</v>
      </c>
      <c r="B115" s="1">
        <f t="shared" ref="B115:U115" si="114">IF($A115&gt;0,Megyeinapi!B115/'megyelakosság'!B$2*100000," ")</f>
        <v>0.3982318506</v>
      </c>
      <c r="C115" s="1">
        <f t="shared" si="114"/>
        <v>0</v>
      </c>
      <c r="D115" s="1">
        <f t="shared" si="114"/>
        <v>0.3025334148</v>
      </c>
      <c r="E115" s="1">
        <f t="shared" si="114"/>
        <v>0.1569701003</v>
      </c>
      <c r="F115" s="1">
        <f t="shared" si="114"/>
        <v>0.2856790248</v>
      </c>
      <c r="G115" s="1">
        <f t="shared" si="114"/>
        <v>0.7531405963</v>
      </c>
      <c r="H115" s="1">
        <f t="shared" si="114"/>
        <v>0</v>
      </c>
      <c r="I115" s="1">
        <f t="shared" si="114"/>
        <v>0</v>
      </c>
      <c r="J115" s="1">
        <f t="shared" si="114"/>
        <v>0.3797033378</v>
      </c>
      <c r="K115" s="1">
        <f t="shared" si="114"/>
        <v>0</v>
      </c>
      <c r="L115" s="1">
        <f t="shared" si="114"/>
        <v>0.2725501152</v>
      </c>
      <c r="M115" s="1">
        <f t="shared" si="114"/>
        <v>0.3322314324</v>
      </c>
      <c r="N115" s="1">
        <f t="shared" si="114"/>
        <v>0</v>
      </c>
      <c r="O115" s="1">
        <f t="shared" si="114"/>
        <v>0.231284818</v>
      </c>
      <c r="P115" s="1">
        <f t="shared" si="114"/>
        <v>0</v>
      </c>
      <c r="Q115" s="1">
        <f t="shared" si="114"/>
        <v>0</v>
      </c>
      <c r="R115" s="1">
        <f t="shared" si="114"/>
        <v>0</v>
      </c>
      <c r="S115" s="1">
        <f t="shared" si="114"/>
        <v>0</v>
      </c>
      <c r="T115" s="1">
        <f t="shared" si="114"/>
        <v>0</v>
      </c>
      <c r="U115" s="1">
        <f t="shared" si="114"/>
        <v>0</v>
      </c>
    </row>
    <row r="116">
      <c r="A116" s="3">
        <f>IFERROR(__xludf.DUMMYFUNCTION("""COMPUTED_VALUE"""),44035.0)</f>
        <v>44035</v>
      </c>
      <c r="B116" s="1">
        <f t="shared" ref="B116:U116" si="115">IF($A116&gt;0,Megyeinapi!B116/'megyelakosság'!B$2*100000," ")</f>
        <v>0.1991159253</v>
      </c>
      <c r="C116" s="1">
        <f t="shared" si="115"/>
        <v>0</v>
      </c>
      <c r="D116" s="1">
        <f t="shared" si="115"/>
        <v>0</v>
      </c>
      <c r="E116" s="1">
        <f t="shared" si="115"/>
        <v>0</v>
      </c>
      <c r="F116" s="1">
        <f t="shared" si="115"/>
        <v>0</v>
      </c>
      <c r="G116" s="1">
        <f t="shared" si="115"/>
        <v>0.2510468654</v>
      </c>
      <c r="H116" s="1">
        <f t="shared" si="115"/>
        <v>0</v>
      </c>
      <c r="I116" s="1">
        <f t="shared" si="115"/>
        <v>0.2113534866</v>
      </c>
      <c r="J116" s="1">
        <f t="shared" si="115"/>
        <v>1.898516689</v>
      </c>
      <c r="K116" s="1">
        <f t="shared" si="115"/>
        <v>0</v>
      </c>
      <c r="L116" s="1">
        <f t="shared" si="115"/>
        <v>0</v>
      </c>
      <c r="M116" s="1">
        <f t="shared" si="115"/>
        <v>0</v>
      </c>
      <c r="N116" s="1">
        <f t="shared" si="115"/>
        <v>0</v>
      </c>
      <c r="O116" s="1">
        <f t="shared" si="115"/>
        <v>0</v>
      </c>
      <c r="P116" s="1">
        <f t="shared" si="115"/>
        <v>0</v>
      </c>
      <c r="Q116" s="1">
        <f t="shared" si="115"/>
        <v>0</v>
      </c>
      <c r="R116" s="1">
        <f t="shared" si="115"/>
        <v>0</v>
      </c>
      <c r="S116" s="1">
        <f t="shared" si="115"/>
        <v>0</v>
      </c>
      <c r="T116" s="1">
        <f t="shared" si="115"/>
        <v>0.2931201763</v>
      </c>
      <c r="U116" s="1">
        <f t="shared" si="115"/>
        <v>0</v>
      </c>
    </row>
    <row r="117">
      <c r="A117" s="3">
        <f>IFERROR(__xludf.DUMMYFUNCTION("""COMPUTED_VALUE"""),44036.0)</f>
        <v>44036</v>
      </c>
      <c r="B117" s="1">
        <f t="shared" ref="B117:U117" si="116">IF($A117&gt;0,Megyeinapi!B117/'megyelakosság'!B$2*100000," ")</f>
        <v>0</v>
      </c>
      <c r="C117" s="1">
        <f t="shared" si="116"/>
        <v>0</v>
      </c>
      <c r="D117" s="1">
        <f t="shared" si="116"/>
        <v>0</v>
      </c>
      <c r="E117" s="1">
        <f t="shared" si="116"/>
        <v>0.1569701003</v>
      </c>
      <c r="F117" s="1">
        <f t="shared" si="116"/>
        <v>0.1142716099</v>
      </c>
      <c r="G117" s="1">
        <f t="shared" si="116"/>
        <v>0</v>
      </c>
      <c r="H117" s="1">
        <f t="shared" si="116"/>
        <v>0</v>
      </c>
      <c r="I117" s="1">
        <f t="shared" si="116"/>
        <v>0.4227069732</v>
      </c>
      <c r="J117" s="1">
        <f t="shared" si="116"/>
        <v>0</v>
      </c>
      <c r="K117" s="1">
        <f t="shared" si="116"/>
        <v>0.681614472</v>
      </c>
      <c r="L117" s="1">
        <f t="shared" si="116"/>
        <v>0</v>
      </c>
      <c r="M117" s="1">
        <f t="shared" si="116"/>
        <v>0.3322314324</v>
      </c>
      <c r="N117" s="1">
        <f t="shared" si="116"/>
        <v>0</v>
      </c>
      <c r="O117" s="1">
        <f t="shared" si="116"/>
        <v>0.231284818</v>
      </c>
      <c r="P117" s="1">
        <f t="shared" si="116"/>
        <v>0.3333888981</v>
      </c>
      <c r="Q117" s="1">
        <f t="shared" si="116"/>
        <v>0.182140073</v>
      </c>
      <c r="R117" s="1">
        <f t="shared" si="116"/>
        <v>0</v>
      </c>
      <c r="S117" s="1">
        <f t="shared" si="116"/>
        <v>1.573954206</v>
      </c>
      <c r="T117" s="1">
        <f t="shared" si="116"/>
        <v>0</v>
      </c>
      <c r="U117" s="1">
        <f t="shared" si="116"/>
        <v>0.3741520779</v>
      </c>
    </row>
    <row r="118">
      <c r="A118" s="3">
        <f>IFERROR(__xludf.DUMMYFUNCTION("""COMPUTED_VALUE"""),44037.0)</f>
        <v>44037</v>
      </c>
      <c r="B118" s="1">
        <f t="shared" ref="B118:U118" si="117">IF($A118&gt;0,Megyeinapi!B118/'megyelakosság'!B$2*100000," ")</f>
        <v>0</v>
      </c>
      <c r="C118" s="1">
        <f t="shared" si="117"/>
        <v>0</v>
      </c>
      <c r="D118" s="1">
        <f t="shared" si="117"/>
        <v>0</v>
      </c>
      <c r="E118" s="1">
        <f t="shared" si="117"/>
        <v>0.3139402007</v>
      </c>
      <c r="F118" s="1">
        <f t="shared" si="117"/>
        <v>0.3999506347</v>
      </c>
      <c r="G118" s="1">
        <f t="shared" si="117"/>
        <v>0</v>
      </c>
      <c r="H118" s="1">
        <f t="shared" si="117"/>
        <v>0</v>
      </c>
      <c r="I118" s="1">
        <f t="shared" si="117"/>
        <v>0.8454139464</v>
      </c>
      <c r="J118" s="1">
        <f t="shared" si="117"/>
        <v>0.5695550067</v>
      </c>
      <c r="K118" s="1">
        <f t="shared" si="117"/>
        <v>0.681614472</v>
      </c>
      <c r="L118" s="1">
        <f t="shared" si="117"/>
        <v>0.2725501152</v>
      </c>
      <c r="M118" s="1">
        <f t="shared" si="117"/>
        <v>0.6644628648</v>
      </c>
      <c r="N118" s="1">
        <f t="shared" si="117"/>
        <v>0</v>
      </c>
      <c r="O118" s="1">
        <f t="shared" si="117"/>
        <v>0.231284818</v>
      </c>
      <c r="P118" s="1">
        <f t="shared" si="117"/>
        <v>0.3333888981</v>
      </c>
      <c r="Q118" s="1">
        <f t="shared" si="117"/>
        <v>0</v>
      </c>
      <c r="R118" s="1">
        <f t="shared" si="117"/>
        <v>0</v>
      </c>
      <c r="S118" s="1">
        <f t="shared" si="117"/>
        <v>0</v>
      </c>
      <c r="T118" s="1">
        <f t="shared" si="117"/>
        <v>0</v>
      </c>
      <c r="U118" s="1">
        <f t="shared" si="117"/>
        <v>0.3741520779</v>
      </c>
    </row>
    <row r="119">
      <c r="A119" s="3">
        <f>IFERROR(__xludf.DUMMYFUNCTION("""COMPUTED_VALUE"""),44038.0)</f>
        <v>44038</v>
      </c>
      <c r="B119" s="1">
        <f t="shared" ref="B119:U119" si="118">IF($A119&gt;0,Megyeinapi!B119/'megyelakosság'!B$2*100000," ")</f>
        <v>0.1991159253</v>
      </c>
      <c r="C119" s="1">
        <f t="shared" si="118"/>
        <v>0</v>
      </c>
      <c r="D119" s="1">
        <f t="shared" si="118"/>
        <v>0</v>
      </c>
      <c r="E119" s="1">
        <f t="shared" si="118"/>
        <v>0</v>
      </c>
      <c r="F119" s="1">
        <f t="shared" si="118"/>
        <v>0.05713580495</v>
      </c>
      <c r="G119" s="1">
        <f t="shared" si="118"/>
        <v>0</v>
      </c>
      <c r="H119" s="1">
        <f t="shared" si="118"/>
        <v>0.2388898312</v>
      </c>
      <c r="I119" s="1">
        <f t="shared" si="118"/>
        <v>0</v>
      </c>
      <c r="J119" s="1">
        <f t="shared" si="118"/>
        <v>0</v>
      </c>
      <c r="K119" s="1">
        <f t="shared" si="118"/>
        <v>0</v>
      </c>
      <c r="L119" s="1">
        <f t="shared" si="118"/>
        <v>0.2725501152</v>
      </c>
      <c r="M119" s="1">
        <f t="shared" si="118"/>
        <v>0</v>
      </c>
      <c r="N119" s="1">
        <f t="shared" si="118"/>
        <v>0</v>
      </c>
      <c r="O119" s="1">
        <f t="shared" si="118"/>
        <v>0.462569636</v>
      </c>
      <c r="P119" s="1">
        <f t="shared" si="118"/>
        <v>0.3333888981</v>
      </c>
      <c r="Q119" s="1">
        <f t="shared" si="118"/>
        <v>0</v>
      </c>
      <c r="R119" s="1">
        <f t="shared" si="118"/>
        <v>0</v>
      </c>
      <c r="S119" s="1">
        <f t="shared" si="118"/>
        <v>0</v>
      </c>
      <c r="T119" s="1">
        <f t="shared" si="118"/>
        <v>0</v>
      </c>
      <c r="U119" s="1">
        <f t="shared" si="118"/>
        <v>0</v>
      </c>
    </row>
    <row r="120">
      <c r="A120" s="3">
        <f>IFERROR(__xludf.DUMMYFUNCTION("""COMPUTED_VALUE"""),44039.0)</f>
        <v>44039</v>
      </c>
      <c r="B120" s="1">
        <f t="shared" ref="B120:U120" si="119">IF($A120&gt;0,Megyeinapi!B120/'megyelakosság'!B$2*100000," ")</f>
        <v>0</v>
      </c>
      <c r="C120" s="1">
        <f t="shared" si="119"/>
        <v>0</v>
      </c>
      <c r="D120" s="1">
        <f t="shared" si="119"/>
        <v>0</v>
      </c>
      <c r="E120" s="1">
        <f t="shared" si="119"/>
        <v>0.1569701003</v>
      </c>
      <c r="F120" s="1">
        <f t="shared" si="119"/>
        <v>0.1714074149</v>
      </c>
      <c r="G120" s="1">
        <f t="shared" si="119"/>
        <v>0.2510468654</v>
      </c>
      <c r="H120" s="1">
        <f t="shared" si="119"/>
        <v>0</v>
      </c>
      <c r="I120" s="1">
        <f t="shared" si="119"/>
        <v>0.2113534866</v>
      </c>
      <c r="J120" s="1">
        <f t="shared" si="119"/>
        <v>0.1898516689</v>
      </c>
      <c r="K120" s="1">
        <f t="shared" si="119"/>
        <v>0</v>
      </c>
      <c r="L120" s="1">
        <f t="shared" si="119"/>
        <v>0</v>
      </c>
      <c r="M120" s="1">
        <f t="shared" si="119"/>
        <v>0</v>
      </c>
      <c r="N120" s="1">
        <f t="shared" si="119"/>
        <v>0</v>
      </c>
      <c r="O120" s="1">
        <f t="shared" si="119"/>
        <v>0.3854746967</v>
      </c>
      <c r="P120" s="1">
        <f t="shared" si="119"/>
        <v>0</v>
      </c>
      <c r="Q120" s="1">
        <f t="shared" si="119"/>
        <v>0</v>
      </c>
      <c r="R120" s="1">
        <f t="shared" si="119"/>
        <v>0</v>
      </c>
      <c r="S120" s="1">
        <f t="shared" si="119"/>
        <v>0.3934885515</v>
      </c>
      <c r="T120" s="1">
        <f t="shared" si="119"/>
        <v>0</v>
      </c>
      <c r="U120" s="1">
        <f t="shared" si="119"/>
        <v>0</v>
      </c>
    </row>
    <row r="121">
      <c r="A121" s="3">
        <f>IFERROR(__xludf.DUMMYFUNCTION("""COMPUTED_VALUE"""),44040.0)</f>
        <v>44040</v>
      </c>
      <c r="B121" s="1">
        <f t="shared" ref="B121:U121" si="120">IF($A121&gt;0,Megyeinapi!B121/'megyelakosság'!B$2*100000," ")</f>
        <v>0</v>
      </c>
      <c r="C121" s="1">
        <f t="shared" si="120"/>
        <v>0</v>
      </c>
      <c r="D121" s="1">
        <f t="shared" si="120"/>
        <v>0</v>
      </c>
      <c r="E121" s="1">
        <f t="shared" si="120"/>
        <v>0.1569701003</v>
      </c>
      <c r="F121" s="1">
        <f t="shared" si="120"/>
        <v>0.1142716099</v>
      </c>
      <c r="G121" s="1">
        <f t="shared" si="120"/>
        <v>0</v>
      </c>
      <c r="H121" s="1">
        <f t="shared" si="120"/>
        <v>0</v>
      </c>
      <c r="I121" s="1">
        <f t="shared" si="120"/>
        <v>0</v>
      </c>
      <c r="J121" s="1">
        <f t="shared" si="120"/>
        <v>0.3797033378</v>
      </c>
      <c r="K121" s="1">
        <f t="shared" si="120"/>
        <v>0</v>
      </c>
      <c r="L121" s="1">
        <f t="shared" si="120"/>
        <v>0.2725501152</v>
      </c>
      <c r="M121" s="1">
        <f t="shared" si="120"/>
        <v>0</v>
      </c>
      <c r="N121" s="1">
        <f t="shared" si="120"/>
        <v>0</v>
      </c>
      <c r="O121" s="1">
        <f t="shared" si="120"/>
        <v>0.07709493933</v>
      </c>
      <c r="P121" s="1">
        <f t="shared" si="120"/>
        <v>0</v>
      </c>
      <c r="Q121" s="1">
        <f t="shared" si="120"/>
        <v>0</v>
      </c>
      <c r="R121" s="1">
        <f t="shared" si="120"/>
        <v>0.4640069787</v>
      </c>
      <c r="S121" s="1">
        <f t="shared" si="120"/>
        <v>0</v>
      </c>
      <c r="T121" s="1">
        <f t="shared" si="120"/>
        <v>0</v>
      </c>
      <c r="U121" s="1">
        <f t="shared" si="120"/>
        <v>0</v>
      </c>
    </row>
    <row r="122">
      <c r="A122" s="3">
        <f>IFERROR(__xludf.DUMMYFUNCTION("""COMPUTED_VALUE"""),44041.0)</f>
        <v>44041</v>
      </c>
      <c r="B122" s="1">
        <f t="shared" ref="B122:U122" si="121">IF($A122&gt;0,Megyeinapi!B122/'megyelakosság'!B$2*100000," ")</f>
        <v>0</v>
      </c>
      <c r="C122" s="1">
        <f t="shared" si="121"/>
        <v>0</v>
      </c>
      <c r="D122" s="1">
        <f t="shared" si="121"/>
        <v>0</v>
      </c>
      <c r="E122" s="1">
        <f t="shared" si="121"/>
        <v>0</v>
      </c>
      <c r="F122" s="1">
        <f t="shared" si="121"/>
        <v>0.1714074149</v>
      </c>
      <c r="G122" s="1">
        <f t="shared" si="121"/>
        <v>0</v>
      </c>
      <c r="H122" s="1">
        <f t="shared" si="121"/>
        <v>0</v>
      </c>
      <c r="I122" s="1">
        <f t="shared" si="121"/>
        <v>0</v>
      </c>
      <c r="J122" s="1">
        <f t="shared" si="121"/>
        <v>0.5695550067</v>
      </c>
      <c r="K122" s="1">
        <f t="shared" si="121"/>
        <v>0</v>
      </c>
      <c r="L122" s="1">
        <f t="shared" si="121"/>
        <v>0</v>
      </c>
      <c r="M122" s="1">
        <f t="shared" si="121"/>
        <v>0</v>
      </c>
      <c r="N122" s="1">
        <f t="shared" si="121"/>
        <v>0</v>
      </c>
      <c r="O122" s="1">
        <f t="shared" si="121"/>
        <v>0.07709493933</v>
      </c>
      <c r="P122" s="1">
        <f t="shared" si="121"/>
        <v>0</v>
      </c>
      <c r="Q122" s="1">
        <f t="shared" si="121"/>
        <v>0</v>
      </c>
      <c r="R122" s="1">
        <f t="shared" si="121"/>
        <v>0</v>
      </c>
      <c r="S122" s="1">
        <f t="shared" si="121"/>
        <v>0</v>
      </c>
      <c r="T122" s="1">
        <f t="shared" si="121"/>
        <v>0.2931201763</v>
      </c>
      <c r="U122" s="1">
        <f t="shared" si="121"/>
        <v>0.3741520779</v>
      </c>
    </row>
    <row r="123">
      <c r="A123" s="3">
        <f>IFERROR(__xludf.DUMMYFUNCTION("""COMPUTED_VALUE"""),44042.0)</f>
        <v>44042</v>
      </c>
      <c r="B123" s="1">
        <f t="shared" ref="B123:U123" si="122">IF($A123&gt;0,Megyeinapi!B123/'megyelakosság'!B$2*100000," ")</f>
        <v>0</v>
      </c>
      <c r="C123" s="1">
        <f t="shared" si="122"/>
        <v>0</v>
      </c>
      <c r="D123" s="1">
        <f t="shared" si="122"/>
        <v>0</v>
      </c>
      <c r="E123" s="1">
        <f t="shared" si="122"/>
        <v>0.1569701003</v>
      </c>
      <c r="F123" s="1">
        <f t="shared" si="122"/>
        <v>0.3999506347</v>
      </c>
      <c r="G123" s="1">
        <f t="shared" si="122"/>
        <v>0.2510468654</v>
      </c>
      <c r="H123" s="1">
        <f t="shared" si="122"/>
        <v>0</v>
      </c>
      <c r="I123" s="1">
        <f t="shared" si="122"/>
        <v>0.4227069732</v>
      </c>
      <c r="J123" s="1">
        <f t="shared" si="122"/>
        <v>1.139110013</v>
      </c>
      <c r="K123" s="1">
        <f t="shared" si="122"/>
        <v>-0.340807236</v>
      </c>
      <c r="L123" s="1">
        <f t="shared" si="122"/>
        <v>0</v>
      </c>
      <c r="M123" s="1">
        <f t="shared" si="122"/>
        <v>0</v>
      </c>
      <c r="N123" s="1">
        <f t="shared" si="122"/>
        <v>0.5316547222</v>
      </c>
      <c r="O123" s="1">
        <f t="shared" si="122"/>
        <v>0</v>
      </c>
      <c r="P123" s="1">
        <f t="shared" si="122"/>
        <v>0.3333888981</v>
      </c>
      <c r="Q123" s="1">
        <f t="shared" si="122"/>
        <v>0</v>
      </c>
      <c r="R123" s="1">
        <f t="shared" si="122"/>
        <v>0.4640069787</v>
      </c>
      <c r="S123" s="1">
        <f t="shared" si="122"/>
        <v>0</v>
      </c>
      <c r="T123" s="1">
        <f t="shared" si="122"/>
        <v>0</v>
      </c>
      <c r="U123" s="1">
        <f t="shared" si="122"/>
        <v>0</v>
      </c>
    </row>
    <row r="124">
      <c r="A124" s="3">
        <f>IFERROR(__xludf.DUMMYFUNCTION("""COMPUTED_VALUE"""),44043.0)</f>
        <v>44043</v>
      </c>
      <c r="B124" s="1">
        <f t="shared" ref="B124:U124" si="123">IF($A124&gt;0,Megyeinapi!B124/'megyelakosság'!B$2*100000," ")</f>
        <v>0</v>
      </c>
      <c r="C124" s="1">
        <f t="shared" si="123"/>
        <v>0.2784669836</v>
      </c>
      <c r="D124" s="1">
        <f t="shared" si="123"/>
        <v>0.3025334148</v>
      </c>
      <c r="E124" s="1">
        <f t="shared" si="123"/>
        <v>0.1569701003</v>
      </c>
      <c r="F124" s="1">
        <f t="shared" si="123"/>
        <v>0.5142222446</v>
      </c>
      <c r="G124" s="1">
        <f t="shared" si="123"/>
        <v>0.7531405963</v>
      </c>
      <c r="H124" s="1">
        <f t="shared" si="123"/>
        <v>0</v>
      </c>
      <c r="I124" s="1">
        <f t="shared" si="123"/>
        <v>0.4227069732</v>
      </c>
      <c r="J124" s="1">
        <f t="shared" si="123"/>
        <v>0</v>
      </c>
      <c r="K124" s="1">
        <f t="shared" si="123"/>
        <v>0</v>
      </c>
      <c r="L124" s="1">
        <f t="shared" si="123"/>
        <v>0.2725501152</v>
      </c>
      <c r="M124" s="1">
        <f t="shared" si="123"/>
        <v>0</v>
      </c>
      <c r="N124" s="1">
        <f t="shared" si="123"/>
        <v>-0.5316547222</v>
      </c>
      <c r="O124" s="1">
        <f t="shared" si="123"/>
        <v>0.231284818</v>
      </c>
      <c r="P124" s="1">
        <f t="shared" si="123"/>
        <v>0</v>
      </c>
      <c r="Q124" s="1">
        <f t="shared" si="123"/>
        <v>0</v>
      </c>
      <c r="R124" s="1">
        <f t="shared" si="123"/>
        <v>0</v>
      </c>
      <c r="S124" s="1">
        <f t="shared" si="123"/>
        <v>0.3934885515</v>
      </c>
      <c r="T124" s="1">
        <f t="shared" si="123"/>
        <v>0</v>
      </c>
      <c r="U124" s="1">
        <f t="shared" si="123"/>
        <v>0</v>
      </c>
    </row>
    <row r="125">
      <c r="A125" s="3">
        <f>IFERROR(__xludf.DUMMYFUNCTION("""COMPUTED_VALUE"""),44044.0)</f>
        <v>44044</v>
      </c>
      <c r="B125" s="1">
        <f t="shared" ref="B125:U125" si="124">IF($A125&gt;0,Megyeinapi!B125/'megyelakosság'!B$2*100000," ")</f>
        <v>0</v>
      </c>
      <c r="C125" s="1">
        <f t="shared" si="124"/>
        <v>0.5569339671</v>
      </c>
      <c r="D125" s="1">
        <f t="shared" si="124"/>
        <v>0</v>
      </c>
      <c r="E125" s="1">
        <f t="shared" si="124"/>
        <v>0.3139402007</v>
      </c>
      <c r="F125" s="1">
        <f t="shared" si="124"/>
        <v>0.4570864396</v>
      </c>
      <c r="G125" s="1">
        <f t="shared" si="124"/>
        <v>0.2510468654</v>
      </c>
      <c r="H125" s="1">
        <f t="shared" si="124"/>
        <v>-0.2388898312</v>
      </c>
      <c r="I125" s="1">
        <f t="shared" si="124"/>
        <v>0</v>
      </c>
      <c r="J125" s="1">
        <f t="shared" si="124"/>
        <v>0</v>
      </c>
      <c r="K125" s="1">
        <f t="shared" si="124"/>
        <v>0</v>
      </c>
      <c r="L125" s="1">
        <f t="shared" si="124"/>
        <v>0</v>
      </c>
      <c r="M125" s="1">
        <f t="shared" si="124"/>
        <v>0</v>
      </c>
      <c r="N125" s="1">
        <f t="shared" si="124"/>
        <v>0</v>
      </c>
      <c r="O125" s="1">
        <f t="shared" si="124"/>
        <v>0.3854746967</v>
      </c>
      <c r="P125" s="1">
        <f t="shared" si="124"/>
        <v>0</v>
      </c>
      <c r="Q125" s="1">
        <f t="shared" si="124"/>
        <v>0</v>
      </c>
      <c r="R125" s="1">
        <f t="shared" si="124"/>
        <v>0</v>
      </c>
      <c r="S125" s="1">
        <f t="shared" si="124"/>
        <v>0</v>
      </c>
      <c r="T125" s="1">
        <f t="shared" si="124"/>
        <v>1.172480705</v>
      </c>
      <c r="U125" s="1">
        <f t="shared" si="124"/>
        <v>0</v>
      </c>
    </row>
    <row r="126">
      <c r="A126" s="3">
        <f>IFERROR(__xludf.DUMMYFUNCTION("""COMPUTED_VALUE"""),44045.0)</f>
        <v>44045</v>
      </c>
      <c r="B126" s="1">
        <f t="shared" ref="B126:U126" si="125">IF($A126&gt;0,Megyeinapi!B126/'megyelakosság'!B$2*100000," ")</f>
        <v>0</v>
      </c>
      <c r="C126" s="1">
        <f t="shared" si="125"/>
        <v>0.2784669836</v>
      </c>
      <c r="D126" s="1">
        <f t="shared" si="125"/>
        <v>0.3025334148</v>
      </c>
      <c r="E126" s="1">
        <f t="shared" si="125"/>
        <v>0</v>
      </c>
      <c r="F126" s="1">
        <f t="shared" si="125"/>
        <v>0.05713580495</v>
      </c>
      <c r="G126" s="1">
        <f t="shared" si="125"/>
        <v>0</v>
      </c>
      <c r="H126" s="1">
        <f t="shared" si="125"/>
        <v>0</v>
      </c>
      <c r="I126" s="1">
        <f t="shared" si="125"/>
        <v>0</v>
      </c>
      <c r="J126" s="1">
        <f t="shared" si="125"/>
        <v>0</v>
      </c>
      <c r="K126" s="1">
        <f t="shared" si="125"/>
        <v>0.340807236</v>
      </c>
      <c r="L126" s="1">
        <f t="shared" si="125"/>
        <v>0</v>
      </c>
      <c r="M126" s="1">
        <f t="shared" si="125"/>
        <v>0</v>
      </c>
      <c r="N126" s="1">
        <f t="shared" si="125"/>
        <v>0</v>
      </c>
      <c r="O126" s="1">
        <f t="shared" si="125"/>
        <v>0</v>
      </c>
      <c r="P126" s="1">
        <f t="shared" si="125"/>
        <v>0</v>
      </c>
      <c r="Q126" s="1">
        <f t="shared" si="125"/>
        <v>0</v>
      </c>
      <c r="R126" s="1">
        <f t="shared" si="125"/>
        <v>0.9280139573</v>
      </c>
      <c r="S126" s="1">
        <f t="shared" si="125"/>
        <v>0.7869771029</v>
      </c>
      <c r="T126" s="1">
        <f t="shared" si="125"/>
        <v>0.2931201763</v>
      </c>
      <c r="U126" s="1">
        <f t="shared" si="125"/>
        <v>0</v>
      </c>
    </row>
    <row r="127">
      <c r="A127" s="3">
        <f>IFERROR(__xludf.DUMMYFUNCTION("""COMPUTED_VALUE"""),44046.0)</f>
        <v>44046</v>
      </c>
      <c r="B127" s="1">
        <f t="shared" ref="B127:U127" si="126">IF($A127&gt;0,Megyeinapi!B127/'megyelakosság'!B$2*100000," ")</f>
        <v>0</v>
      </c>
      <c r="C127" s="1">
        <f t="shared" si="126"/>
        <v>0</v>
      </c>
      <c r="D127" s="1">
        <f t="shared" si="126"/>
        <v>0</v>
      </c>
      <c r="E127" s="1">
        <f t="shared" si="126"/>
        <v>0.1569701003</v>
      </c>
      <c r="F127" s="1">
        <f t="shared" si="126"/>
        <v>0.1714074149</v>
      </c>
      <c r="G127" s="1">
        <f t="shared" si="126"/>
        <v>0</v>
      </c>
      <c r="H127" s="1">
        <f t="shared" si="126"/>
        <v>0</v>
      </c>
      <c r="I127" s="1">
        <f t="shared" si="126"/>
        <v>0</v>
      </c>
      <c r="J127" s="1">
        <f t="shared" si="126"/>
        <v>0.1898516689</v>
      </c>
      <c r="K127" s="1">
        <f t="shared" si="126"/>
        <v>0</v>
      </c>
      <c r="L127" s="1">
        <f t="shared" si="126"/>
        <v>0</v>
      </c>
      <c r="M127" s="1">
        <f t="shared" si="126"/>
        <v>0</v>
      </c>
      <c r="N127" s="1">
        <f t="shared" si="126"/>
        <v>0</v>
      </c>
      <c r="O127" s="1">
        <f t="shared" si="126"/>
        <v>0.07709493933</v>
      </c>
      <c r="P127" s="1">
        <f t="shared" si="126"/>
        <v>0</v>
      </c>
      <c r="Q127" s="1">
        <f t="shared" si="126"/>
        <v>0</v>
      </c>
      <c r="R127" s="1">
        <f t="shared" si="126"/>
        <v>0.4640069787</v>
      </c>
      <c r="S127" s="1">
        <f t="shared" si="126"/>
        <v>0</v>
      </c>
      <c r="T127" s="1">
        <f t="shared" si="126"/>
        <v>0.5862403527</v>
      </c>
      <c r="U127" s="1">
        <f t="shared" si="126"/>
        <v>0</v>
      </c>
    </row>
    <row r="128">
      <c r="A128" s="3">
        <f>IFERROR(__xludf.DUMMYFUNCTION("""COMPUTED_VALUE"""),44047.0)</f>
        <v>44047</v>
      </c>
      <c r="B128" s="1">
        <f t="shared" ref="B128:U128" si="127">IF($A128&gt;0,Megyeinapi!B128/'megyelakosság'!B$2*100000," ")</f>
        <v>0</v>
      </c>
      <c r="C128" s="1">
        <f t="shared" si="127"/>
        <v>0</v>
      </c>
      <c r="D128" s="1">
        <f t="shared" si="127"/>
        <v>0</v>
      </c>
      <c r="E128" s="1">
        <f t="shared" si="127"/>
        <v>0.941820602</v>
      </c>
      <c r="F128" s="1">
        <f t="shared" si="127"/>
        <v>0.1142716099</v>
      </c>
      <c r="G128" s="1">
        <f t="shared" si="127"/>
        <v>0</v>
      </c>
      <c r="H128" s="1">
        <f t="shared" si="127"/>
        <v>0</v>
      </c>
      <c r="I128" s="1">
        <f t="shared" si="127"/>
        <v>0</v>
      </c>
      <c r="J128" s="1">
        <f t="shared" si="127"/>
        <v>0.1898516689</v>
      </c>
      <c r="K128" s="1">
        <f t="shared" si="127"/>
        <v>0</v>
      </c>
      <c r="L128" s="1">
        <f t="shared" si="127"/>
        <v>0</v>
      </c>
      <c r="M128" s="1">
        <f t="shared" si="127"/>
        <v>0</v>
      </c>
      <c r="N128" s="1">
        <f t="shared" si="127"/>
        <v>0</v>
      </c>
      <c r="O128" s="1">
        <f t="shared" si="127"/>
        <v>0</v>
      </c>
      <c r="P128" s="1">
        <f t="shared" si="127"/>
        <v>0</v>
      </c>
      <c r="Q128" s="1">
        <f t="shared" si="127"/>
        <v>0</v>
      </c>
      <c r="R128" s="1">
        <f t="shared" si="127"/>
        <v>0</v>
      </c>
      <c r="S128" s="1">
        <f t="shared" si="127"/>
        <v>0</v>
      </c>
      <c r="T128" s="1">
        <f t="shared" si="127"/>
        <v>0</v>
      </c>
      <c r="U128" s="1">
        <f t="shared" si="127"/>
        <v>0</v>
      </c>
    </row>
    <row r="129">
      <c r="A129" s="3">
        <f>IFERROR(__xludf.DUMMYFUNCTION("""COMPUTED_VALUE"""),44048.0)</f>
        <v>44048</v>
      </c>
      <c r="B129" s="1">
        <f t="shared" ref="B129:U129" si="128">IF($A129&gt;0,Megyeinapi!B129/'megyelakosság'!B$2*100000," ")</f>
        <v>0</v>
      </c>
      <c r="C129" s="1">
        <f t="shared" si="128"/>
        <v>0</v>
      </c>
      <c r="D129" s="1">
        <f t="shared" si="128"/>
        <v>0</v>
      </c>
      <c r="E129" s="1">
        <f t="shared" si="128"/>
        <v>0.3139402007</v>
      </c>
      <c r="F129" s="1">
        <f t="shared" si="128"/>
        <v>0</v>
      </c>
      <c r="G129" s="1">
        <f t="shared" si="128"/>
        <v>0.5020937309</v>
      </c>
      <c r="H129" s="1">
        <f t="shared" si="128"/>
        <v>0</v>
      </c>
      <c r="I129" s="1">
        <f t="shared" si="128"/>
        <v>0</v>
      </c>
      <c r="J129" s="1">
        <f t="shared" si="128"/>
        <v>0.3797033378</v>
      </c>
      <c r="K129" s="1">
        <f t="shared" si="128"/>
        <v>0</v>
      </c>
      <c r="L129" s="1">
        <f t="shared" si="128"/>
        <v>0</v>
      </c>
      <c r="M129" s="1">
        <f t="shared" si="128"/>
        <v>0</v>
      </c>
      <c r="N129" s="1">
        <f t="shared" si="128"/>
        <v>0</v>
      </c>
      <c r="O129" s="1">
        <f t="shared" si="128"/>
        <v>0.07709493933</v>
      </c>
      <c r="P129" s="1">
        <f t="shared" si="128"/>
        <v>0</v>
      </c>
      <c r="Q129" s="1">
        <f t="shared" si="128"/>
        <v>0.182140073</v>
      </c>
      <c r="R129" s="1">
        <f t="shared" si="128"/>
        <v>0</v>
      </c>
      <c r="S129" s="1">
        <f t="shared" si="128"/>
        <v>0.3934885515</v>
      </c>
      <c r="T129" s="1">
        <f t="shared" si="128"/>
        <v>0.5862403527</v>
      </c>
      <c r="U129" s="1">
        <f t="shared" si="128"/>
        <v>0</v>
      </c>
    </row>
    <row r="130">
      <c r="A130" s="3">
        <f>IFERROR(__xludf.DUMMYFUNCTION("""COMPUTED_VALUE"""),44049.0)</f>
        <v>44049</v>
      </c>
      <c r="B130" s="1">
        <f t="shared" ref="B130:U130" si="129">IF($A130&gt;0,Megyeinapi!B130/'megyelakosság'!B$2*100000," ")</f>
        <v>0.7964637012</v>
      </c>
      <c r="C130" s="1">
        <f t="shared" si="129"/>
        <v>0.2784669836</v>
      </c>
      <c r="D130" s="1">
        <f t="shared" si="129"/>
        <v>0</v>
      </c>
      <c r="E130" s="1">
        <f t="shared" si="129"/>
        <v>0.470910301</v>
      </c>
      <c r="F130" s="1">
        <f t="shared" si="129"/>
        <v>0.1142716099</v>
      </c>
      <c r="G130" s="1">
        <f t="shared" si="129"/>
        <v>0.5020937309</v>
      </c>
      <c r="H130" s="1">
        <f t="shared" si="129"/>
        <v>0</v>
      </c>
      <c r="I130" s="1">
        <f t="shared" si="129"/>
        <v>0.2113534866</v>
      </c>
      <c r="J130" s="1">
        <f t="shared" si="129"/>
        <v>0.3797033378</v>
      </c>
      <c r="K130" s="1">
        <f t="shared" si="129"/>
        <v>0</v>
      </c>
      <c r="L130" s="1">
        <f t="shared" si="129"/>
        <v>0.2725501152</v>
      </c>
      <c r="M130" s="1">
        <f t="shared" si="129"/>
        <v>0.3322314324</v>
      </c>
      <c r="N130" s="1">
        <f t="shared" si="129"/>
        <v>0.5316547222</v>
      </c>
      <c r="O130" s="1">
        <f t="shared" si="129"/>
        <v>0.231284818</v>
      </c>
      <c r="P130" s="1">
        <f t="shared" si="129"/>
        <v>0</v>
      </c>
      <c r="Q130" s="1">
        <f t="shared" si="129"/>
        <v>0.182140073</v>
      </c>
      <c r="R130" s="1">
        <f t="shared" si="129"/>
        <v>0</v>
      </c>
      <c r="S130" s="1">
        <f t="shared" si="129"/>
        <v>0</v>
      </c>
      <c r="T130" s="1">
        <f t="shared" si="129"/>
        <v>3.22432194</v>
      </c>
      <c r="U130" s="1">
        <f t="shared" si="129"/>
        <v>0</v>
      </c>
    </row>
    <row r="131">
      <c r="A131" s="3">
        <f>IFERROR(__xludf.DUMMYFUNCTION("""COMPUTED_VALUE"""),44050.0)</f>
        <v>44050</v>
      </c>
      <c r="B131" s="1">
        <f t="shared" ref="B131:U131" si="130">IF($A131&gt;0,Megyeinapi!B131/'megyelakosság'!B$2*100000," ")</f>
        <v>0</v>
      </c>
      <c r="C131" s="1">
        <f t="shared" si="130"/>
        <v>0</v>
      </c>
      <c r="D131" s="1">
        <f t="shared" si="130"/>
        <v>0.3025334148</v>
      </c>
      <c r="E131" s="1">
        <f t="shared" si="130"/>
        <v>0.1569701003</v>
      </c>
      <c r="F131" s="1">
        <f t="shared" si="130"/>
        <v>0.2856790248</v>
      </c>
      <c r="G131" s="1">
        <f t="shared" si="130"/>
        <v>0.5020937309</v>
      </c>
      <c r="H131" s="1">
        <f t="shared" si="130"/>
        <v>0</v>
      </c>
      <c r="I131" s="1">
        <f t="shared" si="130"/>
        <v>0</v>
      </c>
      <c r="J131" s="1">
        <f t="shared" si="130"/>
        <v>0.1898516689</v>
      </c>
      <c r="K131" s="1">
        <f t="shared" si="130"/>
        <v>0</v>
      </c>
      <c r="L131" s="1">
        <f t="shared" si="130"/>
        <v>0</v>
      </c>
      <c r="M131" s="1">
        <f t="shared" si="130"/>
        <v>0.6644628648</v>
      </c>
      <c r="N131" s="1">
        <f t="shared" si="130"/>
        <v>0</v>
      </c>
      <c r="O131" s="1">
        <f t="shared" si="130"/>
        <v>0</v>
      </c>
      <c r="P131" s="1">
        <f t="shared" si="130"/>
        <v>1.666944491</v>
      </c>
      <c r="Q131" s="1">
        <f t="shared" si="130"/>
        <v>0</v>
      </c>
      <c r="R131" s="1">
        <f t="shared" si="130"/>
        <v>0.4640069787</v>
      </c>
      <c r="S131" s="1">
        <f t="shared" si="130"/>
        <v>0.7869771029</v>
      </c>
      <c r="T131" s="1">
        <f t="shared" si="130"/>
        <v>1.172480705</v>
      </c>
      <c r="U131" s="1">
        <f t="shared" si="130"/>
        <v>0</v>
      </c>
    </row>
    <row r="132">
      <c r="A132" s="3">
        <f>IFERROR(__xludf.DUMMYFUNCTION("""COMPUTED_VALUE"""),44051.0)</f>
        <v>44051</v>
      </c>
      <c r="B132" s="1">
        <f t="shared" ref="B132:U132" si="131">IF($A132&gt;0,Megyeinapi!B132/'megyelakosság'!B$2*100000," ")</f>
        <v>0</v>
      </c>
      <c r="C132" s="1">
        <f t="shared" si="131"/>
        <v>0.2784669836</v>
      </c>
      <c r="D132" s="1">
        <f t="shared" si="131"/>
        <v>0</v>
      </c>
      <c r="E132" s="1">
        <f t="shared" si="131"/>
        <v>0.1569701003</v>
      </c>
      <c r="F132" s="1">
        <f t="shared" si="131"/>
        <v>0.3999506347</v>
      </c>
      <c r="G132" s="1">
        <f t="shared" si="131"/>
        <v>0.2510468654</v>
      </c>
      <c r="H132" s="1">
        <f t="shared" si="131"/>
        <v>0.7166694935</v>
      </c>
      <c r="I132" s="1">
        <f t="shared" si="131"/>
        <v>0</v>
      </c>
      <c r="J132" s="1">
        <f t="shared" si="131"/>
        <v>1.139110013</v>
      </c>
      <c r="K132" s="1">
        <f t="shared" si="131"/>
        <v>0</v>
      </c>
      <c r="L132" s="1">
        <f t="shared" si="131"/>
        <v>0.2725501152</v>
      </c>
      <c r="M132" s="1">
        <f t="shared" si="131"/>
        <v>0</v>
      </c>
      <c r="N132" s="1">
        <f t="shared" si="131"/>
        <v>0</v>
      </c>
      <c r="O132" s="1">
        <f t="shared" si="131"/>
        <v>0.3854746967</v>
      </c>
      <c r="P132" s="1">
        <f t="shared" si="131"/>
        <v>0</v>
      </c>
      <c r="Q132" s="1">
        <f t="shared" si="131"/>
        <v>0.182140073</v>
      </c>
      <c r="R132" s="1">
        <f t="shared" si="131"/>
        <v>-0.4640069787</v>
      </c>
      <c r="S132" s="1">
        <f t="shared" si="131"/>
        <v>0</v>
      </c>
      <c r="T132" s="1">
        <f t="shared" si="131"/>
        <v>2.051841234</v>
      </c>
      <c r="U132" s="1">
        <f t="shared" si="131"/>
        <v>0</v>
      </c>
    </row>
    <row r="133">
      <c r="A133" s="3">
        <f>IFERROR(__xludf.DUMMYFUNCTION("""COMPUTED_VALUE"""),44052.0)</f>
        <v>44052</v>
      </c>
      <c r="B133" s="1">
        <f t="shared" ref="B133:U133" si="132">IF($A133&gt;0,Megyeinapi!B133/'megyelakosság'!B$2*100000," ")</f>
        <v>0.7964637012</v>
      </c>
      <c r="C133" s="1">
        <f t="shared" si="132"/>
        <v>1.392334918</v>
      </c>
      <c r="D133" s="1">
        <f t="shared" si="132"/>
        <v>0</v>
      </c>
      <c r="E133" s="1">
        <f t="shared" si="132"/>
        <v>0.1569701003</v>
      </c>
      <c r="F133" s="1">
        <f t="shared" si="132"/>
        <v>0.5713580495</v>
      </c>
      <c r="G133" s="1">
        <f t="shared" si="132"/>
        <v>0</v>
      </c>
      <c r="H133" s="1">
        <f t="shared" si="132"/>
        <v>0</v>
      </c>
      <c r="I133" s="1">
        <f t="shared" si="132"/>
        <v>0</v>
      </c>
      <c r="J133" s="1">
        <f t="shared" si="132"/>
        <v>0.3797033378</v>
      </c>
      <c r="K133" s="1">
        <f t="shared" si="132"/>
        <v>0</v>
      </c>
      <c r="L133" s="1">
        <f t="shared" si="132"/>
        <v>0</v>
      </c>
      <c r="M133" s="1">
        <f t="shared" si="132"/>
        <v>0</v>
      </c>
      <c r="N133" s="1">
        <f t="shared" si="132"/>
        <v>1.063309444</v>
      </c>
      <c r="O133" s="1">
        <f t="shared" si="132"/>
        <v>0.231284818</v>
      </c>
      <c r="P133" s="1">
        <f t="shared" si="132"/>
        <v>0</v>
      </c>
      <c r="Q133" s="1">
        <f t="shared" si="132"/>
        <v>0.182140073</v>
      </c>
      <c r="R133" s="1">
        <f t="shared" si="132"/>
        <v>0</v>
      </c>
      <c r="S133" s="1">
        <f t="shared" si="132"/>
        <v>1.967442757</v>
      </c>
      <c r="T133" s="1">
        <f t="shared" si="132"/>
        <v>2.931201763</v>
      </c>
      <c r="U133" s="1">
        <f t="shared" si="132"/>
        <v>0</v>
      </c>
    </row>
    <row r="134">
      <c r="A134" s="3">
        <f>IFERROR(__xludf.DUMMYFUNCTION("""COMPUTED_VALUE"""),44053.0)</f>
        <v>44053</v>
      </c>
      <c r="B134" s="1">
        <f t="shared" ref="B134:U134" si="133">IF($A134&gt;0,Megyeinapi!B134/'megyelakosság'!B$2*100000," ")</f>
        <v>0.1991159253</v>
      </c>
      <c r="C134" s="1">
        <f t="shared" si="133"/>
        <v>0.2784669836</v>
      </c>
      <c r="D134" s="1">
        <f t="shared" si="133"/>
        <v>0</v>
      </c>
      <c r="E134" s="1">
        <f t="shared" si="133"/>
        <v>0</v>
      </c>
      <c r="F134" s="1">
        <f t="shared" si="133"/>
        <v>0.4570864396</v>
      </c>
      <c r="G134" s="1">
        <f t="shared" si="133"/>
        <v>0.2510468654</v>
      </c>
      <c r="H134" s="1">
        <f t="shared" si="133"/>
        <v>0</v>
      </c>
      <c r="I134" s="1">
        <f t="shared" si="133"/>
        <v>0.2113534866</v>
      </c>
      <c r="J134" s="1">
        <f t="shared" si="133"/>
        <v>1.898516689</v>
      </c>
      <c r="K134" s="1">
        <f t="shared" si="133"/>
        <v>0</v>
      </c>
      <c r="L134" s="1">
        <f t="shared" si="133"/>
        <v>0.5451002303</v>
      </c>
      <c r="M134" s="1">
        <f t="shared" si="133"/>
        <v>0</v>
      </c>
      <c r="N134" s="1">
        <f t="shared" si="133"/>
        <v>0</v>
      </c>
      <c r="O134" s="1">
        <f t="shared" si="133"/>
        <v>0.231284818</v>
      </c>
      <c r="P134" s="1">
        <f t="shared" si="133"/>
        <v>0</v>
      </c>
      <c r="Q134" s="1">
        <f t="shared" si="133"/>
        <v>0.364280146</v>
      </c>
      <c r="R134" s="1">
        <f t="shared" si="133"/>
        <v>0</v>
      </c>
      <c r="S134" s="1">
        <f t="shared" si="133"/>
        <v>0</v>
      </c>
      <c r="T134" s="1">
        <f t="shared" si="133"/>
        <v>1.758721058</v>
      </c>
      <c r="U134" s="1">
        <f t="shared" si="133"/>
        <v>0</v>
      </c>
    </row>
    <row r="135">
      <c r="A135" s="3">
        <f>IFERROR(__xludf.DUMMYFUNCTION("""COMPUTED_VALUE"""),44054.0)</f>
        <v>44054</v>
      </c>
      <c r="B135" s="1">
        <f t="shared" ref="B135:U135" si="134">IF($A135&gt;0,Megyeinapi!B135/'megyelakosság'!B$2*100000," ")</f>
        <v>0</v>
      </c>
      <c r="C135" s="1">
        <f t="shared" si="134"/>
        <v>0.2784669836</v>
      </c>
      <c r="D135" s="1">
        <f t="shared" si="134"/>
        <v>0</v>
      </c>
      <c r="E135" s="1">
        <f t="shared" si="134"/>
        <v>0</v>
      </c>
      <c r="F135" s="1">
        <f t="shared" si="134"/>
        <v>0.05713580495</v>
      </c>
      <c r="G135" s="1">
        <f t="shared" si="134"/>
        <v>0.2510468654</v>
      </c>
      <c r="H135" s="1">
        <f t="shared" si="134"/>
        <v>0</v>
      </c>
      <c r="I135" s="1">
        <f t="shared" si="134"/>
        <v>0</v>
      </c>
      <c r="J135" s="1">
        <f t="shared" si="134"/>
        <v>0.3797033378</v>
      </c>
      <c r="K135" s="1">
        <f t="shared" si="134"/>
        <v>0.340807236</v>
      </c>
      <c r="L135" s="1">
        <f t="shared" si="134"/>
        <v>0</v>
      </c>
      <c r="M135" s="1">
        <f t="shared" si="134"/>
        <v>0</v>
      </c>
      <c r="N135" s="1">
        <f t="shared" si="134"/>
        <v>0</v>
      </c>
      <c r="O135" s="1">
        <f t="shared" si="134"/>
        <v>0</v>
      </c>
      <c r="P135" s="1">
        <f t="shared" si="134"/>
        <v>0</v>
      </c>
      <c r="Q135" s="1">
        <f t="shared" si="134"/>
        <v>0.182140073</v>
      </c>
      <c r="R135" s="1">
        <f t="shared" si="134"/>
        <v>0</v>
      </c>
      <c r="S135" s="1">
        <f t="shared" si="134"/>
        <v>0</v>
      </c>
      <c r="T135" s="1">
        <f t="shared" si="134"/>
        <v>2.344961411</v>
      </c>
      <c r="U135" s="1">
        <f t="shared" si="134"/>
        <v>0</v>
      </c>
    </row>
    <row r="136">
      <c r="A136" s="3">
        <f>IFERROR(__xludf.DUMMYFUNCTION("""COMPUTED_VALUE"""),44055.0)</f>
        <v>44055</v>
      </c>
      <c r="B136" s="1">
        <f t="shared" ref="B136:U136" si="135">IF($A136&gt;0,Megyeinapi!B136/'megyelakosság'!B$2*100000," ")</f>
        <v>0</v>
      </c>
      <c r="C136" s="1">
        <f t="shared" si="135"/>
        <v>0</v>
      </c>
      <c r="D136" s="1">
        <f t="shared" si="135"/>
        <v>0.3025334148</v>
      </c>
      <c r="E136" s="1">
        <f t="shared" si="135"/>
        <v>0.1569701003</v>
      </c>
      <c r="F136" s="1">
        <f t="shared" si="135"/>
        <v>0.1142716099</v>
      </c>
      <c r="G136" s="1">
        <f t="shared" si="135"/>
        <v>0</v>
      </c>
      <c r="H136" s="1">
        <f t="shared" si="135"/>
        <v>0</v>
      </c>
      <c r="I136" s="1">
        <f t="shared" si="135"/>
        <v>0</v>
      </c>
      <c r="J136" s="1">
        <f t="shared" si="135"/>
        <v>0.1898516689</v>
      </c>
      <c r="K136" s="1">
        <f t="shared" si="135"/>
        <v>0</v>
      </c>
      <c r="L136" s="1">
        <f t="shared" si="135"/>
        <v>0</v>
      </c>
      <c r="M136" s="1">
        <f t="shared" si="135"/>
        <v>0</v>
      </c>
      <c r="N136" s="1">
        <f t="shared" si="135"/>
        <v>0</v>
      </c>
      <c r="O136" s="1">
        <f t="shared" si="135"/>
        <v>0</v>
      </c>
      <c r="P136" s="1">
        <f t="shared" si="135"/>
        <v>0</v>
      </c>
      <c r="Q136" s="1">
        <f t="shared" si="135"/>
        <v>0.910700365</v>
      </c>
      <c r="R136" s="1">
        <f t="shared" si="135"/>
        <v>0</v>
      </c>
      <c r="S136" s="1">
        <f t="shared" si="135"/>
        <v>1.180465654</v>
      </c>
      <c r="T136" s="1">
        <f t="shared" si="135"/>
        <v>2.638081587</v>
      </c>
      <c r="U136" s="1">
        <f t="shared" si="135"/>
        <v>0</v>
      </c>
    </row>
    <row r="137">
      <c r="A137" s="3">
        <f>IFERROR(__xludf.DUMMYFUNCTION("""COMPUTED_VALUE"""),44056.0)</f>
        <v>44056</v>
      </c>
      <c r="B137" s="1">
        <f t="shared" ref="B137:U137" si="136">IF($A137&gt;0,Megyeinapi!B137/'megyelakosság'!B$2*100000," ")</f>
        <v>0.1991159253</v>
      </c>
      <c r="C137" s="1">
        <f t="shared" si="136"/>
        <v>0</v>
      </c>
      <c r="D137" s="1">
        <f t="shared" si="136"/>
        <v>0</v>
      </c>
      <c r="E137" s="1">
        <f t="shared" si="136"/>
        <v>0.1569701003</v>
      </c>
      <c r="F137" s="1">
        <f t="shared" si="136"/>
        <v>0.6284938545</v>
      </c>
      <c r="G137" s="1">
        <f t="shared" si="136"/>
        <v>0.5020937309</v>
      </c>
      <c r="H137" s="1">
        <f t="shared" si="136"/>
        <v>0</v>
      </c>
      <c r="I137" s="1">
        <f t="shared" si="136"/>
        <v>0</v>
      </c>
      <c r="J137" s="1">
        <f t="shared" si="136"/>
        <v>1.518813351</v>
      </c>
      <c r="K137" s="1">
        <f t="shared" si="136"/>
        <v>0</v>
      </c>
      <c r="L137" s="1">
        <f t="shared" si="136"/>
        <v>0.8176503455</v>
      </c>
      <c r="M137" s="1">
        <f t="shared" si="136"/>
        <v>0</v>
      </c>
      <c r="N137" s="1">
        <f t="shared" si="136"/>
        <v>0</v>
      </c>
      <c r="O137" s="1">
        <f t="shared" si="136"/>
        <v>0.1541898787</v>
      </c>
      <c r="P137" s="1">
        <f t="shared" si="136"/>
        <v>0</v>
      </c>
      <c r="Q137" s="1">
        <f t="shared" si="136"/>
        <v>1.639260657</v>
      </c>
      <c r="R137" s="1">
        <f t="shared" si="136"/>
        <v>0</v>
      </c>
      <c r="S137" s="1">
        <f t="shared" si="136"/>
        <v>0</v>
      </c>
      <c r="T137" s="1">
        <f t="shared" si="136"/>
        <v>2.051841234</v>
      </c>
      <c r="U137" s="1">
        <f t="shared" si="136"/>
        <v>0.3741520779</v>
      </c>
    </row>
    <row r="138">
      <c r="A138" s="3">
        <f>IFERROR(__xludf.DUMMYFUNCTION("""COMPUTED_VALUE"""),44057.0)</f>
        <v>44057</v>
      </c>
      <c r="B138" s="1">
        <f t="shared" ref="B138:U138" si="137">IF($A138&gt;0,Megyeinapi!B138/'megyelakosság'!B$2*100000," ")</f>
        <v>0.1991159253</v>
      </c>
      <c r="C138" s="1">
        <f t="shared" si="137"/>
        <v>0</v>
      </c>
      <c r="D138" s="1">
        <f t="shared" si="137"/>
        <v>0</v>
      </c>
      <c r="E138" s="1">
        <f t="shared" si="137"/>
        <v>0.3139402007</v>
      </c>
      <c r="F138" s="1">
        <f t="shared" si="137"/>
        <v>0.6856296594</v>
      </c>
      <c r="G138" s="1">
        <f t="shared" si="137"/>
        <v>0</v>
      </c>
      <c r="H138" s="1">
        <f t="shared" si="137"/>
        <v>0</v>
      </c>
      <c r="I138" s="1">
        <f t="shared" si="137"/>
        <v>0</v>
      </c>
      <c r="J138" s="1">
        <f t="shared" si="137"/>
        <v>0.3797033378</v>
      </c>
      <c r="K138" s="1">
        <f t="shared" si="137"/>
        <v>0.340807236</v>
      </c>
      <c r="L138" s="1">
        <f t="shared" si="137"/>
        <v>0.2725501152</v>
      </c>
      <c r="M138" s="1">
        <f t="shared" si="137"/>
        <v>0</v>
      </c>
      <c r="N138" s="1">
        <f t="shared" si="137"/>
        <v>0</v>
      </c>
      <c r="O138" s="1">
        <f t="shared" si="137"/>
        <v>0.3854746967</v>
      </c>
      <c r="P138" s="1">
        <f t="shared" si="137"/>
        <v>0</v>
      </c>
      <c r="Q138" s="1">
        <f t="shared" si="137"/>
        <v>1.82140073</v>
      </c>
      <c r="R138" s="1">
        <f t="shared" si="137"/>
        <v>0.9280139573</v>
      </c>
      <c r="S138" s="1">
        <f t="shared" si="137"/>
        <v>0.3934885515</v>
      </c>
      <c r="T138" s="1">
        <f t="shared" si="137"/>
        <v>0.879360529</v>
      </c>
      <c r="U138" s="1">
        <f t="shared" si="137"/>
        <v>0</v>
      </c>
    </row>
    <row r="139">
      <c r="A139" s="3">
        <f>IFERROR(__xludf.DUMMYFUNCTION("""COMPUTED_VALUE"""),44058.0)</f>
        <v>44058</v>
      </c>
      <c r="B139" s="1">
        <f t="shared" ref="B139:U139" si="138">IF($A139&gt;0,Megyeinapi!B139/'megyelakosság'!B$2*100000," ")</f>
        <v>0.3982318506</v>
      </c>
      <c r="C139" s="1">
        <f t="shared" si="138"/>
        <v>0</v>
      </c>
      <c r="D139" s="1">
        <f t="shared" si="138"/>
        <v>0</v>
      </c>
      <c r="E139" s="1">
        <f t="shared" si="138"/>
        <v>0</v>
      </c>
      <c r="F139" s="1">
        <f t="shared" si="138"/>
        <v>0.3999506347</v>
      </c>
      <c r="G139" s="1">
        <f t="shared" si="138"/>
        <v>0.2510468654</v>
      </c>
      <c r="H139" s="1">
        <f t="shared" si="138"/>
        <v>0</v>
      </c>
      <c r="I139" s="1">
        <f t="shared" si="138"/>
        <v>0.4227069732</v>
      </c>
      <c r="J139" s="1">
        <f t="shared" si="138"/>
        <v>-0.7594066756</v>
      </c>
      <c r="K139" s="1">
        <f t="shared" si="138"/>
        <v>0</v>
      </c>
      <c r="L139" s="1">
        <f t="shared" si="138"/>
        <v>0</v>
      </c>
      <c r="M139" s="1">
        <f t="shared" si="138"/>
        <v>0</v>
      </c>
      <c r="N139" s="1">
        <f t="shared" si="138"/>
        <v>0</v>
      </c>
      <c r="O139" s="1">
        <f t="shared" si="138"/>
        <v>0.6167595147</v>
      </c>
      <c r="P139" s="1">
        <f t="shared" si="138"/>
        <v>0</v>
      </c>
      <c r="Q139" s="1">
        <f t="shared" si="138"/>
        <v>1.457120584</v>
      </c>
      <c r="R139" s="1">
        <f t="shared" si="138"/>
        <v>0</v>
      </c>
      <c r="S139" s="1">
        <f t="shared" si="138"/>
        <v>0</v>
      </c>
      <c r="T139" s="1">
        <f t="shared" si="138"/>
        <v>0</v>
      </c>
      <c r="U139" s="1">
        <f t="shared" si="138"/>
        <v>0</v>
      </c>
    </row>
    <row r="140">
      <c r="A140" s="3">
        <f>IFERROR(__xludf.DUMMYFUNCTION("""COMPUTED_VALUE"""),44059.0)</f>
        <v>44059</v>
      </c>
      <c r="B140" s="1">
        <f t="shared" ref="B140:U140" si="139">IF($A140&gt;0,Megyeinapi!B140/'megyelakosság'!B$2*100000," ")</f>
        <v>0</v>
      </c>
      <c r="C140" s="1">
        <f t="shared" si="139"/>
        <v>0</v>
      </c>
      <c r="D140" s="1">
        <f t="shared" si="139"/>
        <v>0</v>
      </c>
      <c r="E140" s="1">
        <f t="shared" si="139"/>
        <v>0.1569701003</v>
      </c>
      <c r="F140" s="1">
        <f t="shared" si="139"/>
        <v>0.5713580495</v>
      </c>
      <c r="G140" s="1">
        <f t="shared" si="139"/>
        <v>0</v>
      </c>
      <c r="H140" s="1">
        <f t="shared" si="139"/>
        <v>0</v>
      </c>
      <c r="I140" s="1">
        <f t="shared" si="139"/>
        <v>0</v>
      </c>
      <c r="J140" s="1">
        <f t="shared" si="139"/>
        <v>0.7594066756</v>
      </c>
      <c r="K140" s="1">
        <f t="shared" si="139"/>
        <v>0.340807236</v>
      </c>
      <c r="L140" s="1">
        <f t="shared" si="139"/>
        <v>0.2725501152</v>
      </c>
      <c r="M140" s="1">
        <f t="shared" si="139"/>
        <v>0</v>
      </c>
      <c r="N140" s="1">
        <f t="shared" si="139"/>
        <v>0.5316547222</v>
      </c>
      <c r="O140" s="1">
        <f t="shared" si="139"/>
        <v>0.3083797573</v>
      </c>
      <c r="P140" s="1">
        <f t="shared" si="139"/>
        <v>0</v>
      </c>
      <c r="Q140" s="1">
        <f t="shared" si="139"/>
        <v>0.910700365</v>
      </c>
      <c r="R140" s="1">
        <f t="shared" si="139"/>
        <v>0</v>
      </c>
      <c r="S140" s="1">
        <f t="shared" si="139"/>
        <v>0</v>
      </c>
      <c r="T140" s="1">
        <f t="shared" si="139"/>
        <v>0.2931201763</v>
      </c>
      <c r="U140" s="1">
        <f t="shared" si="139"/>
        <v>4.115672856</v>
      </c>
    </row>
    <row r="141">
      <c r="A141" s="3">
        <f>IFERROR(__xludf.DUMMYFUNCTION("""COMPUTED_VALUE"""),44060.0)</f>
        <v>44060</v>
      </c>
      <c r="B141" s="1">
        <f t="shared" ref="B141:U141" si="140">IF($A141&gt;0,Megyeinapi!B141/'megyelakosság'!B$2*100000," ")</f>
        <v>0.5973477759</v>
      </c>
      <c r="C141" s="1">
        <f t="shared" si="140"/>
        <v>0</v>
      </c>
      <c r="D141" s="1">
        <f t="shared" si="140"/>
        <v>0</v>
      </c>
      <c r="E141" s="1">
        <f t="shared" si="140"/>
        <v>0.1569701003</v>
      </c>
      <c r="F141" s="1">
        <f t="shared" si="140"/>
        <v>0.6856296594</v>
      </c>
      <c r="G141" s="1">
        <f t="shared" si="140"/>
        <v>0</v>
      </c>
      <c r="H141" s="1">
        <f t="shared" si="140"/>
        <v>0.9555593247</v>
      </c>
      <c r="I141" s="1">
        <f t="shared" si="140"/>
        <v>0</v>
      </c>
      <c r="J141" s="1">
        <f t="shared" si="140"/>
        <v>0.3797033378</v>
      </c>
      <c r="K141" s="1">
        <f t="shared" si="140"/>
        <v>0</v>
      </c>
      <c r="L141" s="1">
        <f t="shared" si="140"/>
        <v>0</v>
      </c>
      <c r="M141" s="1">
        <f t="shared" si="140"/>
        <v>0</v>
      </c>
      <c r="N141" s="1">
        <f t="shared" si="140"/>
        <v>0</v>
      </c>
      <c r="O141" s="1">
        <f t="shared" si="140"/>
        <v>0.1541898787</v>
      </c>
      <c r="P141" s="1">
        <f t="shared" si="140"/>
        <v>0</v>
      </c>
      <c r="Q141" s="1">
        <f t="shared" si="140"/>
        <v>0.182140073</v>
      </c>
      <c r="R141" s="1">
        <f t="shared" si="140"/>
        <v>0.4640069787</v>
      </c>
      <c r="S141" s="1">
        <f t="shared" si="140"/>
        <v>0.7869771029</v>
      </c>
      <c r="T141" s="1">
        <f t="shared" si="140"/>
        <v>0.5862403527</v>
      </c>
      <c r="U141" s="1">
        <f t="shared" si="140"/>
        <v>0</v>
      </c>
    </row>
    <row r="142">
      <c r="A142" s="3">
        <f>IFERROR(__xludf.DUMMYFUNCTION("""COMPUTED_VALUE"""),44061.0)</f>
        <v>44061</v>
      </c>
      <c r="B142" s="1">
        <f t="shared" ref="B142:U142" si="141">IF($A142&gt;0,Megyeinapi!B142/'megyelakosság'!B$2*100000," ")</f>
        <v>0</v>
      </c>
      <c r="C142" s="1">
        <f t="shared" si="141"/>
        <v>0</v>
      </c>
      <c r="D142" s="1">
        <f t="shared" si="141"/>
        <v>0</v>
      </c>
      <c r="E142" s="1">
        <f t="shared" si="141"/>
        <v>0</v>
      </c>
      <c r="F142" s="1">
        <f t="shared" si="141"/>
        <v>0.5142222446</v>
      </c>
      <c r="G142" s="1">
        <f t="shared" si="141"/>
        <v>0.2510468654</v>
      </c>
      <c r="H142" s="1">
        <f t="shared" si="141"/>
        <v>0</v>
      </c>
      <c r="I142" s="1">
        <f t="shared" si="141"/>
        <v>0.2113534866</v>
      </c>
      <c r="J142" s="1">
        <f t="shared" si="141"/>
        <v>0</v>
      </c>
      <c r="K142" s="1">
        <f t="shared" si="141"/>
        <v>0</v>
      </c>
      <c r="L142" s="1">
        <f t="shared" si="141"/>
        <v>0</v>
      </c>
      <c r="M142" s="1">
        <f t="shared" si="141"/>
        <v>0</v>
      </c>
      <c r="N142" s="1">
        <f t="shared" si="141"/>
        <v>0</v>
      </c>
      <c r="O142" s="1">
        <f t="shared" si="141"/>
        <v>0.6167595147</v>
      </c>
      <c r="P142" s="1">
        <f t="shared" si="141"/>
        <v>0</v>
      </c>
      <c r="Q142" s="1">
        <f t="shared" si="141"/>
        <v>0.364280146</v>
      </c>
      <c r="R142" s="1">
        <f t="shared" si="141"/>
        <v>0</v>
      </c>
      <c r="S142" s="1">
        <f t="shared" si="141"/>
        <v>0</v>
      </c>
      <c r="T142" s="1">
        <f t="shared" si="141"/>
        <v>0.879360529</v>
      </c>
      <c r="U142" s="1">
        <f t="shared" si="141"/>
        <v>0</v>
      </c>
    </row>
    <row r="143">
      <c r="A143" s="3">
        <f>IFERROR(__xludf.DUMMYFUNCTION("""COMPUTED_VALUE"""),44062.0)</f>
        <v>44062</v>
      </c>
      <c r="B143" s="1">
        <f t="shared" ref="B143:U143" si="142">IF($A143&gt;0,Megyeinapi!B143/'megyelakosság'!B$2*100000," ")</f>
        <v>0</v>
      </c>
      <c r="C143" s="1">
        <f t="shared" si="142"/>
        <v>0.2784669836</v>
      </c>
      <c r="D143" s="1">
        <f t="shared" si="142"/>
        <v>0</v>
      </c>
      <c r="E143" s="1">
        <f t="shared" si="142"/>
        <v>0.1569701003</v>
      </c>
      <c r="F143" s="1">
        <f t="shared" si="142"/>
        <v>0.8570370743</v>
      </c>
      <c r="G143" s="1">
        <f t="shared" si="142"/>
        <v>0</v>
      </c>
      <c r="H143" s="1">
        <f t="shared" si="142"/>
        <v>1.194449156</v>
      </c>
      <c r="I143" s="1">
        <f t="shared" si="142"/>
        <v>0.4227069732</v>
      </c>
      <c r="J143" s="1">
        <f t="shared" si="142"/>
        <v>0</v>
      </c>
      <c r="K143" s="1">
        <f t="shared" si="142"/>
        <v>0.340807236</v>
      </c>
      <c r="L143" s="1">
        <f t="shared" si="142"/>
        <v>0</v>
      </c>
      <c r="M143" s="1">
        <f t="shared" si="142"/>
        <v>0</v>
      </c>
      <c r="N143" s="1">
        <f t="shared" si="142"/>
        <v>0</v>
      </c>
      <c r="O143" s="1">
        <f t="shared" si="142"/>
        <v>0.231284818</v>
      </c>
      <c r="P143" s="1">
        <f t="shared" si="142"/>
        <v>0</v>
      </c>
      <c r="Q143" s="1">
        <f t="shared" si="142"/>
        <v>0</v>
      </c>
      <c r="R143" s="1">
        <f t="shared" si="142"/>
        <v>0</v>
      </c>
      <c r="S143" s="1">
        <f t="shared" si="142"/>
        <v>0.3934885515</v>
      </c>
      <c r="T143" s="1">
        <f t="shared" si="142"/>
        <v>0.2931201763</v>
      </c>
      <c r="U143" s="1">
        <f t="shared" si="142"/>
        <v>0.7483041557</v>
      </c>
    </row>
    <row r="144">
      <c r="A144" s="3">
        <f>IFERROR(__xludf.DUMMYFUNCTION("""COMPUTED_VALUE"""),44063.0)</f>
        <v>44063</v>
      </c>
      <c r="B144" s="1">
        <f t="shared" ref="B144:U144" si="143">IF($A144&gt;0,Megyeinapi!B144/'megyelakosság'!B$2*100000," ")</f>
        <v>0.3982318506</v>
      </c>
      <c r="C144" s="1">
        <f t="shared" si="143"/>
        <v>0.2784669836</v>
      </c>
      <c r="D144" s="1">
        <f t="shared" si="143"/>
        <v>0</v>
      </c>
      <c r="E144" s="1">
        <f t="shared" si="143"/>
        <v>0.1569701003</v>
      </c>
      <c r="F144" s="1">
        <f t="shared" si="143"/>
        <v>1.142716099</v>
      </c>
      <c r="G144" s="1">
        <f t="shared" si="143"/>
        <v>0.2510468654</v>
      </c>
      <c r="H144" s="1">
        <f t="shared" si="143"/>
        <v>0.2388898312</v>
      </c>
      <c r="I144" s="1">
        <f t="shared" si="143"/>
        <v>0</v>
      </c>
      <c r="J144" s="1">
        <f t="shared" si="143"/>
        <v>0.3797033378</v>
      </c>
      <c r="K144" s="1">
        <f t="shared" si="143"/>
        <v>0</v>
      </c>
      <c r="L144" s="1">
        <f t="shared" si="143"/>
        <v>0.5451002303</v>
      </c>
      <c r="M144" s="1">
        <f t="shared" si="143"/>
        <v>0</v>
      </c>
      <c r="N144" s="1">
        <f t="shared" si="143"/>
        <v>1.063309444</v>
      </c>
      <c r="O144" s="1">
        <f t="shared" si="143"/>
        <v>0.231284818</v>
      </c>
      <c r="P144" s="1">
        <f t="shared" si="143"/>
        <v>0</v>
      </c>
      <c r="Q144" s="1">
        <f t="shared" si="143"/>
        <v>1.274980511</v>
      </c>
      <c r="R144" s="1">
        <f t="shared" si="143"/>
        <v>0</v>
      </c>
      <c r="S144" s="1">
        <f t="shared" si="143"/>
        <v>0</v>
      </c>
      <c r="T144" s="1">
        <f t="shared" si="143"/>
        <v>0.5862403527</v>
      </c>
      <c r="U144" s="1">
        <f t="shared" si="143"/>
        <v>0</v>
      </c>
    </row>
    <row r="145">
      <c r="A145" s="3">
        <f>IFERROR(__xludf.DUMMYFUNCTION("""COMPUTED_VALUE"""),44064.0)</f>
        <v>44064</v>
      </c>
      <c r="B145" s="1">
        <f t="shared" ref="B145:U145" si="144">IF($A145&gt;0,Megyeinapi!B145/'megyelakosság'!B$2*100000," ")</f>
        <v>0.1991159253</v>
      </c>
      <c r="C145" s="1">
        <f t="shared" si="144"/>
        <v>0.5569339671</v>
      </c>
      <c r="D145" s="1">
        <f t="shared" si="144"/>
        <v>0</v>
      </c>
      <c r="E145" s="1">
        <f t="shared" si="144"/>
        <v>0.1569701003</v>
      </c>
      <c r="F145" s="1">
        <f t="shared" si="144"/>
        <v>0.9713086842</v>
      </c>
      <c r="G145" s="1">
        <f t="shared" si="144"/>
        <v>0</v>
      </c>
      <c r="H145" s="1">
        <f t="shared" si="144"/>
        <v>0.2388898312</v>
      </c>
      <c r="I145" s="1">
        <f t="shared" si="144"/>
        <v>0.8454139464</v>
      </c>
      <c r="J145" s="1">
        <f t="shared" si="144"/>
        <v>0.5695550067</v>
      </c>
      <c r="K145" s="1">
        <f t="shared" si="144"/>
        <v>0.340807236</v>
      </c>
      <c r="L145" s="1">
        <f t="shared" si="144"/>
        <v>0</v>
      </c>
      <c r="M145" s="1">
        <f t="shared" si="144"/>
        <v>0</v>
      </c>
      <c r="N145" s="1">
        <f t="shared" si="144"/>
        <v>1.594964166</v>
      </c>
      <c r="O145" s="1">
        <f t="shared" si="144"/>
        <v>0.462569636</v>
      </c>
      <c r="P145" s="1">
        <f t="shared" si="144"/>
        <v>0</v>
      </c>
      <c r="Q145" s="1">
        <f t="shared" si="144"/>
        <v>1.457120584</v>
      </c>
      <c r="R145" s="1">
        <f t="shared" si="144"/>
        <v>0</v>
      </c>
      <c r="S145" s="1">
        <f t="shared" si="144"/>
        <v>0.3934885515</v>
      </c>
      <c r="T145" s="1">
        <f t="shared" si="144"/>
        <v>1.172480705</v>
      </c>
      <c r="U145" s="1">
        <f t="shared" si="144"/>
        <v>0</v>
      </c>
    </row>
    <row r="146">
      <c r="A146" s="3">
        <f>IFERROR(__xludf.DUMMYFUNCTION("""COMPUTED_VALUE"""),44065.0)</f>
        <v>44065</v>
      </c>
      <c r="B146" s="1">
        <f t="shared" ref="B146:U146" si="145">IF($A146&gt;0,Megyeinapi!B146/'megyelakosság'!B$2*100000," ")</f>
        <v>0</v>
      </c>
      <c r="C146" s="1">
        <f t="shared" si="145"/>
        <v>0</v>
      </c>
      <c r="D146" s="1">
        <f t="shared" si="145"/>
        <v>0</v>
      </c>
      <c r="E146" s="1">
        <f t="shared" si="145"/>
        <v>0.3139402007</v>
      </c>
      <c r="F146" s="1">
        <f t="shared" si="145"/>
        <v>0.7999012693</v>
      </c>
      <c r="G146" s="1">
        <f t="shared" si="145"/>
        <v>0</v>
      </c>
      <c r="H146" s="1">
        <f t="shared" si="145"/>
        <v>0</v>
      </c>
      <c r="I146" s="1">
        <f t="shared" si="145"/>
        <v>0.2113534866</v>
      </c>
      <c r="J146" s="1">
        <f t="shared" si="145"/>
        <v>1.898516689</v>
      </c>
      <c r="K146" s="1">
        <f t="shared" si="145"/>
        <v>0</v>
      </c>
      <c r="L146" s="1">
        <f t="shared" si="145"/>
        <v>0</v>
      </c>
      <c r="M146" s="1">
        <f t="shared" si="145"/>
        <v>0</v>
      </c>
      <c r="N146" s="1">
        <f t="shared" si="145"/>
        <v>0</v>
      </c>
      <c r="O146" s="1">
        <f t="shared" si="145"/>
        <v>0.3083797573</v>
      </c>
      <c r="P146" s="1">
        <f t="shared" si="145"/>
        <v>0</v>
      </c>
      <c r="Q146" s="1">
        <f t="shared" si="145"/>
        <v>0.728560292</v>
      </c>
      <c r="R146" s="1">
        <f t="shared" si="145"/>
        <v>0</v>
      </c>
      <c r="S146" s="1">
        <f t="shared" si="145"/>
        <v>0</v>
      </c>
      <c r="T146" s="1">
        <f t="shared" si="145"/>
        <v>0</v>
      </c>
      <c r="U146" s="1">
        <f t="shared" si="145"/>
        <v>0</v>
      </c>
    </row>
    <row r="147">
      <c r="A147" s="3">
        <f>IFERROR(__xludf.DUMMYFUNCTION("""COMPUTED_VALUE"""),44066.0)</f>
        <v>44066</v>
      </c>
      <c r="B147" s="1">
        <f t="shared" ref="B147:U147" si="146">IF($A147&gt;0,Megyeinapi!B147/'megyelakosság'!B$2*100000," ")</f>
        <v>0</v>
      </c>
      <c r="C147" s="1">
        <f t="shared" si="146"/>
        <v>0</v>
      </c>
      <c r="D147" s="1">
        <f t="shared" si="146"/>
        <v>0</v>
      </c>
      <c r="E147" s="1">
        <f t="shared" si="146"/>
        <v>0</v>
      </c>
      <c r="F147" s="1">
        <f t="shared" si="146"/>
        <v>0.9713086842</v>
      </c>
      <c r="G147" s="1">
        <f t="shared" si="146"/>
        <v>0</v>
      </c>
      <c r="H147" s="1">
        <f t="shared" si="146"/>
        <v>0</v>
      </c>
      <c r="I147" s="1">
        <f t="shared" si="146"/>
        <v>0</v>
      </c>
      <c r="J147" s="1">
        <f t="shared" si="146"/>
        <v>0</v>
      </c>
      <c r="K147" s="1">
        <f t="shared" si="146"/>
        <v>0</v>
      </c>
      <c r="L147" s="1">
        <f t="shared" si="146"/>
        <v>0.2725501152</v>
      </c>
      <c r="M147" s="1">
        <f t="shared" si="146"/>
        <v>0.3322314324</v>
      </c>
      <c r="N147" s="1">
        <f t="shared" si="146"/>
        <v>0</v>
      </c>
      <c r="O147" s="1">
        <f t="shared" si="146"/>
        <v>0.231284818</v>
      </c>
      <c r="P147" s="1">
        <f t="shared" si="146"/>
        <v>0</v>
      </c>
      <c r="Q147" s="1">
        <f t="shared" si="146"/>
        <v>0</v>
      </c>
      <c r="R147" s="1">
        <f t="shared" si="146"/>
        <v>0</v>
      </c>
      <c r="S147" s="1">
        <f t="shared" si="146"/>
        <v>0</v>
      </c>
      <c r="T147" s="1">
        <f t="shared" si="146"/>
        <v>0</v>
      </c>
      <c r="U147" s="1">
        <f t="shared" si="146"/>
        <v>0</v>
      </c>
    </row>
    <row r="148">
      <c r="A148" s="3">
        <f>IFERROR(__xludf.DUMMYFUNCTION("""COMPUTED_VALUE"""),44067.0)</f>
        <v>44067</v>
      </c>
      <c r="B148" s="1">
        <f t="shared" ref="B148:U148" si="147">IF($A148&gt;0,Megyeinapi!B148/'megyelakosság'!B$2*100000," ")</f>
        <v>0.1991159253</v>
      </c>
      <c r="C148" s="1">
        <f t="shared" si="147"/>
        <v>0</v>
      </c>
      <c r="D148" s="1">
        <f t="shared" si="147"/>
        <v>0</v>
      </c>
      <c r="E148" s="1">
        <f t="shared" si="147"/>
        <v>0.1569701003</v>
      </c>
      <c r="F148" s="1">
        <f t="shared" si="147"/>
        <v>0.5713580495</v>
      </c>
      <c r="G148" s="1">
        <f t="shared" si="147"/>
        <v>0</v>
      </c>
      <c r="H148" s="1">
        <f t="shared" si="147"/>
        <v>0.2388898312</v>
      </c>
      <c r="I148" s="1">
        <f t="shared" si="147"/>
        <v>0</v>
      </c>
      <c r="J148" s="1">
        <f t="shared" si="147"/>
        <v>0.5695550067</v>
      </c>
      <c r="K148" s="1">
        <f t="shared" si="147"/>
        <v>0</v>
      </c>
      <c r="L148" s="1">
        <f t="shared" si="147"/>
        <v>0</v>
      </c>
      <c r="M148" s="1">
        <f t="shared" si="147"/>
        <v>0</v>
      </c>
      <c r="N148" s="1">
        <f t="shared" si="147"/>
        <v>0</v>
      </c>
      <c r="O148" s="1">
        <f t="shared" si="147"/>
        <v>0.231284818</v>
      </c>
      <c r="P148" s="1">
        <f t="shared" si="147"/>
        <v>0</v>
      </c>
      <c r="Q148" s="1">
        <f t="shared" si="147"/>
        <v>3.096381241</v>
      </c>
      <c r="R148" s="1">
        <f t="shared" si="147"/>
        <v>0</v>
      </c>
      <c r="S148" s="1">
        <f t="shared" si="147"/>
        <v>0</v>
      </c>
      <c r="T148" s="1">
        <f t="shared" si="147"/>
        <v>0</v>
      </c>
      <c r="U148" s="1">
        <f t="shared" si="147"/>
        <v>0</v>
      </c>
    </row>
    <row r="149">
      <c r="A149" s="3">
        <f>IFERROR(__xludf.DUMMYFUNCTION("""COMPUTED_VALUE"""),44068.0)</f>
        <v>44068</v>
      </c>
      <c r="B149" s="1">
        <f t="shared" ref="B149:U149" si="148">IF($A149&gt;0,Megyeinapi!B149/'megyelakosság'!B$2*100000," ")</f>
        <v>-0.1991159253</v>
      </c>
      <c r="C149" s="1">
        <f t="shared" si="148"/>
        <v>0</v>
      </c>
      <c r="D149" s="1">
        <f t="shared" si="148"/>
        <v>0</v>
      </c>
      <c r="E149" s="1">
        <f t="shared" si="148"/>
        <v>0</v>
      </c>
      <c r="F149" s="1">
        <f t="shared" si="148"/>
        <v>0.6284938545</v>
      </c>
      <c r="G149" s="1">
        <f t="shared" si="148"/>
        <v>0.2510468654</v>
      </c>
      <c r="H149" s="1">
        <f t="shared" si="148"/>
        <v>0</v>
      </c>
      <c r="I149" s="1">
        <f t="shared" si="148"/>
        <v>0</v>
      </c>
      <c r="J149" s="1">
        <f t="shared" si="148"/>
        <v>0.3797033378</v>
      </c>
      <c r="K149" s="1">
        <f t="shared" si="148"/>
        <v>0</v>
      </c>
      <c r="L149" s="1">
        <f t="shared" si="148"/>
        <v>0.2725501152</v>
      </c>
      <c r="M149" s="1">
        <f t="shared" si="148"/>
        <v>0</v>
      </c>
      <c r="N149" s="1">
        <f t="shared" si="148"/>
        <v>0</v>
      </c>
      <c r="O149" s="1">
        <f t="shared" si="148"/>
        <v>0.3083797573</v>
      </c>
      <c r="P149" s="1">
        <f t="shared" si="148"/>
        <v>0</v>
      </c>
      <c r="Q149" s="1">
        <f t="shared" si="148"/>
        <v>1.092840438</v>
      </c>
      <c r="R149" s="1">
        <f t="shared" si="148"/>
        <v>0</v>
      </c>
      <c r="S149" s="1">
        <f t="shared" si="148"/>
        <v>0</v>
      </c>
      <c r="T149" s="1">
        <f t="shared" si="148"/>
        <v>0</v>
      </c>
      <c r="U149" s="1">
        <f t="shared" si="148"/>
        <v>0</v>
      </c>
    </row>
    <row r="150">
      <c r="A150" s="3">
        <f>IFERROR(__xludf.DUMMYFUNCTION("""COMPUTED_VALUE"""),44069.0)</f>
        <v>44069</v>
      </c>
      <c r="B150" s="1">
        <f t="shared" ref="B150:U150" si="149">IF($A150&gt;0,Megyeinapi!B150/'megyelakosság'!B$2*100000," ")</f>
        <v>0</v>
      </c>
      <c r="C150" s="1">
        <f t="shared" si="149"/>
        <v>0.2784669836</v>
      </c>
      <c r="D150" s="1">
        <f t="shared" si="149"/>
        <v>0.3025334148</v>
      </c>
      <c r="E150" s="1">
        <f t="shared" si="149"/>
        <v>0.941820602</v>
      </c>
      <c r="F150" s="1">
        <f t="shared" si="149"/>
        <v>1.999753173</v>
      </c>
      <c r="G150" s="1">
        <f t="shared" si="149"/>
        <v>0</v>
      </c>
      <c r="H150" s="1">
        <f t="shared" si="149"/>
        <v>1.672228818</v>
      </c>
      <c r="I150" s="1">
        <f t="shared" si="149"/>
        <v>0.6340604598</v>
      </c>
      <c r="J150" s="1">
        <f t="shared" si="149"/>
        <v>2.088368358</v>
      </c>
      <c r="K150" s="1">
        <f t="shared" si="149"/>
        <v>0</v>
      </c>
      <c r="L150" s="1">
        <f t="shared" si="149"/>
        <v>-0.5451002303</v>
      </c>
      <c r="M150" s="1">
        <f t="shared" si="149"/>
        <v>0.6644628648</v>
      </c>
      <c r="N150" s="1">
        <f t="shared" si="149"/>
        <v>0</v>
      </c>
      <c r="O150" s="1">
        <f t="shared" si="149"/>
        <v>0.6167595147</v>
      </c>
      <c r="P150" s="1">
        <f t="shared" si="149"/>
        <v>0</v>
      </c>
      <c r="Q150" s="1">
        <f t="shared" si="149"/>
        <v>-0.728560292</v>
      </c>
      <c r="R150" s="1">
        <f t="shared" si="149"/>
        <v>0.4640069787</v>
      </c>
      <c r="S150" s="1">
        <f t="shared" si="149"/>
        <v>0</v>
      </c>
      <c r="T150" s="1">
        <f t="shared" si="149"/>
        <v>1.172480705</v>
      </c>
      <c r="U150" s="1">
        <f t="shared" si="149"/>
        <v>0</v>
      </c>
    </row>
    <row r="151">
      <c r="A151" s="3">
        <f>IFERROR(__xludf.DUMMYFUNCTION("""COMPUTED_VALUE"""),44070.0)</f>
        <v>44070</v>
      </c>
      <c r="B151" s="1">
        <f t="shared" ref="B151:U151" si="150">IF($A151&gt;0,Megyeinapi!B151/'megyelakosság'!B$2*100000," ")</f>
        <v>0</v>
      </c>
      <c r="C151" s="1">
        <f t="shared" si="150"/>
        <v>1.113867934</v>
      </c>
      <c r="D151" s="1">
        <f t="shared" si="150"/>
        <v>0.3025334148</v>
      </c>
      <c r="E151" s="1">
        <f t="shared" si="150"/>
        <v>0.470910301</v>
      </c>
      <c r="F151" s="1">
        <f t="shared" si="150"/>
        <v>2.513975418</v>
      </c>
      <c r="G151" s="1">
        <f t="shared" si="150"/>
        <v>0</v>
      </c>
      <c r="H151" s="1">
        <f t="shared" si="150"/>
        <v>0.4777796624</v>
      </c>
      <c r="I151" s="1">
        <f t="shared" si="150"/>
        <v>0.4227069732</v>
      </c>
      <c r="J151" s="1">
        <f t="shared" si="150"/>
        <v>0.5695550067</v>
      </c>
      <c r="K151" s="1">
        <f t="shared" si="150"/>
        <v>0.681614472</v>
      </c>
      <c r="L151" s="1">
        <f t="shared" si="150"/>
        <v>0.8176503455</v>
      </c>
      <c r="M151" s="1">
        <f t="shared" si="150"/>
        <v>0.9966942972</v>
      </c>
      <c r="N151" s="1">
        <f t="shared" si="150"/>
        <v>0</v>
      </c>
      <c r="O151" s="1">
        <f t="shared" si="150"/>
        <v>1.002234211</v>
      </c>
      <c r="P151" s="1">
        <f t="shared" si="150"/>
        <v>1.000166694</v>
      </c>
      <c r="Q151" s="1">
        <f t="shared" si="150"/>
        <v>0.728560292</v>
      </c>
      <c r="R151" s="1">
        <f t="shared" si="150"/>
        <v>0.9280139573</v>
      </c>
      <c r="S151" s="1">
        <f t="shared" si="150"/>
        <v>0</v>
      </c>
      <c r="T151" s="1">
        <f t="shared" si="150"/>
        <v>0.5862403527</v>
      </c>
      <c r="U151" s="1">
        <f t="shared" si="150"/>
        <v>0</v>
      </c>
    </row>
    <row r="152">
      <c r="A152" s="3">
        <f>IFERROR(__xludf.DUMMYFUNCTION("""COMPUTED_VALUE"""),44071.0)</f>
        <v>44071</v>
      </c>
      <c r="B152" s="1">
        <f t="shared" ref="B152:U152" si="151">IF($A152&gt;0,Megyeinapi!B152/'megyelakosság'!B$2*100000," ")</f>
        <v>0.9955796265</v>
      </c>
      <c r="C152" s="1">
        <f t="shared" si="151"/>
        <v>1.113867934</v>
      </c>
      <c r="D152" s="1">
        <f t="shared" si="151"/>
        <v>0</v>
      </c>
      <c r="E152" s="1">
        <f t="shared" si="151"/>
        <v>1.098790702</v>
      </c>
      <c r="F152" s="1">
        <f t="shared" si="151"/>
        <v>2.971061858</v>
      </c>
      <c r="G152" s="1">
        <f t="shared" si="151"/>
        <v>0.7531405963</v>
      </c>
      <c r="H152" s="1">
        <f t="shared" si="151"/>
        <v>2.388898312</v>
      </c>
      <c r="I152" s="1">
        <f t="shared" si="151"/>
        <v>0.8454139464</v>
      </c>
      <c r="J152" s="1">
        <f t="shared" si="151"/>
        <v>2.468071696</v>
      </c>
      <c r="K152" s="1">
        <f t="shared" si="151"/>
        <v>1.022421708</v>
      </c>
      <c r="L152" s="1">
        <f t="shared" si="151"/>
        <v>0.8176503455</v>
      </c>
      <c r="M152" s="1">
        <f t="shared" si="151"/>
        <v>0.6644628648</v>
      </c>
      <c r="N152" s="1">
        <f t="shared" si="151"/>
        <v>0</v>
      </c>
      <c r="O152" s="1">
        <f t="shared" si="151"/>
        <v>0.8480443327</v>
      </c>
      <c r="P152" s="1">
        <f t="shared" si="151"/>
        <v>0</v>
      </c>
      <c r="Q152" s="1">
        <f t="shared" si="151"/>
        <v>2.185680876</v>
      </c>
      <c r="R152" s="1">
        <f t="shared" si="151"/>
        <v>0.4640069787</v>
      </c>
      <c r="S152" s="1">
        <f t="shared" si="151"/>
        <v>0.3934885515</v>
      </c>
      <c r="T152" s="1">
        <f t="shared" si="151"/>
        <v>0.2931201763</v>
      </c>
      <c r="U152" s="1">
        <f t="shared" si="151"/>
        <v>0</v>
      </c>
    </row>
    <row r="153">
      <c r="A153" s="3">
        <f>IFERROR(__xludf.DUMMYFUNCTION("""COMPUTED_VALUE"""),44072.0)</f>
        <v>44072</v>
      </c>
      <c r="B153" s="1">
        <f t="shared" ref="B153:U153" si="152">IF($A153&gt;0,Megyeinapi!B153/'megyelakosság'!B$2*100000," ")</f>
        <v>1.194695552</v>
      </c>
      <c r="C153" s="1">
        <f t="shared" si="152"/>
        <v>1.392334918</v>
      </c>
      <c r="D153" s="1">
        <f t="shared" si="152"/>
        <v>0.6050668296</v>
      </c>
      <c r="E153" s="1">
        <f t="shared" si="152"/>
        <v>1.098790702</v>
      </c>
      <c r="F153" s="1">
        <f t="shared" si="152"/>
        <v>3.999506347</v>
      </c>
      <c r="G153" s="1">
        <f t="shared" si="152"/>
        <v>0.7531405963</v>
      </c>
      <c r="H153" s="1">
        <f t="shared" si="152"/>
        <v>0.4777796624</v>
      </c>
      <c r="I153" s="1">
        <f t="shared" si="152"/>
        <v>1.26812092</v>
      </c>
      <c r="J153" s="1">
        <f t="shared" si="152"/>
        <v>1.139110013</v>
      </c>
      <c r="K153" s="1">
        <f t="shared" si="152"/>
        <v>0</v>
      </c>
      <c r="L153" s="1">
        <f t="shared" si="152"/>
        <v>0.8176503455</v>
      </c>
      <c r="M153" s="1">
        <f t="shared" si="152"/>
        <v>0.9966942972</v>
      </c>
      <c r="N153" s="1">
        <f t="shared" si="152"/>
        <v>1.063309444</v>
      </c>
      <c r="O153" s="1">
        <f t="shared" si="152"/>
        <v>2.31284818</v>
      </c>
      <c r="P153" s="1">
        <f t="shared" si="152"/>
        <v>0.6667777963</v>
      </c>
      <c r="Q153" s="1">
        <f t="shared" si="152"/>
        <v>0.910700365</v>
      </c>
      <c r="R153" s="1">
        <f t="shared" si="152"/>
        <v>0.9280139573</v>
      </c>
      <c r="S153" s="1">
        <f t="shared" si="152"/>
        <v>0</v>
      </c>
      <c r="T153" s="1">
        <f t="shared" si="152"/>
        <v>0.879360529</v>
      </c>
      <c r="U153" s="1">
        <f t="shared" si="152"/>
        <v>0.3741520779</v>
      </c>
    </row>
    <row r="154">
      <c r="A154" s="3">
        <f>IFERROR(__xludf.DUMMYFUNCTION("""COMPUTED_VALUE"""),44073.0)</f>
        <v>44073</v>
      </c>
      <c r="B154" s="1">
        <f t="shared" ref="B154:U154" si="153">IF($A154&gt;0,Megyeinapi!B154/'megyelakosság'!B$2*100000," ")</f>
        <v>1.592927402</v>
      </c>
      <c r="C154" s="1">
        <f t="shared" si="153"/>
        <v>3.063136819</v>
      </c>
      <c r="D154" s="1">
        <f t="shared" si="153"/>
        <v>-0.3025334148</v>
      </c>
      <c r="E154" s="1">
        <f t="shared" si="153"/>
        <v>0.470910301</v>
      </c>
      <c r="F154" s="1">
        <f t="shared" si="153"/>
        <v>7.713333669</v>
      </c>
      <c r="G154" s="1">
        <f t="shared" si="153"/>
        <v>1.255234327</v>
      </c>
      <c r="H154" s="1">
        <f t="shared" si="153"/>
        <v>3.344457636</v>
      </c>
      <c r="I154" s="1">
        <f t="shared" si="153"/>
        <v>5.283837165</v>
      </c>
      <c r="J154" s="1">
        <f t="shared" si="153"/>
        <v>4.556440053</v>
      </c>
      <c r="K154" s="1">
        <f t="shared" si="153"/>
        <v>0.681614472</v>
      </c>
      <c r="L154" s="1">
        <f t="shared" si="153"/>
        <v>0.8176503455</v>
      </c>
      <c r="M154" s="1">
        <f t="shared" si="153"/>
        <v>0.6644628648</v>
      </c>
      <c r="N154" s="1">
        <f t="shared" si="153"/>
        <v>-0.5316547222</v>
      </c>
      <c r="O154" s="1">
        <f t="shared" si="153"/>
        <v>2.389943119</v>
      </c>
      <c r="P154" s="1">
        <f t="shared" si="153"/>
        <v>0.3333888981</v>
      </c>
      <c r="Q154" s="1">
        <f t="shared" si="153"/>
        <v>1.274980511</v>
      </c>
      <c r="R154" s="1">
        <f t="shared" si="153"/>
        <v>1.856027915</v>
      </c>
      <c r="S154" s="1">
        <f t="shared" si="153"/>
        <v>1.573954206</v>
      </c>
      <c r="T154" s="1">
        <f t="shared" si="153"/>
        <v>3.517442116</v>
      </c>
      <c r="U154" s="1">
        <f t="shared" si="153"/>
        <v>1.122456234</v>
      </c>
    </row>
    <row r="155">
      <c r="A155" s="3">
        <f>IFERROR(__xludf.DUMMYFUNCTION("""COMPUTED_VALUE"""),44074.0)</f>
        <v>44074</v>
      </c>
      <c r="B155" s="1">
        <f t="shared" ref="B155:U155" si="154">IF($A155&gt;0,Megyeinapi!B155/'megyelakosság'!B$2*100000," ")</f>
        <v>0.5973477759</v>
      </c>
      <c r="C155" s="1">
        <f t="shared" si="154"/>
        <v>1.113867934</v>
      </c>
      <c r="D155" s="1">
        <f t="shared" si="154"/>
        <v>0.9076002444</v>
      </c>
      <c r="E155" s="1">
        <f t="shared" si="154"/>
        <v>0.470910301</v>
      </c>
      <c r="F155" s="1">
        <f t="shared" si="154"/>
        <v>5.54217308</v>
      </c>
      <c r="G155" s="1">
        <f t="shared" si="154"/>
        <v>1.506281193</v>
      </c>
      <c r="H155" s="1">
        <f t="shared" si="154"/>
        <v>1.433338987</v>
      </c>
      <c r="I155" s="1">
        <f t="shared" si="154"/>
        <v>0.4227069732</v>
      </c>
      <c r="J155" s="1">
        <f t="shared" si="154"/>
        <v>2.468071696</v>
      </c>
      <c r="K155" s="1">
        <f t="shared" si="154"/>
        <v>0</v>
      </c>
      <c r="L155" s="1">
        <f t="shared" si="154"/>
        <v>0.8176503455</v>
      </c>
      <c r="M155" s="1">
        <f t="shared" si="154"/>
        <v>1.993388594</v>
      </c>
      <c r="N155" s="1">
        <f t="shared" si="154"/>
        <v>1.063309444</v>
      </c>
      <c r="O155" s="1">
        <f t="shared" si="154"/>
        <v>1.15642409</v>
      </c>
      <c r="P155" s="1">
        <f t="shared" si="154"/>
        <v>0.6667777963</v>
      </c>
      <c r="Q155" s="1">
        <f t="shared" si="154"/>
        <v>0.910700365</v>
      </c>
      <c r="R155" s="1">
        <f t="shared" si="154"/>
        <v>0.4640069787</v>
      </c>
      <c r="S155" s="1">
        <f t="shared" si="154"/>
        <v>0.3934885515</v>
      </c>
      <c r="T155" s="1">
        <f t="shared" si="154"/>
        <v>0.879360529</v>
      </c>
      <c r="U155" s="1">
        <f t="shared" si="154"/>
        <v>1.122456234</v>
      </c>
    </row>
    <row r="156">
      <c r="A156" s="3">
        <f>IFERROR(__xludf.DUMMYFUNCTION("""COMPUTED_VALUE"""),44075.0)</f>
        <v>44075</v>
      </c>
      <c r="B156" s="1">
        <f t="shared" ref="B156:U156" si="155">IF($A156&gt;0,Megyeinapi!B156/'megyelakosság'!B$2*100000," ")</f>
        <v>0</v>
      </c>
      <c r="C156" s="1">
        <f t="shared" si="155"/>
        <v>2.506202852</v>
      </c>
      <c r="D156" s="1">
        <f t="shared" si="155"/>
        <v>0.3025334148</v>
      </c>
      <c r="E156" s="1">
        <f t="shared" si="155"/>
        <v>0.3139402007</v>
      </c>
      <c r="F156" s="1">
        <f t="shared" si="155"/>
        <v>3.542419907</v>
      </c>
      <c r="G156" s="1">
        <f t="shared" si="155"/>
        <v>0</v>
      </c>
      <c r="H156" s="1">
        <f t="shared" si="155"/>
        <v>-0.7166694935</v>
      </c>
      <c r="I156" s="1">
        <f t="shared" si="155"/>
        <v>0</v>
      </c>
      <c r="J156" s="1">
        <f t="shared" si="155"/>
        <v>0.7594066756</v>
      </c>
      <c r="K156" s="1">
        <f t="shared" si="155"/>
        <v>2.385650652</v>
      </c>
      <c r="L156" s="1">
        <f t="shared" si="155"/>
        <v>0</v>
      </c>
      <c r="M156" s="1">
        <f t="shared" si="155"/>
        <v>0.6644628648</v>
      </c>
      <c r="N156" s="1">
        <f t="shared" si="155"/>
        <v>2.658273611</v>
      </c>
      <c r="O156" s="1">
        <f t="shared" si="155"/>
        <v>1.310613969</v>
      </c>
      <c r="P156" s="1">
        <f t="shared" si="155"/>
        <v>0</v>
      </c>
      <c r="Q156" s="1">
        <f t="shared" si="155"/>
        <v>0</v>
      </c>
      <c r="R156" s="1">
        <f t="shared" si="155"/>
        <v>0.4640069787</v>
      </c>
      <c r="S156" s="1">
        <f t="shared" si="155"/>
        <v>0</v>
      </c>
      <c r="T156" s="1">
        <f t="shared" si="155"/>
        <v>2.931201763</v>
      </c>
      <c r="U156" s="1">
        <f t="shared" si="155"/>
        <v>0.3741520779</v>
      </c>
    </row>
    <row r="157">
      <c r="A157" s="3">
        <f>IFERROR(__xludf.DUMMYFUNCTION("""COMPUTED_VALUE"""),44076.0)</f>
        <v>44076</v>
      </c>
      <c r="B157" s="1">
        <f t="shared" ref="B157:U157" si="156">IF($A157&gt;0,Megyeinapi!B157/'megyelakosság'!B$2*100000," ")</f>
        <v>1.194695552</v>
      </c>
      <c r="C157" s="1">
        <f t="shared" si="156"/>
        <v>0</v>
      </c>
      <c r="D157" s="1">
        <f t="shared" si="156"/>
        <v>0.9076002444</v>
      </c>
      <c r="E157" s="1">
        <f t="shared" si="156"/>
        <v>0.941820602</v>
      </c>
      <c r="F157" s="1">
        <f t="shared" si="156"/>
        <v>11.31288938</v>
      </c>
      <c r="G157" s="1">
        <f t="shared" si="156"/>
        <v>2.76151552</v>
      </c>
      <c r="H157" s="1">
        <f t="shared" si="156"/>
        <v>1.194449156</v>
      </c>
      <c r="I157" s="1">
        <f t="shared" si="156"/>
        <v>1.690827893</v>
      </c>
      <c r="J157" s="1">
        <f t="shared" si="156"/>
        <v>3.986885047</v>
      </c>
      <c r="K157" s="1">
        <f t="shared" si="156"/>
        <v>-0.681614472</v>
      </c>
      <c r="L157" s="1">
        <f t="shared" si="156"/>
        <v>0.2725501152</v>
      </c>
      <c r="M157" s="1">
        <f t="shared" si="156"/>
        <v>3.322314324</v>
      </c>
      <c r="N157" s="1">
        <f t="shared" si="156"/>
        <v>0.5316547222</v>
      </c>
      <c r="O157" s="1">
        <f t="shared" si="156"/>
        <v>4.548601421</v>
      </c>
      <c r="P157" s="1">
        <f t="shared" si="156"/>
        <v>0.6667777963</v>
      </c>
      <c r="Q157" s="1">
        <f t="shared" si="156"/>
        <v>2.185680876</v>
      </c>
      <c r="R157" s="1">
        <f t="shared" si="156"/>
        <v>0.4640069787</v>
      </c>
      <c r="S157" s="1">
        <f t="shared" si="156"/>
        <v>0.7869771029</v>
      </c>
      <c r="T157" s="1">
        <f t="shared" si="156"/>
        <v>3.517442116</v>
      </c>
      <c r="U157" s="1">
        <f t="shared" si="156"/>
        <v>3.367368701</v>
      </c>
    </row>
    <row r="158">
      <c r="A158" s="3">
        <f>IFERROR(__xludf.DUMMYFUNCTION("""COMPUTED_VALUE"""),44077.0)</f>
        <v>44077</v>
      </c>
      <c r="B158" s="1">
        <f t="shared" ref="B158:U158" si="157">IF($A158&gt;0,Megyeinapi!B158/'megyelakosság'!B$2*100000," ")</f>
        <v>1.592927402</v>
      </c>
      <c r="C158" s="1">
        <f t="shared" si="157"/>
        <v>4.177004753</v>
      </c>
      <c r="D158" s="1">
        <f t="shared" si="157"/>
        <v>0</v>
      </c>
      <c r="E158" s="1">
        <f t="shared" si="157"/>
        <v>1.098790702</v>
      </c>
      <c r="F158" s="1">
        <f t="shared" si="157"/>
        <v>6.627753374</v>
      </c>
      <c r="G158" s="1">
        <f t="shared" si="157"/>
        <v>2.008374923</v>
      </c>
      <c r="H158" s="1">
        <f t="shared" si="157"/>
        <v>3.583347468</v>
      </c>
      <c r="I158" s="1">
        <f t="shared" si="157"/>
        <v>2.324888353</v>
      </c>
      <c r="J158" s="1">
        <f t="shared" si="157"/>
        <v>3.41733004</v>
      </c>
      <c r="K158" s="1">
        <f t="shared" si="157"/>
        <v>7.156951956</v>
      </c>
      <c r="L158" s="1">
        <f t="shared" si="157"/>
        <v>0.5451002303</v>
      </c>
      <c r="M158" s="1">
        <f t="shared" si="157"/>
        <v>0.6644628648</v>
      </c>
      <c r="N158" s="1">
        <f t="shared" si="157"/>
        <v>3.721583055</v>
      </c>
      <c r="O158" s="1">
        <f t="shared" si="157"/>
        <v>3.237987452</v>
      </c>
      <c r="P158" s="1">
        <f t="shared" si="157"/>
        <v>0.6667777963</v>
      </c>
      <c r="Q158" s="1">
        <f t="shared" si="157"/>
        <v>2.549961022</v>
      </c>
      <c r="R158" s="1">
        <f t="shared" si="157"/>
        <v>2.784041872</v>
      </c>
      <c r="S158" s="1">
        <f t="shared" si="157"/>
        <v>1.573954206</v>
      </c>
      <c r="T158" s="1">
        <f t="shared" si="157"/>
        <v>0.879360529</v>
      </c>
      <c r="U158" s="1">
        <f t="shared" si="157"/>
        <v>0</v>
      </c>
    </row>
    <row r="159">
      <c r="A159" s="3">
        <f>IFERROR(__xludf.DUMMYFUNCTION("""COMPUTED_VALUE"""),44078.0)</f>
        <v>44078</v>
      </c>
      <c r="B159" s="1">
        <f t="shared" ref="B159:U159" si="158">IF($A159&gt;0,Megyeinapi!B159/'megyelakosság'!B$2*100000," ")</f>
        <v>3.38497073</v>
      </c>
      <c r="C159" s="1">
        <f t="shared" si="158"/>
        <v>1.949268885</v>
      </c>
      <c r="D159" s="1">
        <f t="shared" si="158"/>
        <v>1.210133659</v>
      </c>
      <c r="E159" s="1">
        <f t="shared" si="158"/>
        <v>1.412730903</v>
      </c>
      <c r="F159" s="1">
        <f t="shared" si="158"/>
        <v>10.62725972</v>
      </c>
      <c r="G159" s="1">
        <f t="shared" si="158"/>
        <v>6.276171636</v>
      </c>
      <c r="H159" s="1">
        <f t="shared" si="158"/>
        <v>2.627788143</v>
      </c>
      <c r="I159" s="1">
        <f t="shared" si="158"/>
        <v>3.381655785</v>
      </c>
      <c r="J159" s="1">
        <f t="shared" si="158"/>
        <v>4.936143391</v>
      </c>
      <c r="K159" s="1">
        <f t="shared" si="158"/>
        <v>3.748879596</v>
      </c>
      <c r="L159" s="1">
        <f t="shared" si="158"/>
        <v>2.725501152</v>
      </c>
      <c r="M159" s="1">
        <f t="shared" si="158"/>
        <v>1.32892573</v>
      </c>
      <c r="N159" s="1">
        <f t="shared" si="158"/>
        <v>0</v>
      </c>
      <c r="O159" s="1">
        <f t="shared" si="158"/>
        <v>5.165360935</v>
      </c>
      <c r="P159" s="1">
        <f t="shared" si="158"/>
        <v>3.000500083</v>
      </c>
      <c r="Q159" s="1">
        <f t="shared" si="158"/>
        <v>4.189221679</v>
      </c>
      <c r="R159" s="1">
        <f t="shared" si="158"/>
        <v>3.248048851</v>
      </c>
      <c r="S159" s="1">
        <f t="shared" si="158"/>
        <v>0.7869771029</v>
      </c>
      <c r="T159" s="1">
        <f t="shared" si="158"/>
        <v>5.56928335</v>
      </c>
      <c r="U159" s="1">
        <f t="shared" si="158"/>
        <v>2.244912467</v>
      </c>
    </row>
    <row r="160">
      <c r="A160" s="3">
        <f>IFERROR(__xludf.DUMMYFUNCTION("""COMPUTED_VALUE"""),44079.0)</f>
        <v>44079</v>
      </c>
      <c r="B160" s="1">
        <f t="shared" ref="B160:U160" si="159">IF($A160&gt;0,Megyeinapi!B160/'megyelakosság'!B$2*100000," ")</f>
        <v>1.792043328</v>
      </c>
      <c r="C160" s="1">
        <f t="shared" si="159"/>
        <v>0.8354009507</v>
      </c>
      <c r="D160" s="1">
        <f t="shared" si="159"/>
        <v>0.3025334148</v>
      </c>
      <c r="E160" s="1">
        <f t="shared" si="159"/>
        <v>2.040611304</v>
      </c>
      <c r="F160" s="1">
        <f t="shared" si="159"/>
        <v>11.94138323</v>
      </c>
      <c r="G160" s="1">
        <f t="shared" si="159"/>
        <v>2.76151552</v>
      </c>
      <c r="H160" s="1">
        <f t="shared" si="159"/>
        <v>8.361144091</v>
      </c>
      <c r="I160" s="1">
        <f t="shared" si="159"/>
        <v>2.747595326</v>
      </c>
      <c r="J160" s="1">
        <f t="shared" si="159"/>
        <v>5.315846729</v>
      </c>
      <c r="K160" s="1">
        <f t="shared" si="159"/>
        <v>1.363228944</v>
      </c>
      <c r="L160" s="1">
        <f t="shared" si="159"/>
        <v>1.635300691</v>
      </c>
      <c r="M160" s="1">
        <f t="shared" si="159"/>
        <v>1.993388594</v>
      </c>
      <c r="N160" s="1">
        <f t="shared" si="159"/>
        <v>3.189928333</v>
      </c>
      <c r="O160" s="1">
        <f t="shared" si="159"/>
        <v>7.169829358</v>
      </c>
      <c r="P160" s="1">
        <f t="shared" si="159"/>
        <v>2.000333389</v>
      </c>
      <c r="Q160" s="1">
        <f t="shared" si="159"/>
        <v>5.282062117</v>
      </c>
      <c r="R160" s="1">
        <f t="shared" si="159"/>
        <v>3.248048851</v>
      </c>
      <c r="S160" s="1">
        <f t="shared" si="159"/>
        <v>2.360931309</v>
      </c>
      <c r="T160" s="1">
        <f t="shared" si="159"/>
        <v>3.517442116</v>
      </c>
      <c r="U160" s="1">
        <f t="shared" si="159"/>
        <v>4.863977012</v>
      </c>
    </row>
    <row r="161">
      <c r="A161" s="3">
        <f>IFERROR(__xludf.DUMMYFUNCTION("""COMPUTED_VALUE"""),44080.0)</f>
        <v>44080</v>
      </c>
      <c r="B161" s="1">
        <f t="shared" ref="B161:U161" si="160">IF($A161&gt;0,Megyeinapi!B161/'megyelakosság'!B$2*100000," ")</f>
        <v>1.592927402</v>
      </c>
      <c r="C161" s="1">
        <f t="shared" si="160"/>
        <v>7.79707554</v>
      </c>
      <c r="D161" s="1">
        <f t="shared" si="160"/>
        <v>0.6050668296</v>
      </c>
      <c r="E161" s="1">
        <f t="shared" si="160"/>
        <v>1.098790702</v>
      </c>
      <c r="F161" s="1">
        <f t="shared" si="160"/>
        <v>11.31288938</v>
      </c>
      <c r="G161" s="1">
        <f t="shared" si="160"/>
        <v>7.029312232</v>
      </c>
      <c r="H161" s="1">
        <f t="shared" si="160"/>
        <v>8.600033922</v>
      </c>
      <c r="I161" s="1">
        <f t="shared" si="160"/>
        <v>4.438423218</v>
      </c>
      <c r="J161" s="1">
        <f t="shared" si="160"/>
        <v>0.9492583445</v>
      </c>
      <c r="K161" s="1">
        <f t="shared" si="160"/>
        <v>0</v>
      </c>
      <c r="L161" s="1">
        <f t="shared" si="160"/>
        <v>0.8176503455</v>
      </c>
      <c r="M161" s="1">
        <f t="shared" si="160"/>
        <v>4.651240054</v>
      </c>
      <c r="N161" s="1">
        <f t="shared" si="160"/>
        <v>1.594964166</v>
      </c>
      <c r="O161" s="1">
        <f t="shared" si="160"/>
        <v>4.240221663</v>
      </c>
      <c r="P161" s="1">
        <f t="shared" si="160"/>
        <v>5.000833472</v>
      </c>
      <c r="Q161" s="1">
        <f t="shared" si="160"/>
        <v>3.64280146</v>
      </c>
      <c r="R161" s="1">
        <f t="shared" si="160"/>
        <v>7.424111659</v>
      </c>
      <c r="S161" s="1">
        <f t="shared" si="160"/>
        <v>2.360931309</v>
      </c>
      <c r="T161" s="1">
        <f t="shared" si="160"/>
        <v>3.810562292</v>
      </c>
      <c r="U161" s="1">
        <f t="shared" si="160"/>
        <v>2.619064545</v>
      </c>
    </row>
    <row r="162">
      <c r="A162" s="3">
        <f>IFERROR(__xludf.DUMMYFUNCTION("""COMPUTED_VALUE"""),44081.0)</f>
        <v>44081</v>
      </c>
      <c r="B162" s="1">
        <f t="shared" ref="B162:U162" si="161">IF($A162&gt;0,Megyeinapi!B162/'megyelakosság'!B$2*100000," ")</f>
        <v>1.393811477</v>
      </c>
      <c r="C162" s="1">
        <f t="shared" si="161"/>
        <v>6.961674589</v>
      </c>
      <c r="D162" s="1">
        <f t="shared" si="161"/>
        <v>0.6050668296</v>
      </c>
      <c r="E162" s="1">
        <f t="shared" si="161"/>
        <v>3.610312308</v>
      </c>
      <c r="F162" s="1">
        <f t="shared" si="161"/>
        <v>14.39822285</v>
      </c>
      <c r="G162" s="1">
        <f t="shared" si="161"/>
        <v>1.004187462</v>
      </c>
      <c r="H162" s="1">
        <f t="shared" si="161"/>
        <v>5.255576286</v>
      </c>
      <c r="I162" s="1">
        <f t="shared" si="161"/>
        <v>4.015716245</v>
      </c>
      <c r="J162" s="1">
        <f t="shared" si="161"/>
        <v>6.644808411</v>
      </c>
      <c r="K162" s="1">
        <f t="shared" si="161"/>
        <v>8.179373664</v>
      </c>
      <c r="L162" s="1">
        <f t="shared" si="161"/>
        <v>1.090200461</v>
      </c>
      <c r="M162" s="1">
        <f t="shared" si="161"/>
        <v>1.661157162</v>
      </c>
      <c r="N162" s="1">
        <f t="shared" si="161"/>
        <v>5.316547222</v>
      </c>
      <c r="O162" s="1">
        <f t="shared" si="161"/>
        <v>6.321785025</v>
      </c>
      <c r="P162" s="1">
        <f t="shared" si="161"/>
        <v>2.667111185</v>
      </c>
      <c r="Q162" s="1">
        <f t="shared" si="161"/>
        <v>4.189221679</v>
      </c>
      <c r="R162" s="1">
        <f t="shared" si="161"/>
        <v>6.496097701</v>
      </c>
      <c r="S162" s="1">
        <f t="shared" si="161"/>
        <v>2.360931309</v>
      </c>
      <c r="T162" s="1">
        <f t="shared" si="161"/>
        <v>2.051841234</v>
      </c>
      <c r="U162" s="1">
        <f t="shared" si="161"/>
        <v>5.23812909</v>
      </c>
    </row>
    <row r="163">
      <c r="A163" s="3">
        <f>IFERROR(__xludf.DUMMYFUNCTION("""COMPUTED_VALUE"""),44082.0)</f>
        <v>44082</v>
      </c>
      <c r="B163" s="1">
        <f t="shared" ref="B163:U163" si="162">IF($A163&gt;0,Megyeinapi!B163/'megyelakosság'!B$2*100000," ")</f>
        <v>3.185854805</v>
      </c>
      <c r="C163" s="1">
        <f t="shared" si="162"/>
        <v>1.949268885</v>
      </c>
      <c r="D163" s="1">
        <f t="shared" si="162"/>
        <v>0.9076002444</v>
      </c>
      <c r="E163" s="1">
        <f t="shared" si="162"/>
        <v>3.610312308</v>
      </c>
      <c r="F163" s="1">
        <f t="shared" si="162"/>
        <v>8.456099133</v>
      </c>
      <c r="G163" s="1">
        <f t="shared" si="162"/>
        <v>3.514656116</v>
      </c>
      <c r="H163" s="1">
        <f t="shared" si="162"/>
        <v>-0.4777796624</v>
      </c>
      <c r="I163" s="1">
        <f t="shared" si="162"/>
        <v>1.902181379</v>
      </c>
      <c r="J163" s="1">
        <f t="shared" si="162"/>
        <v>3.41733004</v>
      </c>
      <c r="K163" s="1">
        <f t="shared" si="162"/>
        <v>2.044843416</v>
      </c>
      <c r="L163" s="1">
        <f t="shared" si="162"/>
        <v>2.180400921</v>
      </c>
      <c r="M163" s="1">
        <f t="shared" si="162"/>
        <v>1.993388594</v>
      </c>
      <c r="N163" s="1">
        <f t="shared" si="162"/>
        <v>2.658273611</v>
      </c>
      <c r="O163" s="1">
        <f t="shared" si="162"/>
        <v>2.31284818</v>
      </c>
      <c r="P163" s="1">
        <f t="shared" si="162"/>
        <v>3.66727788</v>
      </c>
      <c r="Q163" s="1">
        <f t="shared" si="162"/>
        <v>3.096381241</v>
      </c>
      <c r="R163" s="1">
        <f t="shared" si="162"/>
        <v>1.392020936</v>
      </c>
      <c r="S163" s="1">
        <f t="shared" si="162"/>
        <v>0.3934885515</v>
      </c>
      <c r="T163" s="1">
        <f t="shared" si="162"/>
        <v>3.22432194</v>
      </c>
      <c r="U163" s="1">
        <f t="shared" si="162"/>
        <v>2.619064545</v>
      </c>
    </row>
    <row r="164">
      <c r="A164" s="3">
        <f>IFERROR(__xludf.DUMMYFUNCTION("""COMPUTED_VALUE"""),44083.0)</f>
        <v>44083</v>
      </c>
      <c r="B164" s="1">
        <f t="shared" ref="B164:U164" si="163">IF($A164&gt;0,Megyeinapi!B164/'megyelakosság'!B$2*100000," ")</f>
        <v>1.991159253</v>
      </c>
      <c r="C164" s="1">
        <f t="shared" si="163"/>
        <v>0.2784669836</v>
      </c>
      <c r="D164" s="1">
        <f t="shared" si="163"/>
        <v>3.630400978</v>
      </c>
      <c r="E164" s="1">
        <f t="shared" si="163"/>
        <v>1.098790702</v>
      </c>
      <c r="F164" s="1">
        <f t="shared" si="163"/>
        <v>10.91293875</v>
      </c>
      <c r="G164" s="1">
        <f t="shared" si="163"/>
        <v>5.774077905</v>
      </c>
      <c r="H164" s="1">
        <f t="shared" si="163"/>
        <v>5.016686455</v>
      </c>
      <c r="I164" s="1">
        <f t="shared" si="163"/>
        <v>1.902181379</v>
      </c>
      <c r="J164" s="1">
        <f t="shared" si="163"/>
        <v>1.328961682</v>
      </c>
      <c r="K164" s="1">
        <f t="shared" si="163"/>
        <v>0</v>
      </c>
      <c r="L164" s="1">
        <f t="shared" si="163"/>
        <v>1.090200461</v>
      </c>
      <c r="M164" s="1">
        <f t="shared" si="163"/>
        <v>1.993388594</v>
      </c>
      <c r="N164" s="1">
        <f t="shared" si="163"/>
        <v>0</v>
      </c>
      <c r="O164" s="1">
        <f t="shared" si="163"/>
        <v>6.93854454</v>
      </c>
      <c r="P164" s="1">
        <f t="shared" si="163"/>
        <v>1.000166694</v>
      </c>
      <c r="Q164" s="1">
        <f t="shared" si="163"/>
        <v>0.910700365</v>
      </c>
      <c r="R164" s="1">
        <f t="shared" si="163"/>
        <v>-0.9280139573</v>
      </c>
      <c r="S164" s="1">
        <f t="shared" si="163"/>
        <v>3.541396963</v>
      </c>
      <c r="T164" s="1">
        <f t="shared" si="163"/>
        <v>3.810562292</v>
      </c>
      <c r="U164" s="1">
        <f t="shared" si="163"/>
        <v>0.7483041557</v>
      </c>
    </row>
    <row r="165">
      <c r="A165" s="3">
        <f>IFERROR(__xludf.DUMMYFUNCTION("""COMPUTED_VALUE"""),44084.0)</f>
        <v>44084</v>
      </c>
      <c r="B165" s="1">
        <f t="shared" ref="B165:U165" si="164">IF($A165&gt;0,Megyeinapi!B165/'megyelakosság'!B$2*100000," ")</f>
        <v>1.592927402</v>
      </c>
      <c r="C165" s="1">
        <f t="shared" si="164"/>
        <v>6.404740622</v>
      </c>
      <c r="D165" s="1">
        <f t="shared" si="164"/>
        <v>0.6050668296</v>
      </c>
      <c r="E165" s="1">
        <f t="shared" si="164"/>
        <v>1.883641204</v>
      </c>
      <c r="F165" s="1">
        <f t="shared" si="164"/>
        <v>11.76997582</v>
      </c>
      <c r="G165" s="1">
        <f t="shared" si="164"/>
        <v>4.016749847</v>
      </c>
      <c r="H165" s="1">
        <f t="shared" si="164"/>
        <v>5.494466117</v>
      </c>
      <c r="I165" s="1">
        <f t="shared" si="164"/>
        <v>2.536241839</v>
      </c>
      <c r="J165" s="1">
        <f t="shared" si="164"/>
        <v>3.037626702</v>
      </c>
      <c r="K165" s="1">
        <f t="shared" si="164"/>
        <v>3.067265124</v>
      </c>
      <c r="L165" s="1">
        <f t="shared" si="164"/>
        <v>2.725501152</v>
      </c>
      <c r="M165" s="1">
        <f t="shared" si="164"/>
        <v>3.986777189</v>
      </c>
      <c r="N165" s="1">
        <f t="shared" si="164"/>
        <v>2.126618889</v>
      </c>
      <c r="O165" s="1">
        <f t="shared" si="164"/>
        <v>4.62569636</v>
      </c>
      <c r="P165" s="1">
        <f t="shared" si="164"/>
        <v>3.66727788</v>
      </c>
      <c r="Q165" s="1">
        <f t="shared" si="164"/>
        <v>3.278521314</v>
      </c>
      <c r="R165" s="1">
        <f t="shared" si="164"/>
        <v>5.104076765</v>
      </c>
      <c r="S165" s="1">
        <f t="shared" si="164"/>
        <v>1.180465654</v>
      </c>
      <c r="T165" s="1">
        <f t="shared" si="164"/>
        <v>4.689922821</v>
      </c>
      <c r="U165" s="1">
        <f t="shared" si="164"/>
        <v>1.496608311</v>
      </c>
    </row>
    <row r="166">
      <c r="A166" s="3">
        <f>IFERROR(__xludf.DUMMYFUNCTION("""COMPUTED_VALUE"""),44085.0)</f>
        <v>44085</v>
      </c>
      <c r="B166" s="1">
        <f t="shared" ref="B166:U166" si="165">IF($A166&gt;0,Megyeinapi!B166/'megyelakosság'!B$2*100000," ")</f>
        <v>6.76994146</v>
      </c>
      <c r="C166" s="1">
        <f t="shared" si="165"/>
        <v>3.89853777</v>
      </c>
      <c r="D166" s="1">
        <f t="shared" si="165"/>
        <v>3.932934393</v>
      </c>
      <c r="E166" s="1">
        <f t="shared" si="165"/>
        <v>3.139402007</v>
      </c>
      <c r="F166" s="1">
        <f t="shared" si="165"/>
        <v>15.36953153</v>
      </c>
      <c r="G166" s="1">
        <f t="shared" si="165"/>
        <v>4.518843578</v>
      </c>
      <c r="H166" s="1">
        <f t="shared" si="165"/>
        <v>7.644474598</v>
      </c>
      <c r="I166" s="1">
        <f t="shared" si="165"/>
        <v>6.129251111</v>
      </c>
      <c r="J166" s="1">
        <f t="shared" si="165"/>
        <v>8.923028438</v>
      </c>
      <c r="K166" s="1">
        <f t="shared" si="165"/>
        <v>4.771301304</v>
      </c>
      <c r="L166" s="1">
        <f t="shared" si="165"/>
        <v>5.451002303</v>
      </c>
      <c r="M166" s="1">
        <f t="shared" si="165"/>
        <v>1.993388594</v>
      </c>
      <c r="N166" s="1">
        <f t="shared" si="165"/>
        <v>3.721583055</v>
      </c>
      <c r="O166" s="1">
        <f t="shared" si="165"/>
        <v>8.017873691</v>
      </c>
      <c r="P166" s="1">
        <f t="shared" si="165"/>
        <v>4.000666778</v>
      </c>
      <c r="Q166" s="1">
        <f t="shared" si="165"/>
        <v>7.649883066</v>
      </c>
      <c r="R166" s="1">
        <f t="shared" si="165"/>
        <v>6.96010468</v>
      </c>
      <c r="S166" s="1">
        <f t="shared" si="165"/>
        <v>1.180465654</v>
      </c>
      <c r="T166" s="1">
        <f t="shared" si="165"/>
        <v>4.689922821</v>
      </c>
      <c r="U166" s="1">
        <f t="shared" si="165"/>
        <v>1.122456234</v>
      </c>
    </row>
    <row r="167">
      <c r="A167" s="3">
        <f>IFERROR(__xludf.DUMMYFUNCTION("""COMPUTED_VALUE"""),44086.0)</f>
        <v>44086</v>
      </c>
      <c r="B167" s="1">
        <f t="shared" ref="B167:U167" si="166">IF($A167&gt;0,Megyeinapi!B167/'megyelakosság'!B$2*100000," ")</f>
        <v>3.185854805</v>
      </c>
      <c r="C167" s="1">
        <f t="shared" si="166"/>
        <v>4.177004753</v>
      </c>
      <c r="D167" s="1">
        <f t="shared" si="166"/>
        <v>2.117733904</v>
      </c>
      <c r="E167" s="1">
        <f t="shared" si="166"/>
        <v>4.86607311</v>
      </c>
      <c r="F167" s="1">
        <f t="shared" si="166"/>
        <v>20.39748237</v>
      </c>
      <c r="G167" s="1">
        <f t="shared" si="166"/>
        <v>9.539780886</v>
      </c>
      <c r="H167" s="1">
        <f t="shared" si="166"/>
        <v>9.794483078</v>
      </c>
      <c r="I167" s="1">
        <f t="shared" si="166"/>
        <v>12.6812092</v>
      </c>
      <c r="J167" s="1">
        <f t="shared" si="166"/>
        <v>5.12599506</v>
      </c>
      <c r="K167" s="1">
        <f t="shared" si="166"/>
        <v>5.11210854</v>
      </c>
      <c r="L167" s="1">
        <f t="shared" si="166"/>
        <v>8.176503455</v>
      </c>
      <c r="M167" s="1">
        <f t="shared" si="166"/>
        <v>12.62479443</v>
      </c>
      <c r="N167" s="1">
        <f t="shared" si="166"/>
        <v>8.506475555</v>
      </c>
      <c r="O167" s="1">
        <f t="shared" si="166"/>
        <v>8.711728145</v>
      </c>
      <c r="P167" s="1">
        <f t="shared" si="166"/>
        <v>5.000833472</v>
      </c>
      <c r="Q167" s="1">
        <f t="shared" si="166"/>
        <v>0.728560292</v>
      </c>
      <c r="R167" s="1">
        <f t="shared" si="166"/>
        <v>6.96010468</v>
      </c>
      <c r="S167" s="1">
        <f t="shared" si="166"/>
        <v>10.23070234</v>
      </c>
      <c r="T167" s="1">
        <f t="shared" si="166"/>
        <v>6.44864388</v>
      </c>
      <c r="U167" s="1">
        <f t="shared" si="166"/>
        <v>11.22456234</v>
      </c>
    </row>
    <row r="168">
      <c r="A168" s="3">
        <f>IFERROR(__xludf.DUMMYFUNCTION("""COMPUTED_VALUE"""),44087.0)</f>
        <v>44087</v>
      </c>
      <c r="B168" s="1">
        <f t="shared" ref="B168:U168" si="167">IF($A168&gt;0,Megyeinapi!B168/'megyelakosság'!B$2*100000," ")</f>
        <v>0.5973477759</v>
      </c>
      <c r="C168" s="1">
        <f t="shared" si="167"/>
        <v>3.620070786</v>
      </c>
      <c r="D168" s="1">
        <f t="shared" si="167"/>
        <v>0.3025334148</v>
      </c>
      <c r="E168" s="1">
        <f t="shared" si="167"/>
        <v>0.3139402007</v>
      </c>
      <c r="F168" s="1">
        <f t="shared" si="167"/>
        <v>13.59832158</v>
      </c>
      <c r="G168" s="1">
        <f t="shared" si="167"/>
        <v>4.016749847</v>
      </c>
      <c r="H168" s="1">
        <f t="shared" si="167"/>
        <v>6.211135611</v>
      </c>
      <c r="I168" s="1">
        <f t="shared" si="167"/>
        <v>6.551958084</v>
      </c>
      <c r="J168" s="1">
        <f t="shared" si="167"/>
        <v>4.366588384</v>
      </c>
      <c r="K168" s="1">
        <f t="shared" si="167"/>
        <v>1.363228944</v>
      </c>
      <c r="L168" s="1">
        <f t="shared" si="167"/>
        <v>1.362750576</v>
      </c>
      <c r="M168" s="1">
        <f t="shared" si="167"/>
        <v>2.990082892</v>
      </c>
      <c r="N168" s="1">
        <f t="shared" si="167"/>
        <v>5.316547222</v>
      </c>
      <c r="O168" s="1">
        <f t="shared" si="167"/>
        <v>5.473740693</v>
      </c>
      <c r="P168" s="1">
        <f t="shared" si="167"/>
        <v>3.333888981</v>
      </c>
      <c r="Q168" s="1">
        <f t="shared" si="167"/>
        <v>0.364280146</v>
      </c>
      <c r="R168" s="1">
        <f t="shared" si="167"/>
        <v>1.856027915</v>
      </c>
      <c r="S168" s="1">
        <f t="shared" si="167"/>
        <v>1.573954206</v>
      </c>
      <c r="T168" s="1">
        <f t="shared" si="167"/>
        <v>2.638081587</v>
      </c>
      <c r="U168" s="1">
        <f t="shared" si="167"/>
        <v>1.122456234</v>
      </c>
    </row>
    <row r="169">
      <c r="A169" s="3">
        <f>IFERROR(__xludf.DUMMYFUNCTION("""COMPUTED_VALUE"""),44088.0)</f>
        <v>44088</v>
      </c>
      <c r="B169" s="1">
        <f t="shared" ref="B169:U169" si="168">IF($A169&gt;0,Megyeinapi!B169/'megyelakosság'!B$2*100000," ")</f>
        <v>2.986738879</v>
      </c>
      <c r="C169" s="1">
        <f t="shared" si="168"/>
        <v>3.620070786</v>
      </c>
      <c r="D169" s="1">
        <f t="shared" si="168"/>
        <v>2.722800733</v>
      </c>
      <c r="E169" s="1">
        <f t="shared" si="168"/>
        <v>6.749714314</v>
      </c>
      <c r="F169" s="1">
        <f t="shared" si="168"/>
        <v>17.71209954</v>
      </c>
      <c r="G169" s="1">
        <f t="shared" si="168"/>
        <v>8.78664029</v>
      </c>
      <c r="H169" s="1">
        <f t="shared" si="168"/>
        <v>12.18338139</v>
      </c>
      <c r="I169" s="1">
        <f t="shared" si="168"/>
        <v>10.14496736</v>
      </c>
      <c r="J169" s="1">
        <f t="shared" si="168"/>
        <v>5.885401736</v>
      </c>
      <c r="K169" s="1">
        <f t="shared" si="168"/>
        <v>6.475337484</v>
      </c>
      <c r="L169" s="1">
        <f t="shared" si="168"/>
        <v>7.631403224</v>
      </c>
      <c r="M169" s="1">
        <f t="shared" si="168"/>
        <v>4.983471486</v>
      </c>
      <c r="N169" s="1">
        <f t="shared" si="168"/>
        <v>5.316547222</v>
      </c>
      <c r="O169" s="1">
        <f t="shared" si="168"/>
        <v>7.709493933</v>
      </c>
      <c r="P169" s="1">
        <f t="shared" si="168"/>
        <v>3.66727788</v>
      </c>
      <c r="Q169" s="1">
        <f t="shared" si="168"/>
        <v>8.924863577</v>
      </c>
      <c r="R169" s="1">
        <f t="shared" si="168"/>
        <v>5.568083744</v>
      </c>
      <c r="S169" s="1">
        <f t="shared" si="168"/>
        <v>6.295816823</v>
      </c>
      <c r="T169" s="1">
        <f t="shared" si="168"/>
        <v>6.741764056</v>
      </c>
      <c r="U169" s="1">
        <f t="shared" si="168"/>
        <v>2.244912467</v>
      </c>
    </row>
    <row r="170">
      <c r="A170" s="3">
        <f>IFERROR(__xludf.DUMMYFUNCTION("""COMPUTED_VALUE"""),44089.0)</f>
        <v>44089</v>
      </c>
      <c r="B170" s="1">
        <f t="shared" ref="B170:U170" si="169">IF($A170&gt;0,Megyeinapi!B170/'megyelakosság'!B$2*100000," ")</f>
        <v>4.977898132</v>
      </c>
      <c r="C170" s="1">
        <f t="shared" si="169"/>
        <v>2.784669836</v>
      </c>
      <c r="D170" s="1">
        <f t="shared" si="169"/>
        <v>0.9076002444</v>
      </c>
      <c r="E170" s="1">
        <f t="shared" si="169"/>
        <v>0.1569701003</v>
      </c>
      <c r="F170" s="1">
        <f t="shared" si="169"/>
        <v>20.11180334</v>
      </c>
      <c r="G170" s="1">
        <f t="shared" si="169"/>
        <v>13.30548387</v>
      </c>
      <c r="H170" s="1">
        <f t="shared" si="169"/>
        <v>5.255576286</v>
      </c>
      <c r="I170" s="1">
        <f t="shared" si="169"/>
        <v>9.510906897</v>
      </c>
      <c r="J170" s="1">
        <f t="shared" si="169"/>
        <v>0.7594066756</v>
      </c>
      <c r="K170" s="1">
        <f t="shared" si="169"/>
        <v>6.81614472</v>
      </c>
      <c r="L170" s="1">
        <f t="shared" si="169"/>
        <v>7.086302994</v>
      </c>
      <c r="M170" s="1">
        <f t="shared" si="169"/>
        <v>6.312397216</v>
      </c>
      <c r="N170" s="1">
        <f t="shared" si="169"/>
        <v>2.126618889</v>
      </c>
      <c r="O170" s="1">
        <f t="shared" si="169"/>
        <v>8.326253448</v>
      </c>
      <c r="P170" s="1">
        <f t="shared" si="169"/>
        <v>1.000166694</v>
      </c>
      <c r="Q170" s="1">
        <f t="shared" si="169"/>
        <v>-2.367820949</v>
      </c>
      <c r="R170" s="1">
        <f t="shared" si="169"/>
        <v>6.032090723</v>
      </c>
      <c r="S170" s="1">
        <f t="shared" si="169"/>
        <v>3.147908412</v>
      </c>
      <c r="T170" s="1">
        <f t="shared" si="169"/>
        <v>3.810562292</v>
      </c>
      <c r="U170" s="1">
        <f t="shared" si="169"/>
        <v>3.741520779</v>
      </c>
    </row>
    <row r="171">
      <c r="A171" s="3">
        <f>IFERROR(__xludf.DUMMYFUNCTION("""COMPUTED_VALUE"""),44090.0)</f>
        <v>44090</v>
      </c>
      <c r="B171" s="1">
        <f t="shared" ref="B171:U171" si="170">IF($A171&gt;0,Megyeinapi!B171/'megyelakosság'!B$2*100000," ")</f>
        <v>2.588507029</v>
      </c>
      <c r="C171" s="1">
        <f t="shared" si="170"/>
        <v>3.620070786</v>
      </c>
      <c r="D171" s="1">
        <f t="shared" si="170"/>
        <v>0.6050668296</v>
      </c>
      <c r="E171" s="1">
        <f t="shared" si="170"/>
        <v>2.354551505</v>
      </c>
      <c r="F171" s="1">
        <f t="shared" si="170"/>
        <v>11.99851904</v>
      </c>
      <c r="G171" s="1">
        <f t="shared" si="170"/>
        <v>4.769890443</v>
      </c>
      <c r="H171" s="1">
        <f t="shared" si="170"/>
        <v>6.927805104</v>
      </c>
      <c r="I171" s="1">
        <f t="shared" si="170"/>
        <v>7.608725517</v>
      </c>
      <c r="J171" s="1">
        <f t="shared" si="170"/>
        <v>7.024511749</v>
      </c>
      <c r="K171" s="1">
        <f t="shared" si="170"/>
        <v>0.340807236</v>
      </c>
      <c r="L171" s="1">
        <f t="shared" si="170"/>
        <v>1.907850806</v>
      </c>
      <c r="M171" s="1">
        <f t="shared" si="170"/>
        <v>4.651240054</v>
      </c>
      <c r="N171" s="1">
        <f t="shared" si="170"/>
        <v>7.974820832</v>
      </c>
      <c r="O171" s="1">
        <f t="shared" si="170"/>
        <v>5.473740693</v>
      </c>
      <c r="P171" s="1">
        <f t="shared" si="170"/>
        <v>2.000333389</v>
      </c>
      <c r="Q171" s="1">
        <f t="shared" si="170"/>
        <v>9.289143723</v>
      </c>
      <c r="R171" s="1">
        <f t="shared" si="170"/>
        <v>0</v>
      </c>
      <c r="S171" s="1">
        <f t="shared" si="170"/>
        <v>2.360931309</v>
      </c>
      <c r="T171" s="1">
        <f t="shared" si="170"/>
        <v>8.500485114</v>
      </c>
      <c r="U171" s="1">
        <f t="shared" si="170"/>
        <v>2.619064545</v>
      </c>
    </row>
    <row r="172">
      <c r="A172" s="3">
        <f>IFERROR(__xludf.DUMMYFUNCTION("""COMPUTED_VALUE"""),44091.0)</f>
        <v>44091</v>
      </c>
      <c r="B172" s="1">
        <f t="shared" ref="B172:U172" si="171">IF($A172&gt;0,Megyeinapi!B172/'megyelakosság'!B$2*100000," ")</f>
        <v>2.389391104</v>
      </c>
      <c r="C172" s="1">
        <f t="shared" si="171"/>
        <v>4.455471737</v>
      </c>
      <c r="D172" s="1">
        <f t="shared" si="171"/>
        <v>3.932934393</v>
      </c>
      <c r="E172" s="1">
        <f t="shared" si="171"/>
        <v>4.86607311</v>
      </c>
      <c r="F172" s="1">
        <f t="shared" si="171"/>
        <v>17.02646988</v>
      </c>
      <c r="G172" s="1">
        <f t="shared" si="171"/>
        <v>5.020937309</v>
      </c>
      <c r="H172" s="1">
        <f t="shared" si="171"/>
        <v>0.7166694935</v>
      </c>
      <c r="I172" s="1">
        <f t="shared" si="171"/>
        <v>6.974665058</v>
      </c>
      <c r="J172" s="1">
        <f t="shared" si="171"/>
        <v>2.657923364</v>
      </c>
      <c r="K172" s="1">
        <f t="shared" si="171"/>
        <v>2.726457888</v>
      </c>
      <c r="L172" s="1">
        <f t="shared" si="171"/>
        <v>4.905902073</v>
      </c>
      <c r="M172" s="1">
        <f t="shared" si="171"/>
        <v>10.2991744</v>
      </c>
      <c r="N172" s="1">
        <f t="shared" si="171"/>
        <v>0</v>
      </c>
      <c r="O172" s="1">
        <f t="shared" si="171"/>
        <v>8.249158509</v>
      </c>
      <c r="P172" s="1">
        <f t="shared" si="171"/>
        <v>4.334055676</v>
      </c>
      <c r="Q172" s="1">
        <f t="shared" si="171"/>
        <v>6.010622409</v>
      </c>
      <c r="R172" s="1">
        <f t="shared" si="171"/>
        <v>3.248048851</v>
      </c>
      <c r="S172" s="1">
        <f t="shared" si="171"/>
        <v>8.656748132</v>
      </c>
      <c r="T172" s="1">
        <f t="shared" si="171"/>
        <v>6.741764056</v>
      </c>
      <c r="U172" s="1">
        <f t="shared" si="171"/>
        <v>2.993216623</v>
      </c>
    </row>
    <row r="173">
      <c r="A173" s="3">
        <f>IFERROR(__xludf.DUMMYFUNCTION("""COMPUTED_VALUE"""),44092.0)</f>
        <v>44092</v>
      </c>
      <c r="B173" s="1">
        <f t="shared" ref="B173:U173" si="172">IF($A173&gt;0,Megyeinapi!B173/'megyelakosság'!B$2*100000," ")</f>
        <v>4.579666282</v>
      </c>
      <c r="C173" s="1">
        <f t="shared" si="172"/>
        <v>5.290872688</v>
      </c>
      <c r="D173" s="1">
        <f t="shared" si="172"/>
        <v>2.420267319</v>
      </c>
      <c r="E173" s="1">
        <f t="shared" si="172"/>
        <v>4.238192709</v>
      </c>
      <c r="F173" s="1">
        <f t="shared" si="172"/>
        <v>18.39772919</v>
      </c>
      <c r="G173" s="1">
        <f t="shared" si="172"/>
        <v>18.07537431</v>
      </c>
      <c r="H173" s="1">
        <f t="shared" si="172"/>
        <v>3.822237299</v>
      </c>
      <c r="I173" s="1">
        <f t="shared" si="172"/>
        <v>13.94933012</v>
      </c>
      <c r="J173" s="1">
        <f t="shared" si="172"/>
        <v>12.90991348</v>
      </c>
      <c r="K173" s="1">
        <f t="shared" si="172"/>
        <v>0.340807236</v>
      </c>
      <c r="L173" s="1">
        <f t="shared" si="172"/>
        <v>4.360801842</v>
      </c>
      <c r="M173" s="1">
        <f t="shared" si="172"/>
        <v>9.63471154</v>
      </c>
      <c r="N173" s="1">
        <f t="shared" si="172"/>
        <v>2.126618889</v>
      </c>
      <c r="O173" s="1">
        <f t="shared" si="172"/>
        <v>6.707259722</v>
      </c>
      <c r="P173" s="1">
        <f t="shared" si="172"/>
        <v>6.334389065</v>
      </c>
      <c r="Q173" s="1">
        <f t="shared" si="172"/>
        <v>11.83910475</v>
      </c>
      <c r="R173" s="1">
        <f t="shared" si="172"/>
        <v>8.816132595</v>
      </c>
      <c r="S173" s="1">
        <f t="shared" si="172"/>
        <v>8.656748132</v>
      </c>
      <c r="T173" s="1">
        <f t="shared" si="172"/>
        <v>12.89728776</v>
      </c>
      <c r="U173" s="1">
        <f t="shared" si="172"/>
        <v>5.23812909</v>
      </c>
    </row>
    <row r="174">
      <c r="A174" s="3">
        <f>IFERROR(__xludf.DUMMYFUNCTION("""COMPUTED_VALUE"""),44093.0)</f>
        <v>44093</v>
      </c>
      <c r="B174" s="1">
        <f t="shared" ref="B174:U174" si="173">IF($A174&gt;0,Megyeinapi!B174/'megyelakosság'!B$2*100000," ")</f>
        <v>3.783202581</v>
      </c>
      <c r="C174" s="1">
        <f t="shared" si="173"/>
        <v>8.63247649</v>
      </c>
      <c r="D174" s="1">
        <f t="shared" si="173"/>
        <v>2.117733904</v>
      </c>
      <c r="E174" s="1">
        <f t="shared" si="173"/>
        <v>6.435774114</v>
      </c>
      <c r="F174" s="1">
        <f t="shared" si="173"/>
        <v>13.54118577</v>
      </c>
      <c r="G174" s="1">
        <f t="shared" si="173"/>
        <v>12.55234327</v>
      </c>
      <c r="H174" s="1">
        <f t="shared" si="173"/>
        <v>7.644474598</v>
      </c>
      <c r="I174" s="1">
        <f t="shared" si="173"/>
        <v>8.876846437</v>
      </c>
      <c r="J174" s="1">
        <f t="shared" si="173"/>
        <v>6.454956742</v>
      </c>
      <c r="K174" s="1">
        <f t="shared" si="173"/>
        <v>3.748879596</v>
      </c>
      <c r="L174" s="1">
        <f t="shared" si="173"/>
        <v>7.631403224</v>
      </c>
      <c r="M174" s="1">
        <f t="shared" si="173"/>
        <v>7.973554378</v>
      </c>
      <c r="N174" s="1">
        <f t="shared" si="173"/>
        <v>14.3546775</v>
      </c>
      <c r="O174" s="1">
        <f t="shared" si="173"/>
        <v>5.473740693</v>
      </c>
      <c r="P174" s="1">
        <f t="shared" si="173"/>
        <v>10.00166694</v>
      </c>
      <c r="Q174" s="1">
        <f t="shared" si="173"/>
        <v>7.649883066</v>
      </c>
      <c r="R174" s="1">
        <f t="shared" si="173"/>
        <v>4.640069787</v>
      </c>
      <c r="S174" s="1">
        <f t="shared" si="173"/>
        <v>12.9851222</v>
      </c>
      <c r="T174" s="1">
        <f t="shared" si="173"/>
        <v>5.276163174</v>
      </c>
      <c r="U174" s="1">
        <f t="shared" si="173"/>
        <v>8.231345713</v>
      </c>
    </row>
    <row r="175">
      <c r="A175" s="3">
        <f>IFERROR(__xludf.DUMMYFUNCTION("""COMPUTED_VALUE"""),44094.0)</f>
        <v>44094</v>
      </c>
      <c r="B175" s="1">
        <f t="shared" ref="B175:U175" si="174">IF($A175&gt;0,Megyeinapi!B175/'megyelakosság'!B$2*100000," ")</f>
        <v>2.787622954</v>
      </c>
      <c r="C175" s="1">
        <f t="shared" si="174"/>
        <v>5.847806655</v>
      </c>
      <c r="D175" s="1">
        <f t="shared" si="174"/>
        <v>4.840534637</v>
      </c>
      <c r="E175" s="1">
        <f t="shared" si="174"/>
        <v>8.005475117</v>
      </c>
      <c r="F175" s="1">
        <f t="shared" si="174"/>
        <v>21.8830133</v>
      </c>
      <c r="G175" s="1">
        <f t="shared" si="174"/>
        <v>7.280359097</v>
      </c>
      <c r="H175" s="1">
        <f t="shared" si="174"/>
        <v>11.70560173</v>
      </c>
      <c r="I175" s="1">
        <f t="shared" si="174"/>
        <v>8.242785977</v>
      </c>
      <c r="J175" s="1">
        <f t="shared" si="174"/>
        <v>8.733176769</v>
      </c>
      <c r="K175" s="1">
        <f t="shared" si="174"/>
        <v>6.134530248</v>
      </c>
      <c r="L175" s="1">
        <f t="shared" si="174"/>
        <v>6.268652649</v>
      </c>
      <c r="M175" s="1">
        <f t="shared" si="174"/>
        <v>10.96363727</v>
      </c>
      <c r="N175" s="1">
        <f t="shared" si="174"/>
        <v>4.253237777</v>
      </c>
      <c r="O175" s="1">
        <f t="shared" si="174"/>
        <v>12.25809535</v>
      </c>
      <c r="P175" s="1">
        <f t="shared" si="174"/>
        <v>10.00166694</v>
      </c>
      <c r="Q175" s="1">
        <f t="shared" si="174"/>
        <v>10.74626431</v>
      </c>
      <c r="R175" s="1">
        <f t="shared" si="174"/>
        <v>3.712055829</v>
      </c>
      <c r="S175" s="1">
        <f t="shared" si="174"/>
        <v>4.328374066</v>
      </c>
      <c r="T175" s="1">
        <f t="shared" si="174"/>
        <v>8.207364938</v>
      </c>
      <c r="U175" s="1">
        <f t="shared" si="174"/>
        <v>5.612281168</v>
      </c>
    </row>
    <row r="176">
      <c r="A176" s="3">
        <f>IFERROR(__xludf.DUMMYFUNCTION("""COMPUTED_VALUE"""),44095.0)</f>
        <v>44095</v>
      </c>
      <c r="B176" s="1">
        <f t="shared" ref="B176:U176" si="175">IF($A176&gt;0,Megyeinapi!B176/'megyelakosság'!B$2*100000," ")</f>
        <v>2.986738879</v>
      </c>
      <c r="C176" s="1">
        <f t="shared" si="175"/>
        <v>6.961674589</v>
      </c>
      <c r="D176" s="1">
        <f t="shared" si="175"/>
        <v>2.117733904</v>
      </c>
      <c r="E176" s="1">
        <f t="shared" si="175"/>
        <v>3.767282408</v>
      </c>
      <c r="F176" s="1">
        <f t="shared" si="175"/>
        <v>16.68365505</v>
      </c>
      <c r="G176" s="1">
        <f t="shared" si="175"/>
        <v>11.54815581</v>
      </c>
      <c r="H176" s="1">
        <f t="shared" si="175"/>
        <v>6.450025442</v>
      </c>
      <c r="I176" s="1">
        <f t="shared" si="175"/>
        <v>16.90827893</v>
      </c>
      <c r="J176" s="1">
        <f t="shared" si="175"/>
        <v>7.404215087</v>
      </c>
      <c r="K176" s="1">
        <f t="shared" si="175"/>
        <v>3.40807236</v>
      </c>
      <c r="L176" s="1">
        <f t="shared" si="175"/>
        <v>7.903953339</v>
      </c>
      <c r="M176" s="1">
        <f t="shared" si="175"/>
        <v>9.302480108</v>
      </c>
      <c r="N176" s="1">
        <f t="shared" si="175"/>
        <v>6.379856666</v>
      </c>
      <c r="O176" s="1">
        <f t="shared" si="175"/>
        <v>13.79999414</v>
      </c>
      <c r="P176" s="1">
        <f t="shared" si="175"/>
        <v>1.666944491</v>
      </c>
      <c r="Q176" s="1">
        <f t="shared" si="175"/>
        <v>7.649883066</v>
      </c>
      <c r="R176" s="1">
        <f t="shared" si="175"/>
        <v>3.248048851</v>
      </c>
      <c r="S176" s="1">
        <f t="shared" si="175"/>
        <v>4.328374066</v>
      </c>
      <c r="T176" s="1">
        <f t="shared" si="175"/>
        <v>6.155523703</v>
      </c>
      <c r="U176" s="1">
        <f t="shared" si="175"/>
        <v>2.619064545</v>
      </c>
    </row>
    <row r="177">
      <c r="A177" s="3">
        <f>IFERROR(__xludf.DUMMYFUNCTION("""COMPUTED_VALUE"""),44096.0)</f>
        <v>44096</v>
      </c>
      <c r="B177" s="1">
        <f t="shared" ref="B177:U177" si="176">IF($A177&gt;0,Megyeinapi!B177/'megyelakosság'!B$2*100000," ")</f>
        <v>4.380550356</v>
      </c>
      <c r="C177" s="1">
        <f t="shared" si="176"/>
        <v>3.89853777</v>
      </c>
      <c r="D177" s="1">
        <f t="shared" si="176"/>
        <v>3.630400978</v>
      </c>
      <c r="E177" s="1">
        <f t="shared" si="176"/>
        <v>6.435774114</v>
      </c>
      <c r="F177" s="1">
        <f t="shared" si="176"/>
        <v>8.513234938</v>
      </c>
      <c r="G177" s="1">
        <f t="shared" si="176"/>
        <v>18.57746804</v>
      </c>
      <c r="H177" s="1">
        <f t="shared" si="176"/>
        <v>4.538906792</v>
      </c>
      <c r="I177" s="1">
        <f t="shared" si="176"/>
        <v>5.917897625</v>
      </c>
      <c r="J177" s="1">
        <f t="shared" si="176"/>
        <v>13.28961682</v>
      </c>
      <c r="K177" s="1">
        <f t="shared" si="176"/>
        <v>5.11210854</v>
      </c>
      <c r="L177" s="1">
        <f t="shared" si="176"/>
        <v>4.088251727</v>
      </c>
      <c r="M177" s="1">
        <f t="shared" si="176"/>
        <v>10.63140584</v>
      </c>
      <c r="N177" s="1">
        <f t="shared" si="176"/>
        <v>4.253237777</v>
      </c>
      <c r="O177" s="1">
        <f t="shared" si="176"/>
        <v>3.46927227</v>
      </c>
      <c r="P177" s="1">
        <f t="shared" si="176"/>
        <v>2.000333389</v>
      </c>
      <c r="Q177" s="1">
        <f t="shared" si="176"/>
        <v>12.74980511</v>
      </c>
      <c r="R177" s="1">
        <f t="shared" si="176"/>
        <v>-1.392020936</v>
      </c>
      <c r="S177" s="1">
        <f t="shared" si="176"/>
        <v>2.75441986</v>
      </c>
      <c r="T177" s="1">
        <f t="shared" si="176"/>
        <v>2.638081587</v>
      </c>
      <c r="U177" s="1">
        <f t="shared" si="176"/>
        <v>0</v>
      </c>
    </row>
    <row r="178">
      <c r="A178" s="3">
        <f>IFERROR(__xludf.DUMMYFUNCTION("""COMPUTED_VALUE"""),44097.0)</f>
        <v>44097</v>
      </c>
      <c r="B178" s="1">
        <f t="shared" ref="B178:U178" si="177">IF($A178&gt;0,Megyeinapi!B178/'megyelakosság'!B$2*100000," ")</f>
        <v>6.969057385</v>
      </c>
      <c r="C178" s="1">
        <f t="shared" si="177"/>
        <v>4.177004753</v>
      </c>
      <c r="D178" s="1">
        <f t="shared" si="177"/>
        <v>9.983602689</v>
      </c>
      <c r="E178" s="1">
        <f t="shared" si="177"/>
        <v>7.377594716</v>
      </c>
      <c r="F178" s="1">
        <f t="shared" si="177"/>
        <v>13.19837094</v>
      </c>
      <c r="G178" s="1">
        <f t="shared" si="177"/>
        <v>21.0879367</v>
      </c>
      <c r="H178" s="1">
        <f t="shared" si="177"/>
        <v>15.2889492</v>
      </c>
      <c r="I178" s="1">
        <f t="shared" si="177"/>
        <v>15.85151149</v>
      </c>
      <c r="J178" s="1">
        <f t="shared" si="177"/>
        <v>1.898516689</v>
      </c>
      <c r="K178" s="1">
        <f t="shared" si="177"/>
        <v>4.430494068</v>
      </c>
      <c r="L178" s="1">
        <f t="shared" si="177"/>
        <v>8.721603685</v>
      </c>
      <c r="M178" s="1">
        <f t="shared" si="177"/>
        <v>5.980165783</v>
      </c>
      <c r="N178" s="1">
        <f t="shared" si="177"/>
        <v>7.974820832</v>
      </c>
      <c r="O178" s="1">
        <f t="shared" si="177"/>
        <v>7.092734419</v>
      </c>
      <c r="P178" s="1">
        <f t="shared" si="177"/>
        <v>3.000500083</v>
      </c>
      <c r="Q178" s="1">
        <f t="shared" si="177"/>
        <v>7.467742993</v>
      </c>
      <c r="R178" s="1">
        <f t="shared" si="177"/>
        <v>8.352125616</v>
      </c>
      <c r="S178" s="1">
        <f t="shared" si="177"/>
        <v>34.23350398</v>
      </c>
      <c r="T178" s="1">
        <f t="shared" si="177"/>
        <v>5.862403527</v>
      </c>
      <c r="U178" s="1">
        <f t="shared" si="177"/>
        <v>4.489824934</v>
      </c>
    </row>
    <row r="179">
      <c r="A179" s="3">
        <f>IFERROR(__xludf.DUMMYFUNCTION("""COMPUTED_VALUE"""),44098.0)</f>
        <v>44098</v>
      </c>
      <c r="B179" s="1">
        <f t="shared" ref="B179:U179" si="178">IF($A179&gt;0,Megyeinapi!B179/'megyelakosság'!B$2*100000," ")</f>
        <v>4.181434431</v>
      </c>
      <c r="C179" s="1">
        <f t="shared" si="178"/>
        <v>7.240141573</v>
      </c>
      <c r="D179" s="1">
        <f t="shared" si="178"/>
        <v>12.10133659</v>
      </c>
      <c r="E179" s="1">
        <f t="shared" si="178"/>
        <v>2.668491706</v>
      </c>
      <c r="F179" s="1">
        <f t="shared" si="178"/>
        <v>12.7412845</v>
      </c>
      <c r="G179" s="1">
        <f t="shared" si="178"/>
        <v>18.57746804</v>
      </c>
      <c r="H179" s="1">
        <f t="shared" si="178"/>
        <v>4.06112713</v>
      </c>
      <c r="I179" s="1">
        <f t="shared" si="178"/>
        <v>10.77902782</v>
      </c>
      <c r="J179" s="1">
        <f t="shared" si="178"/>
        <v>3.986885047</v>
      </c>
      <c r="K179" s="1">
        <f t="shared" si="178"/>
        <v>4.430494068</v>
      </c>
      <c r="L179" s="1">
        <f t="shared" si="178"/>
        <v>7.631403224</v>
      </c>
      <c r="M179" s="1">
        <f t="shared" si="178"/>
        <v>6.644628648</v>
      </c>
      <c r="N179" s="1">
        <f t="shared" si="178"/>
        <v>4.253237777</v>
      </c>
      <c r="O179" s="1">
        <f t="shared" si="178"/>
        <v>8.634633205</v>
      </c>
      <c r="P179" s="1">
        <f t="shared" si="178"/>
        <v>11.00183364</v>
      </c>
      <c r="Q179" s="1">
        <f t="shared" si="178"/>
        <v>3.64280146</v>
      </c>
      <c r="R179" s="1">
        <f t="shared" si="178"/>
        <v>1.856027915</v>
      </c>
      <c r="S179" s="1">
        <f t="shared" si="178"/>
        <v>2.75441986</v>
      </c>
      <c r="T179" s="1">
        <f t="shared" si="178"/>
        <v>1.758721058</v>
      </c>
      <c r="U179" s="1">
        <f t="shared" si="178"/>
        <v>3.367368701</v>
      </c>
    </row>
    <row r="180">
      <c r="A180" s="3">
        <f>IFERROR(__xludf.DUMMYFUNCTION("""COMPUTED_VALUE"""),44099.0)</f>
        <v>44099</v>
      </c>
      <c r="B180" s="1">
        <f t="shared" ref="B180:U180" si="179">IF($A180&gt;0,Megyeinapi!B180/'megyelakosság'!B$2*100000," ")</f>
        <v>6.172593684</v>
      </c>
      <c r="C180" s="1">
        <f t="shared" si="179"/>
        <v>7.240141573</v>
      </c>
      <c r="D180" s="1">
        <f t="shared" si="179"/>
        <v>5.445601467</v>
      </c>
      <c r="E180" s="1">
        <f t="shared" si="179"/>
        <v>8.476385418</v>
      </c>
      <c r="F180" s="1">
        <f t="shared" si="179"/>
        <v>16.05516119</v>
      </c>
      <c r="G180" s="1">
        <f t="shared" si="179"/>
        <v>14.56071819</v>
      </c>
      <c r="H180" s="1">
        <f t="shared" si="179"/>
        <v>4.777796624</v>
      </c>
      <c r="I180" s="1">
        <f t="shared" si="179"/>
        <v>23.46023701</v>
      </c>
      <c r="J180" s="1">
        <f t="shared" si="179"/>
        <v>5.12599506</v>
      </c>
      <c r="K180" s="1">
        <f t="shared" si="179"/>
        <v>6.134530248</v>
      </c>
      <c r="L180" s="1">
        <f t="shared" si="179"/>
        <v>7.358853109</v>
      </c>
      <c r="M180" s="1">
        <f t="shared" si="179"/>
        <v>3.654545757</v>
      </c>
      <c r="N180" s="1">
        <f t="shared" si="179"/>
        <v>19.67122472</v>
      </c>
      <c r="O180" s="1">
        <f t="shared" si="179"/>
        <v>6.93854454</v>
      </c>
      <c r="P180" s="1">
        <f t="shared" si="179"/>
        <v>10.66844474</v>
      </c>
      <c r="Q180" s="1">
        <f t="shared" si="179"/>
        <v>2.549961022</v>
      </c>
      <c r="R180" s="1">
        <f t="shared" si="179"/>
        <v>2.784041872</v>
      </c>
      <c r="S180" s="1">
        <f t="shared" si="179"/>
        <v>9.837213786</v>
      </c>
      <c r="T180" s="1">
        <f t="shared" si="179"/>
        <v>7.914244761</v>
      </c>
      <c r="U180" s="1">
        <f t="shared" si="179"/>
        <v>5.23812909</v>
      </c>
    </row>
    <row r="181">
      <c r="A181" s="3">
        <f>IFERROR(__xludf.DUMMYFUNCTION("""COMPUTED_VALUE"""),44100.0)</f>
        <v>44100</v>
      </c>
      <c r="B181" s="1">
        <f t="shared" ref="B181:U181" si="180">IF($A181&gt;0,Megyeinapi!B181/'megyelakosság'!B$2*100000," ")</f>
        <v>2.986738879</v>
      </c>
      <c r="C181" s="1">
        <f t="shared" si="180"/>
        <v>7.518608556</v>
      </c>
      <c r="D181" s="1">
        <f t="shared" si="180"/>
        <v>4.538001222</v>
      </c>
      <c r="E181" s="1">
        <f t="shared" si="180"/>
        <v>9.889116321</v>
      </c>
      <c r="F181" s="1">
        <f t="shared" si="180"/>
        <v>13.36977836</v>
      </c>
      <c r="G181" s="1">
        <f t="shared" si="180"/>
        <v>10.04187462</v>
      </c>
      <c r="H181" s="1">
        <f t="shared" si="180"/>
        <v>7.883364429</v>
      </c>
      <c r="I181" s="1">
        <f t="shared" si="180"/>
        <v>19.02181379</v>
      </c>
      <c r="J181" s="1">
        <f t="shared" si="180"/>
        <v>9.872286782</v>
      </c>
      <c r="K181" s="1">
        <f t="shared" si="180"/>
        <v>12.60986773</v>
      </c>
      <c r="L181" s="1">
        <f t="shared" si="180"/>
        <v>17.71575748</v>
      </c>
      <c r="M181" s="1">
        <f t="shared" si="180"/>
        <v>5.647934351</v>
      </c>
      <c r="N181" s="1">
        <f t="shared" si="180"/>
        <v>12.75971333</v>
      </c>
      <c r="O181" s="1">
        <f t="shared" si="180"/>
        <v>5.936310329</v>
      </c>
      <c r="P181" s="1">
        <f t="shared" si="180"/>
        <v>5.33422237</v>
      </c>
      <c r="Q181" s="1">
        <f t="shared" si="180"/>
        <v>12.56766504</v>
      </c>
      <c r="R181" s="1">
        <f t="shared" si="180"/>
        <v>1.856027915</v>
      </c>
      <c r="S181" s="1">
        <f t="shared" si="180"/>
        <v>9.443725235</v>
      </c>
      <c r="T181" s="1">
        <f t="shared" si="180"/>
        <v>8.500485114</v>
      </c>
      <c r="U181" s="1">
        <f t="shared" si="180"/>
        <v>7.108889479</v>
      </c>
    </row>
    <row r="182">
      <c r="A182" s="3">
        <f>IFERROR(__xludf.DUMMYFUNCTION("""COMPUTED_VALUE"""),44101.0)</f>
        <v>44101</v>
      </c>
      <c r="B182" s="1">
        <f t="shared" ref="B182:U182" si="181">IF($A182&gt;0,Megyeinapi!B182/'megyelakosság'!B$2*100000," ")</f>
        <v>3.783202581</v>
      </c>
      <c r="C182" s="1">
        <f t="shared" si="181"/>
        <v>18.10035393</v>
      </c>
      <c r="D182" s="1">
        <f t="shared" si="181"/>
        <v>3.327867563</v>
      </c>
      <c r="E182" s="1">
        <f t="shared" si="181"/>
        <v>5.807893712</v>
      </c>
      <c r="F182" s="1">
        <f t="shared" si="181"/>
        <v>17.3121489</v>
      </c>
      <c r="G182" s="1">
        <f t="shared" si="181"/>
        <v>6.527218501</v>
      </c>
      <c r="H182" s="1">
        <f t="shared" si="181"/>
        <v>8.600033922</v>
      </c>
      <c r="I182" s="1">
        <f t="shared" si="181"/>
        <v>9.29955341</v>
      </c>
      <c r="J182" s="1">
        <f t="shared" si="181"/>
        <v>7.973770093</v>
      </c>
      <c r="K182" s="1">
        <f t="shared" si="181"/>
        <v>7.156951956</v>
      </c>
      <c r="L182" s="1">
        <f t="shared" si="181"/>
        <v>5.178452188</v>
      </c>
      <c r="M182" s="1">
        <f t="shared" si="181"/>
        <v>7.309091513</v>
      </c>
      <c r="N182" s="1">
        <f t="shared" si="181"/>
        <v>6.379856666</v>
      </c>
      <c r="O182" s="1">
        <f t="shared" si="181"/>
        <v>8.865918023</v>
      </c>
      <c r="P182" s="1">
        <f t="shared" si="181"/>
        <v>8.001333556</v>
      </c>
      <c r="Q182" s="1">
        <f t="shared" si="181"/>
        <v>8.560583431</v>
      </c>
      <c r="R182" s="1">
        <f t="shared" si="181"/>
        <v>6.96010468</v>
      </c>
      <c r="S182" s="1">
        <f t="shared" si="181"/>
        <v>15.73954206</v>
      </c>
      <c r="T182" s="1">
        <f t="shared" si="181"/>
        <v>6.44864388</v>
      </c>
      <c r="U182" s="1">
        <f t="shared" si="181"/>
        <v>6.360585324</v>
      </c>
    </row>
    <row r="183">
      <c r="A183" s="3">
        <f>IFERROR(__xludf.DUMMYFUNCTION("""COMPUTED_VALUE"""),44102.0)</f>
        <v>44102</v>
      </c>
      <c r="B183" s="1">
        <f t="shared" ref="B183:U183" si="182">IF($A183&gt;0,Megyeinapi!B183/'megyelakosság'!B$2*100000," ")</f>
        <v>3.982318506</v>
      </c>
      <c r="C183" s="1">
        <f t="shared" si="182"/>
        <v>11.97408029</v>
      </c>
      <c r="D183" s="1">
        <f t="shared" si="182"/>
        <v>3.932934393</v>
      </c>
      <c r="E183" s="1">
        <f t="shared" si="182"/>
        <v>0.941820602</v>
      </c>
      <c r="F183" s="1">
        <f t="shared" si="182"/>
        <v>11.82711163</v>
      </c>
      <c r="G183" s="1">
        <f t="shared" si="182"/>
        <v>7.280359097</v>
      </c>
      <c r="H183" s="1">
        <f t="shared" si="182"/>
        <v>14.81116953</v>
      </c>
      <c r="I183" s="1">
        <f t="shared" si="182"/>
        <v>10.77902782</v>
      </c>
      <c r="J183" s="1">
        <f t="shared" si="182"/>
        <v>0.5695550067</v>
      </c>
      <c r="K183" s="1">
        <f t="shared" si="182"/>
        <v>3.40807236</v>
      </c>
      <c r="L183" s="1">
        <f t="shared" si="182"/>
        <v>8.721603685</v>
      </c>
      <c r="M183" s="1">
        <f t="shared" si="182"/>
        <v>10.63140584</v>
      </c>
      <c r="N183" s="1">
        <f t="shared" si="182"/>
        <v>7.44316611</v>
      </c>
      <c r="O183" s="1">
        <f t="shared" si="182"/>
        <v>5.627930571</v>
      </c>
      <c r="P183" s="1">
        <f t="shared" si="182"/>
        <v>12.66877813</v>
      </c>
      <c r="Q183" s="1">
        <f t="shared" si="182"/>
        <v>0</v>
      </c>
      <c r="R183" s="1">
        <f t="shared" si="182"/>
        <v>5.104076765</v>
      </c>
      <c r="S183" s="1">
        <f t="shared" si="182"/>
        <v>7.476282478</v>
      </c>
      <c r="T183" s="1">
        <f t="shared" si="182"/>
        <v>4.689922821</v>
      </c>
      <c r="U183" s="1">
        <f t="shared" si="182"/>
        <v>8.605497791</v>
      </c>
    </row>
    <row r="184">
      <c r="A184" s="3">
        <f>IFERROR(__xludf.DUMMYFUNCTION("""COMPUTED_VALUE"""),44103.0)</f>
        <v>44103</v>
      </c>
      <c r="B184" s="1">
        <f t="shared" ref="B184:U184" si="183">IF($A184&gt;0,Megyeinapi!B184/'megyelakosság'!B$2*100000," ")</f>
        <v>6.969057385</v>
      </c>
      <c r="C184" s="1">
        <f t="shared" si="183"/>
        <v>1.392334918</v>
      </c>
      <c r="D184" s="1">
        <f t="shared" si="183"/>
        <v>3.025334148</v>
      </c>
      <c r="E184" s="1">
        <f t="shared" si="183"/>
        <v>7.848505017</v>
      </c>
      <c r="F184" s="1">
        <f t="shared" si="183"/>
        <v>16.39797602</v>
      </c>
      <c r="G184" s="1">
        <f t="shared" si="183"/>
        <v>8.033499694</v>
      </c>
      <c r="H184" s="1">
        <f t="shared" si="183"/>
        <v>5.494466117</v>
      </c>
      <c r="I184" s="1">
        <f t="shared" si="183"/>
        <v>8.876846437</v>
      </c>
      <c r="J184" s="1">
        <f t="shared" si="183"/>
        <v>4.366588384</v>
      </c>
      <c r="K184" s="1">
        <f t="shared" si="183"/>
        <v>5.793723012</v>
      </c>
      <c r="L184" s="1">
        <f t="shared" si="183"/>
        <v>14.17260599</v>
      </c>
      <c r="M184" s="1">
        <f t="shared" si="183"/>
        <v>0.9966942972</v>
      </c>
      <c r="N184" s="1">
        <f t="shared" si="183"/>
        <v>13.29136805</v>
      </c>
      <c r="O184" s="1">
        <f t="shared" si="183"/>
        <v>9.559772477</v>
      </c>
      <c r="P184" s="1">
        <f t="shared" si="183"/>
        <v>1.333555593</v>
      </c>
      <c r="Q184" s="1">
        <f t="shared" si="183"/>
        <v>6.557042628</v>
      </c>
      <c r="R184" s="1">
        <f t="shared" si="183"/>
        <v>0.9280139573</v>
      </c>
      <c r="S184" s="1">
        <f t="shared" si="183"/>
        <v>18.49396192</v>
      </c>
      <c r="T184" s="1">
        <f t="shared" si="183"/>
        <v>5.276163174</v>
      </c>
      <c r="U184" s="1">
        <f t="shared" si="183"/>
        <v>5.986433246</v>
      </c>
    </row>
    <row r="185">
      <c r="A185" s="3">
        <f>IFERROR(__xludf.DUMMYFUNCTION("""COMPUTED_VALUE"""),44104.0)</f>
        <v>44104</v>
      </c>
      <c r="B185" s="1">
        <f t="shared" ref="B185:U185" si="184">IF($A185&gt;0,Megyeinapi!B185/'megyelakosság'!B$2*100000," ")</f>
        <v>2.986738879</v>
      </c>
      <c r="C185" s="1">
        <f t="shared" si="184"/>
        <v>11.41714633</v>
      </c>
      <c r="D185" s="1">
        <f t="shared" si="184"/>
        <v>1.815200489</v>
      </c>
      <c r="E185" s="1">
        <f t="shared" si="184"/>
        <v>9.26123592</v>
      </c>
      <c r="F185" s="1">
        <f t="shared" si="184"/>
        <v>17.82637115</v>
      </c>
      <c r="G185" s="1">
        <f t="shared" si="184"/>
        <v>7.029312232</v>
      </c>
      <c r="H185" s="1">
        <f t="shared" si="184"/>
        <v>2.866677974</v>
      </c>
      <c r="I185" s="1">
        <f t="shared" si="184"/>
        <v>11.41308828</v>
      </c>
      <c r="J185" s="1">
        <f t="shared" si="184"/>
        <v>13.47946849</v>
      </c>
      <c r="K185" s="1">
        <f t="shared" si="184"/>
        <v>2.044843416</v>
      </c>
      <c r="L185" s="1">
        <f t="shared" si="184"/>
        <v>6.268652649</v>
      </c>
      <c r="M185" s="1">
        <f t="shared" si="184"/>
        <v>9.63471154</v>
      </c>
      <c r="N185" s="1">
        <f t="shared" si="184"/>
        <v>9.038130277</v>
      </c>
      <c r="O185" s="1">
        <f t="shared" si="184"/>
        <v>9.791057295</v>
      </c>
      <c r="P185" s="1">
        <f t="shared" si="184"/>
        <v>3.000500083</v>
      </c>
      <c r="Q185" s="1">
        <f t="shared" si="184"/>
        <v>8.924863577</v>
      </c>
      <c r="R185" s="1">
        <f t="shared" si="184"/>
        <v>0.9280139573</v>
      </c>
      <c r="S185" s="1">
        <f t="shared" si="184"/>
        <v>6.295816823</v>
      </c>
      <c r="T185" s="1">
        <f t="shared" si="184"/>
        <v>2.344961411</v>
      </c>
      <c r="U185" s="1">
        <f t="shared" si="184"/>
        <v>3.741520779</v>
      </c>
    </row>
    <row r="186">
      <c r="A186" s="3">
        <f>IFERROR(__xludf.DUMMYFUNCTION("""COMPUTED_VALUE"""),44105.0)</f>
        <v>44105</v>
      </c>
      <c r="B186" s="1">
        <f t="shared" ref="B186:U186" si="185">IF($A186&gt;0,Megyeinapi!B186/'megyelakosság'!B$2*100000," ")</f>
        <v>3.982318506</v>
      </c>
      <c r="C186" s="1">
        <f t="shared" si="185"/>
        <v>8.63247649</v>
      </c>
      <c r="D186" s="1">
        <f t="shared" si="185"/>
        <v>2.722800733</v>
      </c>
      <c r="E186" s="1">
        <f t="shared" si="185"/>
        <v>1.098790702</v>
      </c>
      <c r="F186" s="1">
        <f t="shared" si="185"/>
        <v>18.96908724</v>
      </c>
      <c r="G186" s="1">
        <f t="shared" si="185"/>
        <v>5.271984174</v>
      </c>
      <c r="H186" s="1">
        <f t="shared" si="185"/>
        <v>4.538906792</v>
      </c>
      <c r="I186" s="1">
        <f t="shared" si="185"/>
        <v>8.031432491</v>
      </c>
      <c r="J186" s="1">
        <f t="shared" si="185"/>
        <v>1.518813351</v>
      </c>
      <c r="K186" s="1">
        <f t="shared" si="185"/>
        <v>8.860988137</v>
      </c>
      <c r="L186" s="1">
        <f t="shared" si="185"/>
        <v>9.266703915</v>
      </c>
      <c r="M186" s="1">
        <f t="shared" si="185"/>
        <v>3.986777189</v>
      </c>
      <c r="N186" s="1">
        <f t="shared" si="185"/>
        <v>4.784892499</v>
      </c>
      <c r="O186" s="1">
        <f t="shared" si="185"/>
        <v>19.11954495</v>
      </c>
      <c r="P186" s="1">
        <f t="shared" si="185"/>
        <v>2.333722287</v>
      </c>
      <c r="Q186" s="1">
        <f t="shared" si="185"/>
        <v>0.182140073</v>
      </c>
      <c r="R186" s="1">
        <f t="shared" si="185"/>
        <v>3.248048851</v>
      </c>
      <c r="S186" s="1">
        <f t="shared" si="185"/>
        <v>1.180465654</v>
      </c>
      <c r="T186" s="1">
        <f t="shared" si="185"/>
        <v>1.758721058</v>
      </c>
      <c r="U186" s="1">
        <f t="shared" si="185"/>
        <v>3.741520779</v>
      </c>
    </row>
    <row r="187">
      <c r="A187" s="3">
        <f>IFERROR(__xludf.DUMMYFUNCTION("""COMPUTED_VALUE"""),44106.0)</f>
        <v>44106</v>
      </c>
      <c r="B187" s="1">
        <f t="shared" ref="B187:U187" si="186">IF($A187&gt;0,Megyeinapi!B187/'megyelakosság'!B$2*100000," ")</f>
        <v>4.380550356</v>
      </c>
      <c r="C187" s="1">
        <f t="shared" si="186"/>
        <v>6.683207605</v>
      </c>
      <c r="D187" s="1">
        <f t="shared" si="186"/>
        <v>6.050668296</v>
      </c>
      <c r="E187" s="1">
        <f t="shared" si="186"/>
        <v>26.05703666</v>
      </c>
      <c r="F187" s="1">
        <f t="shared" si="186"/>
        <v>16.1694328</v>
      </c>
      <c r="G187" s="1">
        <f t="shared" si="186"/>
        <v>14.05862446</v>
      </c>
      <c r="H187" s="1">
        <f t="shared" si="186"/>
        <v>14.09450004</v>
      </c>
      <c r="I187" s="1">
        <f t="shared" si="186"/>
        <v>20.92399517</v>
      </c>
      <c r="J187" s="1">
        <f t="shared" si="186"/>
        <v>24.68071696</v>
      </c>
      <c r="K187" s="1">
        <f t="shared" si="186"/>
        <v>4.771301304</v>
      </c>
      <c r="L187" s="1">
        <f t="shared" si="186"/>
        <v>5.723552418</v>
      </c>
      <c r="M187" s="1">
        <f t="shared" si="186"/>
        <v>8.638017243</v>
      </c>
      <c r="N187" s="1">
        <f t="shared" si="186"/>
        <v>21.26618889</v>
      </c>
      <c r="O187" s="1">
        <f t="shared" si="186"/>
        <v>9.945247174</v>
      </c>
      <c r="P187" s="1">
        <f t="shared" si="186"/>
        <v>10.33505584</v>
      </c>
      <c r="Q187" s="1">
        <f t="shared" si="186"/>
        <v>21.49252861</v>
      </c>
      <c r="R187" s="1">
        <f t="shared" si="186"/>
        <v>4.640069787</v>
      </c>
      <c r="S187" s="1">
        <f t="shared" si="186"/>
        <v>15.73954206</v>
      </c>
      <c r="T187" s="1">
        <f t="shared" si="186"/>
        <v>8.207364938</v>
      </c>
      <c r="U187" s="1">
        <f t="shared" si="186"/>
        <v>2.244912467</v>
      </c>
    </row>
    <row r="188">
      <c r="A188" s="3">
        <f>IFERROR(__xludf.DUMMYFUNCTION("""COMPUTED_VALUE"""),44107.0)</f>
        <v>44107</v>
      </c>
      <c r="B188" s="1">
        <f t="shared" ref="B188:U188" si="187">IF($A188&gt;0,Megyeinapi!B188/'megyelakosság'!B$2*100000," ")</f>
        <v>7.566405161</v>
      </c>
      <c r="C188" s="1">
        <f t="shared" si="187"/>
        <v>13.08794823</v>
      </c>
      <c r="D188" s="1">
        <f t="shared" si="187"/>
        <v>6.050668296</v>
      </c>
      <c r="E188" s="1">
        <f t="shared" si="187"/>
        <v>11.77275753</v>
      </c>
      <c r="F188" s="1">
        <f t="shared" si="187"/>
        <v>14.79817348</v>
      </c>
      <c r="G188" s="1">
        <f t="shared" si="187"/>
        <v>15.31385879</v>
      </c>
      <c r="H188" s="1">
        <f t="shared" si="187"/>
        <v>6.211135611</v>
      </c>
      <c r="I188" s="1">
        <f t="shared" si="187"/>
        <v>15.42880452</v>
      </c>
      <c r="J188" s="1">
        <f t="shared" si="187"/>
        <v>13.85917183</v>
      </c>
      <c r="K188" s="1">
        <f t="shared" si="187"/>
        <v>13.63228944</v>
      </c>
      <c r="L188" s="1">
        <f t="shared" si="187"/>
        <v>13.62750576</v>
      </c>
      <c r="M188" s="1">
        <f t="shared" si="187"/>
        <v>13.62148873</v>
      </c>
      <c r="N188" s="1">
        <f t="shared" si="187"/>
        <v>10.63309444</v>
      </c>
      <c r="O188" s="1">
        <f t="shared" si="187"/>
        <v>8.326253448</v>
      </c>
      <c r="P188" s="1">
        <f t="shared" si="187"/>
        <v>8.334722454</v>
      </c>
      <c r="Q188" s="1">
        <f t="shared" si="187"/>
        <v>8.378443358</v>
      </c>
      <c r="R188" s="1">
        <f t="shared" si="187"/>
        <v>4.640069787</v>
      </c>
      <c r="S188" s="1">
        <f t="shared" si="187"/>
        <v>14.95256496</v>
      </c>
      <c r="T188" s="1">
        <f t="shared" si="187"/>
        <v>7.621124585</v>
      </c>
      <c r="U188" s="1">
        <f t="shared" si="187"/>
        <v>3.741520779</v>
      </c>
    </row>
    <row r="189">
      <c r="A189" s="3">
        <f>IFERROR(__xludf.DUMMYFUNCTION("""COMPUTED_VALUE"""),44108.0)</f>
        <v>44108</v>
      </c>
      <c r="B189" s="1">
        <f t="shared" ref="B189:U189" si="188">IF($A189&gt;0,Megyeinapi!B189/'megyelakosság'!B$2*100000," ")</f>
        <v>2.588507029</v>
      </c>
      <c r="C189" s="1">
        <f t="shared" si="188"/>
        <v>6.961674589</v>
      </c>
      <c r="D189" s="1">
        <f t="shared" si="188"/>
        <v>2.117733904</v>
      </c>
      <c r="E189" s="1">
        <f t="shared" si="188"/>
        <v>9.26123592</v>
      </c>
      <c r="F189" s="1">
        <f t="shared" si="188"/>
        <v>10.28444489</v>
      </c>
      <c r="G189" s="1">
        <f t="shared" si="188"/>
        <v>6.02512477</v>
      </c>
      <c r="H189" s="1">
        <f t="shared" si="188"/>
        <v>4.06112713</v>
      </c>
      <c r="I189" s="1">
        <f t="shared" si="188"/>
        <v>17.75369287</v>
      </c>
      <c r="J189" s="1">
        <f t="shared" si="188"/>
        <v>18.98516689</v>
      </c>
      <c r="K189" s="1">
        <f t="shared" si="188"/>
        <v>5.452915776</v>
      </c>
      <c r="L189" s="1">
        <f t="shared" si="188"/>
        <v>7.631403224</v>
      </c>
      <c r="M189" s="1">
        <f t="shared" si="188"/>
        <v>9.966942972</v>
      </c>
      <c r="N189" s="1">
        <f t="shared" si="188"/>
        <v>17.54460583</v>
      </c>
      <c r="O189" s="1">
        <f t="shared" si="188"/>
        <v>5.78212045</v>
      </c>
      <c r="P189" s="1">
        <f t="shared" si="188"/>
        <v>2.667111185</v>
      </c>
      <c r="Q189" s="1">
        <f t="shared" si="188"/>
        <v>14.93548599</v>
      </c>
      <c r="R189" s="1">
        <f t="shared" si="188"/>
        <v>4.176062808</v>
      </c>
      <c r="S189" s="1">
        <f t="shared" si="188"/>
        <v>11.01767944</v>
      </c>
      <c r="T189" s="1">
        <f t="shared" si="188"/>
        <v>8.79360529</v>
      </c>
      <c r="U189" s="1">
        <f t="shared" si="188"/>
        <v>3.741520779</v>
      </c>
    </row>
    <row r="190">
      <c r="A190" s="3">
        <f>IFERROR(__xludf.DUMMYFUNCTION("""COMPUTED_VALUE"""),44109.0)</f>
        <v>44109</v>
      </c>
      <c r="B190" s="1">
        <f t="shared" ref="B190:U190" si="189">IF($A190&gt;0,Megyeinapi!B190/'megyelakosság'!B$2*100000," ")</f>
        <v>1.592927402</v>
      </c>
      <c r="C190" s="1">
        <f t="shared" si="189"/>
        <v>3.89853777</v>
      </c>
      <c r="D190" s="1">
        <f t="shared" si="189"/>
        <v>-1.512667074</v>
      </c>
      <c r="E190" s="1">
        <f t="shared" si="189"/>
        <v>25.42915625</v>
      </c>
      <c r="F190" s="1">
        <f t="shared" si="189"/>
        <v>12.34133387</v>
      </c>
      <c r="G190" s="1">
        <f t="shared" si="189"/>
        <v>4.016749847</v>
      </c>
      <c r="H190" s="1">
        <f t="shared" si="189"/>
        <v>4.777796624</v>
      </c>
      <c r="I190" s="1">
        <f t="shared" si="189"/>
        <v>9.29955341</v>
      </c>
      <c r="J190" s="1">
        <f t="shared" si="189"/>
        <v>7.024511749</v>
      </c>
      <c r="K190" s="1">
        <f t="shared" si="189"/>
        <v>13.63228944</v>
      </c>
      <c r="L190" s="1">
        <f t="shared" si="189"/>
        <v>4.633351958</v>
      </c>
      <c r="M190" s="1">
        <f t="shared" si="189"/>
        <v>4.651240054</v>
      </c>
      <c r="N190" s="1">
        <f t="shared" si="189"/>
        <v>39.87410416</v>
      </c>
      <c r="O190" s="1">
        <f t="shared" si="189"/>
        <v>8.865918023</v>
      </c>
      <c r="P190" s="1">
        <f t="shared" si="189"/>
        <v>3.333888981</v>
      </c>
      <c r="Q190" s="1">
        <f t="shared" si="189"/>
        <v>4.735641898</v>
      </c>
      <c r="R190" s="1">
        <f t="shared" si="189"/>
        <v>0.9280139573</v>
      </c>
      <c r="S190" s="1">
        <f t="shared" si="189"/>
        <v>9.837213786</v>
      </c>
      <c r="T190" s="1">
        <f t="shared" si="189"/>
        <v>14.94912899</v>
      </c>
      <c r="U190" s="1">
        <f t="shared" si="189"/>
        <v>6.734737401</v>
      </c>
    </row>
    <row r="191">
      <c r="A191" s="3">
        <f>IFERROR(__xludf.DUMMYFUNCTION("""COMPUTED_VALUE"""),44110.0)</f>
        <v>44110</v>
      </c>
      <c r="B191" s="1">
        <f t="shared" ref="B191:U191" si="190">IF($A191&gt;0,Megyeinapi!B191/'megyelakosság'!B$2*100000," ")</f>
        <v>2.588507029</v>
      </c>
      <c r="C191" s="1">
        <f t="shared" si="190"/>
        <v>6.683207605</v>
      </c>
      <c r="D191" s="1">
        <f t="shared" si="190"/>
        <v>4.235467807</v>
      </c>
      <c r="E191" s="1">
        <f t="shared" si="190"/>
        <v>18.36550174</v>
      </c>
      <c r="F191" s="1">
        <f t="shared" si="190"/>
        <v>11.02721036</v>
      </c>
      <c r="G191" s="1">
        <f t="shared" si="190"/>
        <v>9.037687155</v>
      </c>
      <c r="H191" s="1">
        <f t="shared" si="190"/>
        <v>4.06112713</v>
      </c>
      <c r="I191" s="1">
        <f t="shared" si="190"/>
        <v>14.79474406</v>
      </c>
      <c r="J191" s="1">
        <f t="shared" si="190"/>
        <v>3.607181709</v>
      </c>
      <c r="K191" s="1">
        <f t="shared" si="190"/>
        <v>3.748879596</v>
      </c>
      <c r="L191" s="1">
        <f t="shared" si="190"/>
        <v>7.358853109</v>
      </c>
      <c r="M191" s="1">
        <f t="shared" si="190"/>
        <v>9.63471154</v>
      </c>
      <c r="N191" s="1">
        <f t="shared" si="190"/>
        <v>10.10143972</v>
      </c>
      <c r="O191" s="1">
        <f t="shared" si="190"/>
        <v>6.93854454</v>
      </c>
      <c r="P191" s="1">
        <f t="shared" si="190"/>
        <v>12.66877813</v>
      </c>
      <c r="Q191" s="1">
        <f t="shared" si="190"/>
        <v>3.824941533</v>
      </c>
      <c r="R191" s="1">
        <f t="shared" si="190"/>
        <v>3.712055829</v>
      </c>
      <c r="S191" s="1">
        <f t="shared" si="190"/>
        <v>7.476282478</v>
      </c>
      <c r="T191" s="1">
        <f t="shared" si="190"/>
        <v>8.207364938</v>
      </c>
      <c r="U191" s="1">
        <f t="shared" si="190"/>
        <v>9.353801946</v>
      </c>
    </row>
    <row r="192">
      <c r="A192" s="3">
        <f>IFERROR(__xludf.DUMMYFUNCTION("""COMPUTED_VALUE"""),44111.0)</f>
        <v>44111</v>
      </c>
      <c r="B192" s="1">
        <f t="shared" ref="B192:U192" si="191">IF($A192&gt;0,Megyeinapi!B192/'megyelakosság'!B$2*100000," ")</f>
        <v>5.376129983</v>
      </c>
      <c r="C192" s="1">
        <f t="shared" si="191"/>
        <v>6.404740622</v>
      </c>
      <c r="D192" s="1">
        <f t="shared" si="191"/>
        <v>4.235467807</v>
      </c>
      <c r="E192" s="1">
        <f t="shared" si="191"/>
        <v>20.56308314</v>
      </c>
      <c r="F192" s="1">
        <f t="shared" si="191"/>
        <v>8.456099133</v>
      </c>
      <c r="G192" s="1">
        <f t="shared" si="191"/>
        <v>6.778265367</v>
      </c>
      <c r="H192" s="1">
        <f t="shared" si="191"/>
        <v>7.644474598</v>
      </c>
      <c r="I192" s="1">
        <f t="shared" si="191"/>
        <v>14.37203709</v>
      </c>
      <c r="J192" s="1">
        <f t="shared" si="191"/>
        <v>14.99828184</v>
      </c>
      <c r="K192" s="1">
        <f t="shared" si="191"/>
        <v>6.81614472</v>
      </c>
      <c r="L192" s="1">
        <f t="shared" si="191"/>
        <v>3.815701612</v>
      </c>
      <c r="M192" s="1">
        <f t="shared" si="191"/>
        <v>5.315702919</v>
      </c>
      <c r="N192" s="1">
        <f t="shared" si="191"/>
        <v>4.784892499</v>
      </c>
      <c r="O192" s="1">
        <f t="shared" si="191"/>
        <v>5.396645753</v>
      </c>
      <c r="P192" s="1">
        <f t="shared" si="191"/>
        <v>1.666944491</v>
      </c>
      <c r="Q192" s="1">
        <f t="shared" si="191"/>
        <v>15.29976613</v>
      </c>
      <c r="R192" s="1">
        <f t="shared" si="191"/>
        <v>0.9280139573</v>
      </c>
      <c r="S192" s="1">
        <f t="shared" si="191"/>
        <v>5.115351169</v>
      </c>
      <c r="T192" s="1">
        <f t="shared" si="191"/>
        <v>3.22432194</v>
      </c>
      <c r="U192" s="1">
        <f t="shared" si="191"/>
        <v>8.605497791</v>
      </c>
    </row>
    <row r="193">
      <c r="A193" s="3">
        <f>IFERROR(__xludf.DUMMYFUNCTION("""COMPUTED_VALUE"""),44112.0)</f>
        <v>44112</v>
      </c>
      <c r="B193" s="1">
        <f t="shared" ref="B193:U193" si="192">IF($A193&gt;0,Megyeinapi!B193/'megyelakosság'!B$2*100000," ")</f>
        <v>2.986738879</v>
      </c>
      <c r="C193" s="1">
        <f t="shared" si="192"/>
        <v>15.3156841</v>
      </c>
      <c r="D193" s="1">
        <f t="shared" si="192"/>
        <v>6.050668296</v>
      </c>
      <c r="E193" s="1">
        <f t="shared" si="192"/>
        <v>3.924252508</v>
      </c>
      <c r="F193" s="1">
        <f t="shared" si="192"/>
        <v>17.36928471</v>
      </c>
      <c r="G193" s="1">
        <f t="shared" si="192"/>
        <v>14.56071819</v>
      </c>
      <c r="H193" s="1">
        <f t="shared" si="192"/>
        <v>6.450025442</v>
      </c>
      <c r="I193" s="1">
        <f t="shared" si="192"/>
        <v>10.9903813</v>
      </c>
      <c r="J193" s="1">
        <f t="shared" si="192"/>
        <v>2.088368358</v>
      </c>
      <c r="K193" s="1">
        <f t="shared" si="192"/>
        <v>-3.067265124</v>
      </c>
      <c r="L193" s="1">
        <f t="shared" si="192"/>
        <v>22.07655933</v>
      </c>
      <c r="M193" s="1">
        <f t="shared" si="192"/>
        <v>2.990082892</v>
      </c>
      <c r="N193" s="1">
        <f t="shared" si="192"/>
        <v>11.16474917</v>
      </c>
      <c r="O193" s="1">
        <f t="shared" si="192"/>
        <v>9.25139272</v>
      </c>
      <c r="P193" s="1">
        <f t="shared" si="192"/>
        <v>9.668278046</v>
      </c>
      <c r="Q193" s="1">
        <f t="shared" si="192"/>
        <v>2.003540803</v>
      </c>
      <c r="R193" s="1">
        <f t="shared" si="192"/>
        <v>6.032090723</v>
      </c>
      <c r="S193" s="1">
        <f t="shared" si="192"/>
        <v>15.34605351</v>
      </c>
      <c r="T193" s="1">
        <f t="shared" si="192"/>
        <v>7.328004409</v>
      </c>
      <c r="U193" s="1">
        <f t="shared" si="192"/>
        <v>9.727954024</v>
      </c>
    </row>
    <row r="194">
      <c r="A194" s="3">
        <f>IFERROR(__xludf.DUMMYFUNCTION("""COMPUTED_VALUE"""),44113.0)</f>
        <v>44113</v>
      </c>
      <c r="B194" s="1">
        <f t="shared" ref="B194:U194" si="193">IF($A194&gt;0,Megyeinapi!B194/'megyelakosság'!B$2*100000," ")</f>
        <v>13.53988292</v>
      </c>
      <c r="C194" s="1">
        <f t="shared" si="193"/>
        <v>10.86021236</v>
      </c>
      <c r="D194" s="1">
        <f t="shared" si="193"/>
        <v>12.40387001</v>
      </c>
      <c r="E194" s="1">
        <f t="shared" si="193"/>
        <v>4.86607311</v>
      </c>
      <c r="F194" s="1">
        <f t="shared" si="193"/>
        <v>10.85580294</v>
      </c>
      <c r="G194" s="1">
        <f t="shared" si="193"/>
        <v>20.08374923</v>
      </c>
      <c r="H194" s="1">
        <f t="shared" si="193"/>
        <v>3.822237299</v>
      </c>
      <c r="I194" s="1">
        <f t="shared" si="193"/>
        <v>28.95542766</v>
      </c>
      <c r="J194" s="1">
        <f t="shared" si="193"/>
        <v>17.27650187</v>
      </c>
      <c r="K194" s="1">
        <f t="shared" si="193"/>
        <v>11.24663879</v>
      </c>
      <c r="L194" s="1">
        <f t="shared" si="193"/>
        <v>7.358853109</v>
      </c>
      <c r="M194" s="1">
        <f t="shared" si="193"/>
        <v>8.30578581</v>
      </c>
      <c r="N194" s="1">
        <f t="shared" si="193"/>
        <v>26.58273611</v>
      </c>
      <c r="O194" s="1">
        <f t="shared" si="193"/>
        <v>9.097202841</v>
      </c>
      <c r="P194" s="1">
        <f t="shared" si="193"/>
        <v>12.66877813</v>
      </c>
      <c r="Q194" s="1">
        <f t="shared" si="193"/>
        <v>12.56766504</v>
      </c>
      <c r="R194" s="1">
        <f t="shared" si="193"/>
        <v>4.176062808</v>
      </c>
      <c r="S194" s="1">
        <f t="shared" si="193"/>
        <v>14.5590764</v>
      </c>
      <c r="T194" s="1">
        <f t="shared" si="193"/>
        <v>12.60416758</v>
      </c>
      <c r="U194" s="1">
        <f t="shared" si="193"/>
        <v>12.72117065</v>
      </c>
    </row>
    <row r="195">
      <c r="A195" s="3">
        <f>IFERROR(__xludf.DUMMYFUNCTION("""COMPUTED_VALUE"""),44114.0)</f>
        <v>44114</v>
      </c>
      <c r="B195" s="1">
        <f t="shared" ref="B195:U195" si="194">IF($A195&gt;0,Megyeinapi!B195/'megyelakosság'!B$2*100000," ")</f>
        <v>5.774361833</v>
      </c>
      <c r="C195" s="1">
        <f t="shared" si="194"/>
        <v>0</v>
      </c>
      <c r="D195" s="1">
        <f t="shared" si="194"/>
        <v>14.2190705</v>
      </c>
      <c r="E195" s="1">
        <f t="shared" si="194"/>
        <v>18.99338214</v>
      </c>
      <c r="F195" s="1">
        <f t="shared" si="194"/>
        <v>17.48355632</v>
      </c>
      <c r="G195" s="1">
        <f t="shared" si="194"/>
        <v>16.82013998</v>
      </c>
      <c r="H195" s="1">
        <f t="shared" si="194"/>
        <v>15.2889492</v>
      </c>
      <c r="I195" s="1">
        <f t="shared" si="194"/>
        <v>34.02791134</v>
      </c>
      <c r="J195" s="1">
        <f t="shared" si="194"/>
        <v>16.13739186</v>
      </c>
      <c r="K195" s="1">
        <f t="shared" si="194"/>
        <v>9.883409845</v>
      </c>
      <c r="L195" s="1">
        <f t="shared" si="194"/>
        <v>19.62360829</v>
      </c>
      <c r="M195" s="1">
        <f t="shared" si="194"/>
        <v>8.638017243</v>
      </c>
      <c r="N195" s="1">
        <f t="shared" si="194"/>
        <v>21.79784361</v>
      </c>
      <c r="O195" s="1">
        <f t="shared" si="194"/>
        <v>10.56200669</v>
      </c>
      <c r="P195" s="1">
        <f t="shared" si="194"/>
        <v>1.666944491</v>
      </c>
      <c r="Q195" s="1">
        <f t="shared" si="194"/>
        <v>12.93194518</v>
      </c>
      <c r="R195" s="1">
        <f t="shared" si="194"/>
        <v>0</v>
      </c>
      <c r="S195" s="1">
        <f t="shared" si="194"/>
        <v>16.92000771</v>
      </c>
      <c r="T195" s="1">
        <f t="shared" si="194"/>
        <v>8.79360529</v>
      </c>
      <c r="U195" s="1">
        <f t="shared" si="194"/>
        <v>14.96608311</v>
      </c>
    </row>
    <row r="196">
      <c r="A196" s="3">
        <f>IFERROR(__xludf.DUMMYFUNCTION("""COMPUTED_VALUE"""),44115.0)</f>
        <v>44115</v>
      </c>
      <c r="B196" s="1">
        <f t="shared" ref="B196:U196" si="195">IF($A196&gt;0,Megyeinapi!B196/'megyelakosság'!B$2*100000," ")</f>
        <v>7.964637012</v>
      </c>
      <c r="C196" s="1">
        <f t="shared" si="195"/>
        <v>21.16349075</v>
      </c>
      <c r="D196" s="1">
        <f t="shared" si="195"/>
        <v>4.235467807</v>
      </c>
      <c r="E196" s="1">
        <f t="shared" si="195"/>
        <v>7.691534916</v>
      </c>
      <c r="F196" s="1">
        <f t="shared" si="195"/>
        <v>9.884494257</v>
      </c>
      <c r="G196" s="1">
        <f t="shared" si="195"/>
        <v>13.8075776</v>
      </c>
      <c r="H196" s="1">
        <f t="shared" si="195"/>
        <v>4.300016961</v>
      </c>
      <c r="I196" s="1">
        <f t="shared" si="195"/>
        <v>20.5012882</v>
      </c>
      <c r="J196" s="1">
        <f t="shared" si="195"/>
        <v>9.302731776</v>
      </c>
      <c r="K196" s="1">
        <f t="shared" si="195"/>
        <v>24.53812099</v>
      </c>
      <c r="L196" s="1">
        <f t="shared" si="195"/>
        <v>3.815701612</v>
      </c>
      <c r="M196" s="1">
        <f t="shared" si="195"/>
        <v>3.986777189</v>
      </c>
      <c r="N196" s="1">
        <f t="shared" si="195"/>
        <v>14.3546775</v>
      </c>
      <c r="O196" s="1">
        <f t="shared" si="195"/>
        <v>7.092734419</v>
      </c>
      <c r="P196" s="1">
        <f t="shared" si="195"/>
        <v>18.0030005</v>
      </c>
      <c r="Q196" s="1">
        <f t="shared" si="195"/>
        <v>22.22108891</v>
      </c>
      <c r="R196" s="1">
        <f t="shared" si="195"/>
        <v>9.280139573</v>
      </c>
      <c r="S196" s="1">
        <f t="shared" si="195"/>
        <v>9.443725235</v>
      </c>
      <c r="T196" s="1">
        <f t="shared" si="195"/>
        <v>9.672965819</v>
      </c>
      <c r="U196" s="1">
        <f t="shared" si="195"/>
        <v>10.1021061</v>
      </c>
    </row>
    <row r="197">
      <c r="A197" s="3">
        <f>IFERROR(__xludf.DUMMYFUNCTION("""COMPUTED_VALUE"""),44116.0)</f>
        <v>44116</v>
      </c>
      <c r="B197" s="1">
        <f t="shared" ref="B197:U197" si="196">IF($A197&gt;0,Megyeinapi!B197/'megyelakosság'!B$2*100000," ")</f>
        <v>1.393811477</v>
      </c>
      <c r="C197" s="1">
        <f t="shared" si="196"/>
        <v>13.36641521</v>
      </c>
      <c r="D197" s="1">
        <f t="shared" si="196"/>
        <v>7.865868785</v>
      </c>
      <c r="E197" s="1">
        <f t="shared" si="196"/>
        <v>13.97033893</v>
      </c>
      <c r="F197" s="1">
        <f t="shared" si="196"/>
        <v>16.96933407</v>
      </c>
      <c r="G197" s="1">
        <f t="shared" si="196"/>
        <v>11.04606208</v>
      </c>
      <c r="H197" s="1">
        <f t="shared" si="196"/>
        <v>13.13894071</v>
      </c>
      <c r="I197" s="1">
        <f t="shared" si="196"/>
        <v>20.28993471</v>
      </c>
      <c r="J197" s="1">
        <f t="shared" si="196"/>
        <v>8.923028438</v>
      </c>
      <c r="K197" s="1">
        <f t="shared" si="196"/>
        <v>4.430494068</v>
      </c>
      <c r="L197" s="1">
        <f t="shared" si="196"/>
        <v>12.5373053</v>
      </c>
      <c r="M197" s="1">
        <f t="shared" si="196"/>
        <v>12.95702586</v>
      </c>
      <c r="N197" s="1">
        <f t="shared" si="196"/>
        <v>22.86115305</v>
      </c>
      <c r="O197" s="1">
        <f t="shared" si="196"/>
        <v>12.79775993</v>
      </c>
      <c r="P197" s="1">
        <f t="shared" si="196"/>
        <v>7.001166861</v>
      </c>
      <c r="Q197" s="1">
        <f t="shared" si="196"/>
        <v>1.457120584</v>
      </c>
      <c r="R197" s="1">
        <f t="shared" si="196"/>
        <v>7.424111659</v>
      </c>
      <c r="S197" s="1">
        <f t="shared" si="196"/>
        <v>13.37861075</v>
      </c>
      <c r="T197" s="1">
        <f t="shared" si="196"/>
        <v>13.77664829</v>
      </c>
      <c r="U197" s="1">
        <f t="shared" si="196"/>
        <v>11.59871441</v>
      </c>
    </row>
    <row r="198">
      <c r="A198" s="3">
        <f>IFERROR(__xludf.DUMMYFUNCTION("""COMPUTED_VALUE"""),44117.0)</f>
        <v>44117</v>
      </c>
      <c r="B198" s="1">
        <f t="shared" ref="B198:U198" si="197">IF($A198&gt;0,Megyeinapi!B198/'megyelakosság'!B$2*100000," ")</f>
        <v>4.181434431</v>
      </c>
      <c r="C198" s="1">
        <f t="shared" si="197"/>
        <v>3.341603803</v>
      </c>
      <c r="D198" s="1">
        <f t="shared" si="197"/>
        <v>3.630400978</v>
      </c>
      <c r="E198" s="1">
        <f t="shared" si="197"/>
        <v>14.44124923</v>
      </c>
      <c r="F198" s="1">
        <f t="shared" si="197"/>
        <v>11.02721036</v>
      </c>
      <c r="G198" s="1">
        <f t="shared" si="197"/>
        <v>4.267796712</v>
      </c>
      <c r="H198" s="1">
        <f t="shared" si="197"/>
        <v>0.7166694935</v>
      </c>
      <c r="I198" s="1">
        <f t="shared" si="197"/>
        <v>7.820079004</v>
      </c>
      <c r="J198" s="1">
        <f t="shared" si="197"/>
        <v>13.66932016</v>
      </c>
      <c r="K198" s="1">
        <f t="shared" si="197"/>
        <v>17.0403618</v>
      </c>
      <c r="L198" s="1">
        <f t="shared" si="197"/>
        <v>5.178452188</v>
      </c>
      <c r="M198" s="1">
        <f t="shared" si="197"/>
        <v>8.970248675</v>
      </c>
      <c r="N198" s="1">
        <f t="shared" si="197"/>
        <v>17.54460583</v>
      </c>
      <c r="O198" s="1">
        <f t="shared" si="197"/>
        <v>9.559772477</v>
      </c>
      <c r="P198" s="1">
        <f t="shared" si="197"/>
        <v>4.667444574</v>
      </c>
      <c r="Q198" s="1">
        <f t="shared" si="197"/>
        <v>31.32809256</v>
      </c>
      <c r="R198" s="1">
        <f t="shared" si="197"/>
        <v>6.032090723</v>
      </c>
      <c r="S198" s="1">
        <f t="shared" si="197"/>
        <v>19.67442757</v>
      </c>
      <c r="T198" s="1">
        <f t="shared" si="197"/>
        <v>14.36288864</v>
      </c>
      <c r="U198" s="1">
        <f t="shared" si="197"/>
        <v>5.612281168</v>
      </c>
    </row>
    <row r="199">
      <c r="A199" s="3">
        <f>IFERROR(__xludf.DUMMYFUNCTION("""COMPUTED_VALUE"""),44118.0)</f>
        <v>44118</v>
      </c>
      <c r="B199" s="1">
        <f t="shared" ref="B199:U199" si="198">IF($A199&gt;0,Megyeinapi!B199/'megyelakosság'!B$2*100000," ")</f>
        <v>3.185854805</v>
      </c>
      <c r="C199" s="1">
        <f t="shared" si="198"/>
        <v>5.569339671</v>
      </c>
      <c r="D199" s="1">
        <f t="shared" si="198"/>
        <v>4.235467807</v>
      </c>
      <c r="E199" s="1">
        <f t="shared" si="198"/>
        <v>21.19096355</v>
      </c>
      <c r="F199" s="1">
        <f t="shared" si="198"/>
        <v>11.25575358</v>
      </c>
      <c r="G199" s="1">
        <f t="shared" si="198"/>
        <v>12.80339014</v>
      </c>
      <c r="H199" s="1">
        <f t="shared" si="198"/>
        <v>2.150008481</v>
      </c>
      <c r="I199" s="1">
        <f t="shared" si="198"/>
        <v>23.03753004</v>
      </c>
      <c r="J199" s="1">
        <f t="shared" si="198"/>
        <v>11.20124846</v>
      </c>
      <c r="K199" s="1">
        <f t="shared" si="198"/>
        <v>13.63228944</v>
      </c>
      <c r="L199" s="1">
        <f t="shared" si="198"/>
        <v>7.086302994</v>
      </c>
      <c r="M199" s="1">
        <f t="shared" si="198"/>
        <v>4.983471486</v>
      </c>
      <c r="N199" s="1">
        <f t="shared" si="198"/>
        <v>11.16474917</v>
      </c>
      <c r="O199" s="1">
        <f t="shared" si="198"/>
        <v>7.555304055</v>
      </c>
      <c r="P199" s="1">
        <f t="shared" si="198"/>
        <v>3.333888981</v>
      </c>
      <c r="Q199" s="1">
        <f t="shared" si="198"/>
        <v>6.739182701</v>
      </c>
      <c r="R199" s="1">
        <f t="shared" si="198"/>
        <v>-1.392020936</v>
      </c>
      <c r="S199" s="1">
        <f t="shared" si="198"/>
        <v>13.37861075</v>
      </c>
      <c r="T199" s="1">
        <f t="shared" si="198"/>
        <v>6.741764056</v>
      </c>
      <c r="U199" s="1">
        <f t="shared" si="198"/>
        <v>3.367368701</v>
      </c>
    </row>
    <row r="200">
      <c r="A200" s="3">
        <f>IFERROR(__xludf.DUMMYFUNCTION("""COMPUTED_VALUE"""),44119.0)</f>
        <v>44119</v>
      </c>
      <c r="B200" s="1">
        <f t="shared" ref="B200:U200" si="199">IF($A200&gt;0,Megyeinapi!B200/'megyelakosság'!B$2*100000," ")</f>
        <v>5.177014058</v>
      </c>
      <c r="C200" s="1">
        <f t="shared" si="199"/>
        <v>8.075542523</v>
      </c>
      <c r="D200" s="1">
        <f t="shared" si="199"/>
        <v>0.9076002444</v>
      </c>
      <c r="E200" s="1">
        <f t="shared" si="199"/>
        <v>8.476385418</v>
      </c>
      <c r="F200" s="1">
        <f t="shared" si="199"/>
        <v>16.74079085</v>
      </c>
      <c r="G200" s="1">
        <f t="shared" si="199"/>
        <v>12.55234327</v>
      </c>
      <c r="H200" s="1">
        <f t="shared" si="199"/>
        <v>12.18338139</v>
      </c>
      <c r="I200" s="1">
        <f t="shared" si="199"/>
        <v>13.31526966</v>
      </c>
      <c r="J200" s="1">
        <f t="shared" si="199"/>
        <v>6.83466008</v>
      </c>
      <c r="K200" s="1">
        <f t="shared" si="199"/>
        <v>13.97309668</v>
      </c>
      <c r="L200" s="1">
        <f t="shared" si="199"/>
        <v>16.62555702</v>
      </c>
      <c r="M200" s="1">
        <f t="shared" si="199"/>
        <v>2.990082892</v>
      </c>
      <c r="N200" s="1">
        <f t="shared" si="199"/>
        <v>8.506475555</v>
      </c>
      <c r="O200" s="1">
        <f t="shared" si="199"/>
        <v>9.174297781</v>
      </c>
      <c r="P200" s="1">
        <f t="shared" si="199"/>
        <v>9.334889148</v>
      </c>
      <c r="Q200" s="1">
        <f t="shared" si="199"/>
        <v>3.64280146</v>
      </c>
      <c r="R200" s="1">
        <f t="shared" si="199"/>
        <v>4.176062808</v>
      </c>
      <c r="S200" s="1">
        <f t="shared" si="199"/>
        <v>1.573954206</v>
      </c>
      <c r="T200" s="1">
        <f t="shared" si="199"/>
        <v>6.741764056</v>
      </c>
      <c r="U200" s="1">
        <f t="shared" si="199"/>
        <v>5.612281168</v>
      </c>
    </row>
    <row r="201">
      <c r="A201" s="3">
        <f>IFERROR(__xludf.DUMMYFUNCTION("""COMPUTED_VALUE"""),44120.0)</f>
        <v>44120</v>
      </c>
      <c r="B201" s="1">
        <f t="shared" ref="B201:U201" si="200">IF($A201&gt;0,Megyeinapi!B201/'megyelakosság'!B$2*100000," ")</f>
        <v>10.75225997</v>
      </c>
      <c r="C201" s="1">
        <f t="shared" si="200"/>
        <v>13.36641521</v>
      </c>
      <c r="D201" s="1">
        <f t="shared" si="200"/>
        <v>8.470935615</v>
      </c>
      <c r="E201" s="1">
        <f t="shared" si="200"/>
        <v>6.749714314</v>
      </c>
      <c r="F201" s="1">
        <f t="shared" si="200"/>
        <v>15.94088958</v>
      </c>
      <c r="G201" s="1">
        <f t="shared" si="200"/>
        <v>14.05862446</v>
      </c>
      <c r="H201" s="1">
        <f t="shared" si="200"/>
        <v>10.03337291</v>
      </c>
      <c r="I201" s="1">
        <f t="shared" si="200"/>
        <v>15.85151149</v>
      </c>
      <c r="J201" s="1">
        <f t="shared" si="200"/>
        <v>5.885401736</v>
      </c>
      <c r="K201" s="1">
        <f t="shared" si="200"/>
        <v>9.201795373</v>
      </c>
      <c r="L201" s="1">
        <f t="shared" si="200"/>
        <v>5.178452188</v>
      </c>
      <c r="M201" s="1">
        <f t="shared" si="200"/>
        <v>17.27603449</v>
      </c>
      <c r="N201" s="1">
        <f t="shared" si="200"/>
        <v>22.86115305</v>
      </c>
      <c r="O201" s="1">
        <f t="shared" si="200"/>
        <v>19.11954495</v>
      </c>
      <c r="P201" s="1">
        <f t="shared" si="200"/>
        <v>8.334722454</v>
      </c>
      <c r="Q201" s="1">
        <f t="shared" si="200"/>
        <v>8.378443358</v>
      </c>
      <c r="R201" s="1">
        <f t="shared" si="200"/>
        <v>14.84822332</v>
      </c>
      <c r="S201" s="1">
        <f t="shared" si="200"/>
        <v>21.64187033</v>
      </c>
      <c r="T201" s="1">
        <f t="shared" si="200"/>
        <v>12.60416758</v>
      </c>
      <c r="U201" s="1">
        <f t="shared" si="200"/>
        <v>17.58514766</v>
      </c>
    </row>
    <row r="202">
      <c r="A202" s="3">
        <f>IFERROR(__xludf.DUMMYFUNCTION("""COMPUTED_VALUE"""),44121.0)</f>
        <v>44121</v>
      </c>
      <c r="B202" s="1">
        <f t="shared" ref="B202:U202" si="201">IF($A202&gt;0,Megyeinapi!B202/'megyelakosság'!B$2*100000," ")</f>
        <v>9.756680339</v>
      </c>
      <c r="C202" s="1">
        <f t="shared" si="201"/>
        <v>14.75875013</v>
      </c>
      <c r="D202" s="1">
        <f t="shared" si="201"/>
        <v>11.19373635</v>
      </c>
      <c r="E202" s="1">
        <f t="shared" si="201"/>
        <v>23.38854495</v>
      </c>
      <c r="F202" s="1">
        <f t="shared" si="201"/>
        <v>21.02597622</v>
      </c>
      <c r="G202" s="1">
        <f t="shared" si="201"/>
        <v>21.33898356</v>
      </c>
      <c r="H202" s="1">
        <f t="shared" si="201"/>
        <v>12.18338139</v>
      </c>
      <c r="I202" s="1">
        <f t="shared" si="201"/>
        <v>32.12572996</v>
      </c>
      <c r="J202" s="1">
        <f t="shared" si="201"/>
        <v>12.15050681</v>
      </c>
      <c r="K202" s="1">
        <f t="shared" si="201"/>
        <v>25.21973547</v>
      </c>
      <c r="L202" s="1">
        <f t="shared" si="201"/>
        <v>9.53925403</v>
      </c>
      <c r="M202" s="1">
        <f t="shared" si="201"/>
        <v>10.96363727</v>
      </c>
      <c r="N202" s="1">
        <f t="shared" si="201"/>
        <v>31.36762861</v>
      </c>
      <c r="O202" s="1">
        <f t="shared" si="201"/>
        <v>15.26479799</v>
      </c>
      <c r="P202" s="1">
        <f t="shared" si="201"/>
        <v>12.33538923</v>
      </c>
      <c r="Q202" s="1">
        <f t="shared" si="201"/>
        <v>18.39614737</v>
      </c>
      <c r="R202" s="1">
        <f t="shared" si="201"/>
        <v>17.63226519</v>
      </c>
      <c r="S202" s="1">
        <f t="shared" si="201"/>
        <v>36.20094673</v>
      </c>
      <c r="T202" s="1">
        <f t="shared" si="201"/>
        <v>18.75969129</v>
      </c>
      <c r="U202" s="1">
        <f t="shared" si="201"/>
        <v>19.45590805</v>
      </c>
    </row>
    <row r="203">
      <c r="A203" s="3">
        <f>IFERROR(__xludf.DUMMYFUNCTION("""COMPUTED_VALUE"""),44122.0)</f>
        <v>44122</v>
      </c>
      <c r="B203" s="1">
        <f t="shared" ref="B203:U203" si="202">IF($A203&gt;0,Megyeinapi!B203/'megyelakosság'!B$2*100000," ")</f>
        <v>7.566405161</v>
      </c>
      <c r="C203" s="1">
        <f t="shared" si="202"/>
        <v>15.59415108</v>
      </c>
      <c r="D203" s="1">
        <f t="shared" si="202"/>
        <v>6.655735126</v>
      </c>
      <c r="E203" s="1">
        <f t="shared" si="202"/>
        <v>19.62126254</v>
      </c>
      <c r="F203" s="1">
        <f t="shared" si="202"/>
        <v>14.9695809</v>
      </c>
      <c r="G203" s="1">
        <f t="shared" si="202"/>
        <v>7.782452828</v>
      </c>
      <c r="H203" s="1">
        <f t="shared" si="202"/>
        <v>9.555593247</v>
      </c>
      <c r="I203" s="1">
        <f t="shared" si="202"/>
        <v>18.81046031</v>
      </c>
      <c r="J203" s="1">
        <f t="shared" si="202"/>
        <v>17.65620521</v>
      </c>
      <c r="K203" s="1">
        <f t="shared" si="202"/>
        <v>21.13004863</v>
      </c>
      <c r="L203" s="1">
        <f t="shared" si="202"/>
        <v>5.451002303</v>
      </c>
      <c r="M203" s="1">
        <f t="shared" si="202"/>
        <v>6.312397216</v>
      </c>
      <c r="N203" s="1">
        <f t="shared" si="202"/>
        <v>47.84892499</v>
      </c>
      <c r="O203" s="1">
        <f t="shared" si="202"/>
        <v>18.88826014</v>
      </c>
      <c r="P203" s="1">
        <f t="shared" si="202"/>
        <v>16.33605601</v>
      </c>
      <c r="Q203" s="1">
        <f t="shared" si="202"/>
        <v>23.13178927</v>
      </c>
      <c r="R203" s="1">
        <f t="shared" si="202"/>
        <v>5.104076765</v>
      </c>
      <c r="S203" s="1">
        <f t="shared" si="202"/>
        <v>23.21582454</v>
      </c>
      <c r="T203" s="1">
        <f t="shared" si="202"/>
        <v>0.5862403527</v>
      </c>
      <c r="U203" s="1">
        <f t="shared" si="202"/>
        <v>12.72117065</v>
      </c>
    </row>
    <row r="204">
      <c r="A204" s="3">
        <f>IFERROR(__xludf.DUMMYFUNCTION("""COMPUTED_VALUE"""),44123.0)</f>
        <v>44123</v>
      </c>
      <c r="B204" s="1">
        <f t="shared" ref="B204:U204" si="203">IF($A204&gt;0,Megyeinapi!B204/'megyelakosság'!B$2*100000," ")</f>
        <v>9.358448489</v>
      </c>
      <c r="C204" s="1">
        <f t="shared" si="203"/>
        <v>8.075542523</v>
      </c>
      <c r="D204" s="1">
        <f t="shared" si="203"/>
        <v>13.91653708</v>
      </c>
      <c r="E204" s="1">
        <f t="shared" si="203"/>
        <v>19.77823264</v>
      </c>
      <c r="F204" s="1">
        <f t="shared" si="203"/>
        <v>10.74153133</v>
      </c>
      <c r="G204" s="1">
        <f t="shared" si="203"/>
        <v>19.5816555</v>
      </c>
      <c r="H204" s="1">
        <f t="shared" si="203"/>
        <v>9.794483078</v>
      </c>
      <c r="I204" s="1">
        <f t="shared" si="203"/>
        <v>18.59910682</v>
      </c>
      <c r="J204" s="1">
        <f t="shared" si="203"/>
        <v>33.41389372</v>
      </c>
      <c r="K204" s="1">
        <f t="shared" si="203"/>
        <v>7.156951956</v>
      </c>
      <c r="L204" s="1">
        <f t="shared" si="203"/>
        <v>16.35300691</v>
      </c>
      <c r="M204" s="1">
        <f t="shared" si="203"/>
        <v>13.2892573</v>
      </c>
      <c r="N204" s="1">
        <f t="shared" si="203"/>
        <v>17.54460583</v>
      </c>
      <c r="O204" s="1">
        <f t="shared" si="203"/>
        <v>8.788823084</v>
      </c>
      <c r="P204" s="1">
        <f t="shared" si="203"/>
        <v>4.667444574</v>
      </c>
      <c r="Q204" s="1">
        <f t="shared" si="203"/>
        <v>22.40322898</v>
      </c>
      <c r="R204" s="1">
        <f t="shared" si="203"/>
        <v>9.744146552</v>
      </c>
      <c r="S204" s="1">
        <f t="shared" si="203"/>
        <v>35.41396963</v>
      </c>
      <c r="T204" s="1">
        <f t="shared" si="203"/>
        <v>26.67393605</v>
      </c>
      <c r="U204" s="1">
        <f t="shared" si="203"/>
        <v>19.45590805</v>
      </c>
    </row>
    <row r="205">
      <c r="A205" s="3">
        <f>IFERROR(__xludf.DUMMYFUNCTION("""COMPUTED_VALUE"""),44124.0)</f>
        <v>44124</v>
      </c>
      <c r="B205" s="1">
        <f t="shared" ref="B205:U205" si="204">IF($A205&gt;0,Megyeinapi!B205/'megyelakosság'!B$2*100000," ")</f>
        <v>9.358448489</v>
      </c>
      <c r="C205" s="1">
        <f t="shared" si="204"/>
        <v>7.79707554</v>
      </c>
      <c r="D205" s="1">
        <f t="shared" si="204"/>
        <v>4.840534637</v>
      </c>
      <c r="E205" s="1">
        <f t="shared" si="204"/>
        <v>0.6278804013</v>
      </c>
      <c r="F205" s="1">
        <f t="shared" si="204"/>
        <v>15.25525992</v>
      </c>
      <c r="G205" s="1">
        <f t="shared" si="204"/>
        <v>12.80339014</v>
      </c>
      <c r="H205" s="1">
        <f t="shared" si="204"/>
        <v>2.866677974</v>
      </c>
      <c r="I205" s="1">
        <f t="shared" si="204"/>
        <v>8.242785977</v>
      </c>
      <c r="J205" s="1">
        <f t="shared" si="204"/>
        <v>0.3797033378</v>
      </c>
      <c r="K205" s="1">
        <f t="shared" si="204"/>
        <v>20.44843416</v>
      </c>
      <c r="L205" s="1">
        <f t="shared" si="204"/>
        <v>6.813752879</v>
      </c>
      <c r="M205" s="1">
        <f t="shared" si="204"/>
        <v>16.61157162</v>
      </c>
      <c r="N205" s="1">
        <f t="shared" si="204"/>
        <v>18.07626055</v>
      </c>
      <c r="O205" s="1">
        <f t="shared" si="204"/>
        <v>10.87038645</v>
      </c>
      <c r="P205" s="1">
        <f t="shared" si="204"/>
        <v>3.000500083</v>
      </c>
      <c r="Q205" s="1">
        <f t="shared" si="204"/>
        <v>2.003540803</v>
      </c>
      <c r="R205" s="1">
        <f t="shared" si="204"/>
        <v>5.568083744</v>
      </c>
      <c r="S205" s="1">
        <f t="shared" si="204"/>
        <v>25.9702444</v>
      </c>
      <c r="T205" s="1">
        <f t="shared" si="204"/>
        <v>18.75969129</v>
      </c>
      <c r="U205" s="1">
        <f t="shared" si="204"/>
        <v>19.08175597</v>
      </c>
    </row>
    <row r="206">
      <c r="A206" s="3">
        <f>IFERROR(__xludf.DUMMYFUNCTION("""COMPUTED_VALUE"""),44125.0)</f>
        <v>44125</v>
      </c>
      <c r="B206" s="1">
        <f t="shared" ref="B206:U206" si="205">IF($A206&gt;0,Megyeinapi!B206/'megyelakosság'!B$2*100000," ")</f>
        <v>3.982318506</v>
      </c>
      <c r="C206" s="1">
        <f t="shared" si="205"/>
        <v>6.404740622</v>
      </c>
      <c r="D206" s="1">
        <f t="shared" si="205"/>
        <v>6.655735126</v>
      </c>
      <c r="E206" s="1">
        <f t="shared" si="205"/>
        <v>35.16130248</v>
      </c>
      <c r="F206" s="1">
        <f t="shared" si="205"/>
        <v>16.22656861</v>
      </c>
      <c r="G206" s="1">
        <f t="shared" si="205"/>
        <v>3.514656116</v>
      </c>
      <c r="H206" s="1">
        <f t="shared" si="205"/>
        <v>7.405584766</v>
      </c>
      <c r="I206" s="1">
        <f t="shared" si="205"/>
        <v>28.11001372</v>
      </c>
      <c r="J206" s="1">
        <f t="shared" si="205"/>
        <v>18.79531522</v>
      </c>
      <c r="K206" s="1">
        <f t="shared" si="205"/>
        <v>13.2914822</v>
      </c>
      <c r="L206" s="1">
        <f t="shared" si="205"/>
        <v>4.633351958</v>
      </c>
      <c r="M206" s="1">
        <f t="shared" si="205"/>
        <v>13.95372016</v>
      </c>
      <c r="N206" s="1">
        <f t="shared" si="205"/>
        <v>16.48129639</v>
      </c>
      <c r="O206" s="1">
        <f t="shared" si="205"/>
        <v>11.02457632</v>
      </c>
      <c r="P206" s="1">
        <f t="shared" si="205"/>
        <v>2.667111185</v>
      </c>
      <c r="Q206" s="1">
        <f t="shared" si="205"/>
        <v>31.32809256</v>
      </c>
      <c r="R206" s="1">
        <f t="shared" si="205"/>
        <v>5.568083744</v>
      </c>
      <c r="S206" s="1">
        <f t="shared" si="205"/>
        <v>18.88745047</v>
      </c>
      <c r="T206" s="1">
        <f t="shared" si="205"/>
        <v>9.672965819</v>
      </c>
      <c r="U206" s="1">
        <f t="shared" si="205"/>
        <v>10.47625818</v>
      </c>
    </row>
    <row r="207">
      <c r="A207" s="3">
        <f>IFERROR(__xludf.DUMMYFUNCTION("""COMPUTED_VALUE"""),44126.0)</f>
        <v>44126</v>
      </c>
      <c r="B207" s="1">
        <f t="shared" ref="B207:U207" si="206">IF($A207&gt;0,Megyeinapi!B207/'megyelakosság'!B$2*100000," ")</f>
        <v>12.54430329</v>
      </c>
      <c r="C207" s="1">
        <f t="shared" si="206"/>
        <v>15.3156841</v>
      </c>
      <c r="D207" s="1">
        <f t="shared" si="206"/>
        <v>7.865868785</v>
      </c>
      <c r="E207" s="1">
        <f t="shared" si="206"/>
        <v>38.61464468</v>
      </c>
      <c r="F207" s="1">
        <f t="shared" si="206"/>
        <v>25.71111223</v>
      </c>
      <c r="G207" s="1">
        <f t="shared" si="206"/>
        <v>15.56490566</v>
      </c>
      <c r="H207" s="1">
        <f t="shared" si="206"/>
        <v>15.52783903</v>
      </c>
      <c r="I207" s="1">
        <f t="shared" si="206"/>
        <v>30.22354858</v>
      </c>
      <c r="J207" s="1">
        <f t="shared" si="206"/>
        <v>27.33864032</v>
      </c>
      <c r="K207" s="1">
        <f t="shared" si="206"/>
        <v>21.47085587</v>
      </c>
      <c r="L207" s="1">
        <f t="shared" si="206"/>
        <v>27.80011175</v>
      </c>
      <c r="M207" s="1">
        <f t="shared" si="206"/>
        <v>1.32892573</v>
      </c>
      <c r="N207" s="1">
        <f t="shared" si="206"/>
        <v>34.02590222</v>
      </c>
      <c r="O207" s="1">
        <f t="shared" si="206"/>
        <v>13.7228992</v>
      </c>
      <c r="P207" s="1">
        <f t="shared" si="206"/>
        <v>6.334389065</v>
      </c>
      <c r="Q207" s="1">
        <f t="shared" si="206"/>
        <v>31.87451278</v>
      </c>
      <c r="R207" s="1">
        <f t="shared" si="206"/>
        <v>8.352125616</v>
      </c>
      <c r="S207" s="1">
        <f t="shared" si="206"/>
        <v>14.16558785</v>
      </c>
      <c r="T207" s="1">
        <f t="shared" si="206"/>
        <v>25.20833517</v>
      </c>
      <c r="U207" s="1">
        <f t="shared" si="206"/>
        <v>12.34701857</v>
      </c>
    </row>
    <row r="208">
      <c r="A208" s="3">
        <f>IFERROR(__xludf.DUMMYFUNCTION("""COMPUTED_VALUE"""),44127.0)</f>
        <v>44127</v>
      </c>
      <c r="B208" s="1">
        <f t="shared" ref="B208:U208" si="207">IF($A208&gt;0,Megyeinapi!B208/'megyelakosság'!B$2*100000," ")</f>
        <v>17.12396958</v>
      </c>
      <c r="C208" s="1">
        <f t="shared" si="207"/>
        <v>12.25254728</v>
      </c>
      <c r="D208" s="1">
        <f t="shared" si="207"/>
        <v>12.40387001</v>
      </c>
      <c r="E208" s="1">
        <f t="shared" si="207"/>
        <v>9.889116321</v>
      </c>
      <c r="F208" s="1">
        <f t="shared" si="207"/>
        <v>24.2255813</v>
      </c>
      <c r="G208" s="1">
        <f t="shared" si="207"/>
        <v>32.38504564</v>
      </c>
      <c r="H208" s="1">
        <f t="shared" si="207"/>
        <v>8.12225426</v>
      </c>
      <c r="I208" s="1">
        <f t="shared" si="207"/>
        <v>20.07858123</v>
      </c>
      <c r="J208" s="1">
        <f t="shared" si="207"/>
        <v>37.59063044</v>
      </c>
      <c r="K208" s="1">
        <f t="shared" si="207"/>
        <v>11.58744602</v>
      </c>
      <c r="L208" s="1">
        <f t="shared" si="207"/>
        <v>30.25306278</v>
      </c>
      <c r="M208" s="1">
        <f t="shared" si="207"/>
        <v>11.62810013</v>
      </c>
      <c r="N208" s="1">
        <f t="shared" si="207"/>
        <v>44.12734194</v>
      </c>
      <c r="O208" s="1">
        <f t="shared" si="207"/>
        <v>20.19887411</v>
      </c>
      <c r="P208" s="1">
        <f t="shared" si="207"/>
        <v>8.334722454</v>
      </c>
      <c r="Q208" s="1">
        <f t="shared" si="207"/>
        <v>27.13887088</v>
      </c>
      <c r="R208" s="1">
        <f t="shared" si="207"/>
        <v>12.52818842</v>
      </c>
      <c r="S208" s="1">
        <f t="shared" si="207"/>
        <v>25.57675584</v>
      </c>
      <c r="T208" s="1">
        <f t="shared" si="207"/>
        <v>28.13953693</v>
      </c>
      <c r="U208" s="1">
        <f t="shared" si="207"/>
        <v>24.31988506</v>
      </c>
    </row>
    <row r="209">
      <c r="A209" s="3">
        <f>IFERROR(__xludf.DUMMYFUNCTION("""COMPUTED_VALUE"""),44128.0)</f>
        <v>44128</v>
      </c>
      <c r="B209" s="1">
        <f t="shared" ref="B209:U209" si="208">IF($A209&gt;0,Megyeinapi!B209/'megyelakosság'!B$2*100000," ")</f>
        <v>17.72131735</v>
      </c>
      <c r="C209" s="1">
        <f t="shared" si="208"/>
        <v>22.55582567</v>
      </c>
      <c r="D209" s="1">
        <f t="shared" si="208"/>
        <v>15.12667074</v>
      </c>
      <c r="E209" s="1">
        <f t="shared" si="208"/>
        <v>4.238192709</v>
      </c>
      <c r="F209" s="1">
        <f t="shared" si="208"/>
        <v>24.2827171</v>
      </c>
      <c r="G209" s="1">
        <f t="shared" si="208"/>
        <v>32.63609251</v>
      </c>
      <c r="H209" s="1">
        <f t="shared" si="208"/>
        <v>16.00561869</v>
      </c>
      <c r="I209" s="1">
        <f t="shared" si="208"/>
        <v>29.58948812</v>
      </c>
      <c r="J209" s="1">
        <f t="shared" si="208"/>
        <v>2.278220027</v>
      </c>
      <c r="K209" s="1">
        <f t="shared" si="208"/>
        <v>30.67265124</v>
      </c>
      <c r="L209" s="1">
        <f t="shared" si="208"/>
        <v>15.26280645</v>
      </c>
      <c r="M209" s="1">
        <f t="shared" si="208"/>
        <v>19.60165451</v>
      </c>
      <c r="N209" s="1">
        <f t="shared" si="208"/>
        <v>19.67122472</v>
      </c>
      <c r="O209" s="1">
        <f t="shared" si="208"/>
        <v>13.18323463</v>
      </c>
      <c r="P209" s="1">
        <f t="shared" si="208"/>
        <v>9.668278046</v>
      </c>
      <c r="Q209" s="1">
        <f t="shared" si="208"/>
        <v>0.728560292</v>
      </c>
      <c r="R209" s="1">
        <f t="shared" si="208"/>
        <v>8.816132595</v>
      </c>
      <c r="S209" s="1">
        <f t="shared" si="208"/>
        <v>37.77490094</v>
      </c>
      <c r="T209" s="1">
        <f t="shared" si="208"/>
        <v>31.36385887</v>
      </c>
      <c r="U209" s="1">
        <f t="shared" si="208"/>
        <v>49.0139222</v>
      </c>
    </row>
    <row r="210">
      <c r="A210" s="3">
        <f>IFERROR(__xludf.DUMMYFUNCTION("""COMPUTED_VALUE"""),44129.0)</f>
        <v>44129</v>
      </c>
      <c r="B210" s="1">
        <f t="shared" ref="B210:U210" si="209">IF($A210&gt;0,Megyeinapi!B210/'megyelakosság'!B$2*100000," ")</f>
        <v>21.30540401</v>
      </c>
      <c r="C210" s="1">
        <f t="shared" si="209"/>
        <v>32.30217009</v>
      </c>
      <c r="D210" s="1">
        <f t="shared" si="209"/>
        <v>10.89120293</v>
      </c>
      <c r="E210" s="1">
        <f t="shared" si="209"/>
        <v>56.03832582</v>
      </c>
      <c r="F210" s="1">
        <f t="shared" si="209"/>
        <v>27.76800121</v>
      </c>
      <c r="G210" s="1">
        <f t="shared" si="209"/>
        <v>50.46041995</v>
      </c>
      <c r="H210" s="1">
        <f t="shared" si="209"/>
        <v>26.99455092</v>
      </c>
      <c r="I210" s="1">
        <f t="shared" si="209"/>
        <v>32.97114391</v>
      </c>
      <c r="J210" s="1">
        <f t="shared" si="209"/>
        <v>21.26338692</v>
      </c>
      <c r="K210" s="1">
        <f t="shared" si="209"/>
        <v>38.51121767</v>
      </c>
      <c r="L210" s="1">
        <f t="shared" si="209"/>
        <v>43.33546831</v>
      </c>
      <c r="M210" s="1">
        <f t="shared" si="209"/>
        <v>19.93388594</v>
      </c>
      <c r="N210" s="1">
        <f t="shared" si="209"/>
        <v>55.2920911</v>
      </c>
      <c r="O210" s="1">
        <f t="shared" si="209"/>
        <v>27.13741865</v>
      </c>
      <c r="P210" s="1">
        <f t="shared" si="209"/>
        <v>17.00283381</v>
      </c>
      <c r="Q210" s="1">
        <f t="shared" si="209"/>
        <v>16.39260657</v>
      </c>
      <c r="R210" s="1">
        <f t="shared" si="209"/>
        <v>13.45620238</v>
      </c>
      <c r="S210" s="1">
        <f t="shared" si="209"/>
        <v>83.02608436</v>
      </c>
      <c r="T210" s="1">
        <f t="shared" si="209"/>
        <v>63.31395809</v>
      </c>
      <c r="U210" s="1">
        <f t="shared" si="209"/>
        <v>29.93216623</v>
      </c>
    </row>
    <row r="211">
      <c r="A211" s="3">
        <f>IFERROR(__xludf.DUMMYFUNCTION("""COMPUTED_VALUE"""),44130.0)</f>
        <v>44130</v>
      </c>
      <c r="B211" s="1">
        <f t="shared" ref="B211:U211" si="210">IF($A211&gt;0,Megyeinapi!B211/'megyelakosság'!B$2*100000," ")</f>
        <v>18.51778105</v>
      </c>
      <c r="C211" s="1">
        <f t="shared" si="210"/>
        <v>9.467877441</v>
      </c>
      <c r="D211" s="1">
        <f t="shared" si="210"/>
        <v>29.04320782</v>
      </c>
      <c r="E211" s="1">
        <f t="shared" si="210"/>
        <v>16.16792033</v>
      </c>
      <c r="F211" s="1">
        <f t="shared" si="210"/>
        <v>24.16844549</v>
      </c>
      <c r="G211" s="1">
        <f t="shared" si="210"/>
        <v>23.84945222</v>
      </c>
      <c r="H211" s="1">
        <f t="shared" si="210"/>
        <v>12.18338139</v>
      </c>
      <c r="I211" s="1">
        <f t="shared" si="210"/>
        <v>34.87332529</v>
      </c>
      <c r="J211" s="1">
        <f t="shared" si="210"/>
        <v>6.454956742</v>
      </c>
      <c r="K211" s="1">
        <f t="shared" si="210"/>
        <v>19.08520522</v>
      </c>
      <c r="L211" s="1">
        <f t="shared" si="210"/>
        <v>31.07071313</v>
      </c>
      <c r="M211" s="1">
        <f t="shared" si="210"/>
        <v>1.32892573</v>
      </c>
      <c r="N211" s="1">
        <f t="shared" si="210"/>
        <v>45.72230611</v>
      </c>
      <c r="O211" s="1">
        <f t="shared" si="210"/>
        <v>28.06255792</v>
      </c>
      <c r="P211" s="1">
        <f t="shared" si="210"/>
        <v>1.666944491</v>
      </c>
      <c r="Q211" s="1">
        <f t="shared" si="210"/>
        <v>43.1671973</v>
      </c>
      <c r="R211" s="1">
        <f t="shared" si="210"/>
        <v>8.352125616</v>
      </c>
      <c r="S211" s="1">
        <f t="shared" si="210"/>
        <v>40.13583225</v>
      </c>
      <c r="T211" s="1">
        <f t="shared" si="210"/>
        <v>30.77761852</v>
      </c>
      <c r="U211" s="1">
        <f t="shared" si="210"/>
        <v>49.0139222</v>
      </c>
    </row>
    <row r="212">
      <c r="A212" s="3">
        <f>IFERROR(__xludf.DUMMYFUNCTION("""COMPUTED_VALUE"""),44131.0)</f>
        <v>44131</v>
      </c>
      <c r="B212" s="1">
        <f t="shared" ref="B212:U212" si="211">IF($A212&gt;0,Megyeinapi!B212/'megyelakosság'!B$2*100000," ")</f>
        <v>7.964637012</v>
      </c>
      <c r="C212" s="1">
        <f t="shared" si="211"/>
        <v>6.961674589</v>
      </c>
      <c r="D212" s="1">
        <f t="shared" si="211"/>
        <v>13.91653708</v>
      </c>
      <c r="E212" s="1">
        <f t="shared" si="211"/>
        <v>43.79465799</v>
      </c>
      <c r="F212" s="1">
        <f t="shared" si="211"/>
        <v>22.85432198</v>
      </c>
      <c r="G212" s="1">
        <f t="shared" si="211"/>
        <v>10.54396835</v>
      </c>
      <c r="H212" s="1">
        <f t="shared" si="211"/>
        <v>13.61672038</v>
      </c>
      <c r="I212" s="1">
        <f t="shared" si="211"/>
        <v>16.90827893</v>
      </c>
      <c r="J212" s="1">
        <f t="shared" si="211"/>
        <v>32.08493204</v>
      </c>
      <c r="K212" s="1">
        <f t="shared" si="211"/>
        <v>14.31390391</v>
      </c>
      <c r="L212" s="1">
        <f t="shared" si="211"/>
        <v>8.9941538</v>
      </c>
      <c r="M212" s="1">
        <f t="shared" si="211"/>
        <v>29.56859749</v>
      </c>
      <c r="N212" s="1">
        <f t="shared" si="211"/>
        <v>61.14029305</v>
      </c>
      <c r="O212" s="1">
        <f t="shared" si="211"/>
        <v>19.81339941</v>
      </c>
      <c r="P212" s="1">
        <f t="shared" si="211"/>
        <v>3.66727788</v>
      </c>
      <c r="Q212" s="1">
        <f t="shared" si="211"/>
        <v>26.22817051</v>
      </c>
      <c r="R212" s="1">
        <f t="shared" si="211"/>
        <v>5.104076765</v>
      </c>
      <c r="S212" s="1">
        <f t="shared" si="211"/>
        <v>28.72466426</v>
      </c>
      <c r="T212" s="1">
        <f t="shared" si="211"/>
        <v>43.3817861</v>
      </c>
      <c r="U212" s="1">
        <f t="shared" si="211"/>
        <v>6.734737401</v>
      </c>
    </row>
    <row r="213">
      <c r="A213" s="3">
        <f>IFERROR(__xludf.DUMMYFUNCTION("""COMPUTED_VALUE"""),44132.0)</f>
        <v>44132</v>
      </c>
      <c r="B213" s="1">
        <f t="shared" ref="B213:U213" si="212">IF($A213&gt;0,Megyeinapi!B213/'megyelakosság'!B$2*100000," ")</f>
        <v>16.5266218</v>
      </c>
      <c r="C213" s="1">
        <f t="shared" si="212"/>
        <v>8.63247649</v>
      </c>
      <c r="D213" s="1">
        <f t="shared" si="212"/>
        <v>13.91653708</v>
      </c>
      <c r="E213" s="1">
        <f t="shared" si="212"/>
        <v>33.90554167</v>
      </c>
      <c r="F213" s="1">
        <f t="shared" si="212"/>
        <v>31.88177916</v>
      </c>
      <c r="G213" s="1">
        <f t="shared" si="212"/>
        <v>17.32223371</v>
      </c>
      <c r="H213" s="1">
        <f t="shared" si="212"/>
        <v>12.42227122</v>
      </c>
      <c r="I213" s="1">
        <f t="shared" si="212"/>
        <v>28.95542766</v>
      </c>
      <c r="J213" s="1">
        <f t="shared" si="212"/>
        <v>17.46635354</v>
      </c>
      <c r="K213" s="1">
        <f t="shared" si="212"/>
        <v>18.06278351</v>
      </c>
      <c r="L213" s="1">
        <f t="shared" si="212"/>
        <v>7.086302994</v>
      </c>
      <c r="M213" s="1">
        <f t="shared" si="212"/>
        <v>35.21653184</v>
      </c>
      <c r="N213" s="1">
        <f t="shared" si="212"/>
        <v>29.24100972</v>
      </c>
      <c r="O213" s="1">
        <f t="shared" si="212"/>
        <v>23.43686156</v>
      </c>
      <c r="P213" s="1">
        <f t="shared" si="212"/>
        <v>5.667611269</v>
      </c>
      <c r="Q213" s="1">
        <f t="shared" si="212"/>
        <v>31.51023263</v>
      </c>
      <c r="R213" s="1">
        <f t="shared" si="212"/>
        <v>5.568083744</v>
      </c>
      <c r="S213" s="1">
        <f t="shared" si="212"/>
        <v>62.56467968</v>
      </c>
      <c r="T213" s="1">
        <f t="shared" si="212"/>
        <v>16.70785005</v>
      </c>
      <c r="U213" s="1">
        <f t="shared" si="212"/>
        <v>16.8368435</v>
      </c>
    </row>
    <row r="214">
      <c r="A214" s="3">
        <f>IFERROR(__xludf.DUMMYFUNCTION("""COMPUTED_VALUE"""),44133.0)</f>
        <v>44133</v>
      </c>
      <c r="B214" s="1">
        <f t="shared" ref="B214:U214" si="213">IF($A214&gt;0,Megyeinapi!B214/'megyelakosság'!B$2*100000," ")</f>
        <v>18.71689698</v>
      </c>
      <c r="C214" s="1">
        <f t="shared" si="213"/>
        <v>36.47917485</v>
      </c>
      <c r="D214" s="1">
        <f t="shared" si="213"/>
        <v>16.3368044</v>
      </c>
      <c r="E214" s="1">
        <f t="shared" si="213"/>
        <v>16.32489043</v>
      </c>
      <c r="F214" s="1">
        <f t="shared" si="213"/>
        <v>30.56765565</v>
      </c>
      <c r="G214" s="1">
        <f t="shared" si="213"/>
        <v>22.34317102</v>
      </c>
      <c r="H214" s="1">
        <f t="shared" si="213"/>
        <v>19.58896616</v>
      </c>
      <c r="I214" s="1">
        <f t="shared" si="213"/>
        <v>13.73797663</v>
      </c>
      <c r="J214" s="1">
        <f t="shared" si="213"/>
        <v>23.35175527</v>
      </c>
      <c r="K214" s="1">
        <f t="shared" si="213"/>
        <v>28.62780783</v>
      </c>
      <c r="L214" s="1">
        <f t="shared" si="213"/>
        <v>14.71770622</v>
      </c>
      <c r="M214" s="1">
        <f t="shared" si="213"/>
        <v>8.638017243</v>
      </c>
      <c r="N214" s="1">
        <f t="shared" si="213"/>
        <v>21.79784361</v>
      </c>
      <c r="O214" s="1">
        <f t="shared" si="213"/>
        <v>25.13295022</v>
      </c>
      <c r="P214" s="1">
        <f t="shared" si="213"/>
        <v>18.0030005</v>
      </c>
      <c r="Q214" s="1">
        <f t="shared" si="213"/>
        <v>23.49606942</v>
      </c>
      <c r="R214" s="1">
        <f t="shared" si="213"/>
        <v>7.424111659</v>
      </c>
      <c r="S214" s="1">
        <f t="shared" si="213"/>
        <v>28.3311757</v>
      </c>
      <c r="T214" s="1">
        <f t="shared" si="213"/>
        <v>13.48352811</v>
      </c>
      <c r="U214" s="1">
        <f t="shared" si="213"/>
        <v>25.81649337</v>
      </c>
    </row>
    <row r="215">
      <c r="A215" s="3">
        <f>IFERROR(__xludf.DUMMYFUNCTION("""COMPUTED_VALUE"""),44134.0)</f>
        <v>44134</v>
      </c>
      <c r="B215" s="1">
        <f t="shared" ref="B215:U215" si="214">IF($A215&gt;0,Megyeinapi!B215/'megyelakosság'!B$2*100000," ")</f>
        <v>50.97367687</v>
      </c>
      <c r="C215" s="1">
        <f t="shared" si="214"/>
        <v>35.6437739</v>
      </c>
      <c r="D215" s="1">
        <f t="shared" si="214"/>
        <v>29.95080807</v>
      </c>
      <c r="E215" s="1">
        <f t="shared" si="214"/>
        <v>28.72552836</v>
      </c>
      <c r="F215" s="1">
        <f t="shared" si="214"/>
        <v>39.30943381</v>
      </c>
      <c r="G215" s="1">
        <f t="shared" si="214"/>
        <v>69.28893486</v>
      </c>
      <c r="H215" s="1">
        <f t="shared" si="214"/>
        <v>33.92235603</v>
      </c>
      <c r="I215" s="1">
        <f t="shared" si="214"/>
        <v>52.41566468</v>
      </c>
      <c r="J215" s="1">
        <f t="shared" si="214"/>
        <v>26.00967864</v>
      </c>
      <c r="K215" s="1">
        <f t="shared" si="214"/>
        <v>11.92825326</v>
      </c>
      <c r="L215" s="1">
        <f t="shared" si="214"/>
        <v>9.266703915</v>
      </c>
      <c r="M215" s="1">
        <f t="shared" si="214"/>
        <v>20.59834881</v>
      </c>
      <c r="N215" s="1">
        <f t="shared" si="214"/>
        <v>29.77266444</v>
      </c>
      <c r="O215" s="1">
        <f t="shared" si="214"/>
        <v>29.6044567</v>
      </c>
      <c r="P215" s="1">
        <f t="shared" si="214"/>
        <v>28.67144524</v>
      </c>
      <c r="Q215" s="1">
        <f t="shared" si="214"/>
        <v>20.58182825</v>
      </c>
      <c r="R215" s="1">
        <f t="shared" si="214"/>
        <v>23.66435591</v>
      </c>
      <c r="S215" s="1">
        <f t="shared" si="214"/>
        <v>24.39629019</v>
      </c>
      <c r="T215" s="1">
        <f t="shared" si="214"/>
        <v>46.60610804</v>
      </c>
      <c r="U215" s="1">
        <f t="shared" si="214"/>
        <v>32.55123077</v>
      </c>
    </row>
    <row r="216">
      <c r="A216" s="3">
        <f>IFERROR(__xludf.DUMMYFUNCTION("""COMPUTED_VALUE"""),44135.0)</f>
        <v>44135</v>
      </c>
      <c r="B216" s="1">
        <f t="shared" ref="B216:U216" si="215">IF($A216&gt;0,Megyeinapi!B216/'megyelakosság'!B$2*100000," ")</f>
        <v>39.02672136</v>
      </c>
      <c r="C216" s="1">
        <f t="shared" si="215"/>
        <v>27.84669836</v>
      </c>
      <c r="D216" s="1">
        <f t="shared" si="215"/>
        <v>45.98507905</v>
      </c>
      <c r="E216" s="1">
        <f t="shared" si="215"/>
        <v>50.07346201</v>
      </c>
      <c r="F216" s="1">
        <f t="shared" si="215"/>
        <v>38.22385351</v>
      </c>
      <c r="G216" s="1">
        <f t="shared" si="215"/>
        <v>46.4436701</v>
      </c>
      <c r="H216" s="1">
        <f t="shared" si="215"/>
        <v>27.71122042</v>
      </c>
      <c r="I216" s="1">
        <f t="shared" si="215"/>
        <v>91.93876667</v>
      </c>
      <c r="J216" s="1">
        <f t="shared" si="215"/>
        <v>75.94066756</v>
      </c>
      <c r="K216" s="1">
        <f t="shared" si="215"/>
        <v>24.87892823</v>
      </c>
      <c r="L216" s="1">
        <f t="shared" si="215"/>
        <v>4.088251727</v>
      </c>
      <c r="M216" s="1">
        <f t="shared" si="215"/>
        <v>21.59504311</v>
      </c>
      <c r="N216" s="1">
        <f t="shared" si="215"/>
        <v>47.84892499</v>
      </c>
      <c r="O216" s="1">
        <f t="shared" si="215"/>
        <v>22.43462735</v>
      </c>
      <c r="P216" s="1">
        <f t="shared" si="215"/>
        <v>23.00383397</v>
      </c>
      <c r="Q216" s="1">
        <f t="shared" si="215"/>
        <v>40.79937635</v>
      </c>
      <c r="R216" s="1">
        <f t="shared" si="215"/>
        <v>25.98439081</v>
      </c>
      <c r="S216" s="1">
        <f t="shared" si="215"/>
        <v>70.82793926</v>
      </c>
      <c r="T216" s="1">
        <f t="shared" si="215"/>
        <v>34.58818081</v>
      </c>
      <c r="U216" s="1">
        <f t="shared" si="215"/>
        <v>57.99357207</v>
      </c>
    </row>
    <row r="217">
      <c r="A217" s="3">
        <f>IFERROR(__xludf.DUMMYFUNCTION("""COMPUTED_VALUE"""),44136.0)</f>
        <v>44136</v>
      </c>
      <c r="B217" s="1">
        <f t="shared" ref="B217:U217" si="216">IF($A217&gt;0,Megyeinapi!B217/'megyelakosság'!B$2*100000," ")</f>
        <v>29.86738879</v>
      </c>
      <c r="C217" s="1">
        <f t="shared" si="216"/>
        <v>38.70691072</v>
      </c>
      <c r="D217" s="1">
        <f t="shared" si="216"/>
        <v>-4.840534637</v>
      </c>
      <c r="E217" s="1">
        <f t="shared" si="216"/>
        <v>219.7581405</v>
      </c>
      <c r="F217" s="1">
        <f t="shared" si="216"/>
        <v>28.7964457</v>
      </c>
      <c r="G217" s="1">
        <f t="shared" si="216"/>
        <v>43.93320145</v>
      </c>
      <c r="H217" s="1">
        <f t="shared" si="216"/>
        <v>24.60565261</v>
      </c>
      <c r="I217" s="1">
        <f t="shared" si="216"/>
        <v>-12.46985571</v>
      </c>
      <c r="J217" s="1">
        <f t="shared" si="216"/>
        <v>36.6413721</v>
      </c>
      <c r="K217" s="1">
        <f t="shared" si="216"/>
        <v>23.17489205</v>
      </c>
      <c r="L217" s="1">
        <f t="shared" si="216"/>
        <v>106.0219948</v>
      </c>
      <c r="M217" s="1">
        <f t="shared" si="216"/>
        <v>7.641322946</v>
      </c>
      <c r="N217" s="1">
        <f t="shared" si="216"/>
        <v>32.43093805</v>
      </c>
      <c r="O217" s="1">
        <f t="shared" si="216"/>
        <v>22.43462735</v>
      </c>
      <c r="P217" s="1">
        <f t="shared" si="216"/>
        <v>22.67044507</v>
      </c>
      <c r="Q217" s="1">
        <f t="shared" si="216"/>
        <v>17.12116686</v>
      </c>
      <c r="R217" s="1">
        <f t="shared" si="216"/>
        <v>20.41630706</v>
      </c>
      <c r="S217" s="1">
        <f t="shared" si="216"/>
        <v>-38.16838949</v>
      </c>
      <c r="T217" s="1">
        <f t="shared" si="216"/>
        <v>39.27810363</v>
      </c>
      <c r="U217" s="1">
        <f t="shared" si="216"/>
        <v>-3.367368701</v>
      </c>
    </row>
    <row r="218">
      <c r="A218" s="3">
        <f>IFERROR(__xludf.DUMMYFUNCTION("""COMPUTED_VALUE"""),44137.0)</f>
        <v>44137</v>
      </c>
      <c r="B218" s="1">
        <f t="shared" ref="B218:U218" si="217">IF($A218&gt;0,Megyeinapi!B218/'megyelakosság'!B$2*100000," ")</f>
        <v>31.65943212</v>
      </c>
      <c r="C218" s="1">
        <f t="shared" si="217"/>
        <v>40.09924563</v>
      </c>
      <c r="D218" s="1">
        <f t="shared" si="217"/>
        <v>30.85840831</v>
      </c>
      <c r="E218" s="1">
        <f t="shared" si="217"/>
        <v>219.7581405</v>
      </c>
      <c r="F218" s="1">
        <f t="shared" si="217"/>
        <v>41.5377302</v>
      </c>
      <c r="G218" s="1">
        <f t="shared" si="217"/>
        <v>52.97088861</v>
      </c>
      <c r="H218" s="1">
        <f t="shared" si="217"/>
        <v>50.40575438</v>
      </c>
      <c r="I218" s="1">
        <f t="shared" si="217"/>
        <v>107.5789247</v>
      </c>
      <c r="J218" s="1">
        <f t="shared" si="217"/>
        <v>51.2599506</v>
      </c>
      <c r="K218" s="1">
        <f t="shared" si="217"/>
        <v>55.55157947</v>
      </c>
      <c r="L218" s="1">
        <f t="shared" si="217"/>
        <v>56.14532372</v>
      </c>
      <c r="M218" s="1">
        <f t="shared" si="217"/>
        <v>37.54215186</v>
      </c>
      <c r="N218" s="1">
        <f t="shared" si="217"/>
        <v>74.4316611</v>
      </c>
      <c r="O218" s="1">
        <f t="shared" si="217"/>
        <v>46.33405854</v>
      </c>
      <c r="P218" s="1">
        <f t="shared" si="217"/>
        <v>44.67411235</v>
      </c>
      <c r="Q218" s="1">
        <f t="shared" si="217"/>
        <v>80.14163212</v>
      </c>
      <c r="R218" s="1">
        <f t="shared" si="217"/>
        <v>34.33651642</v>
      </c>
      <c r="S218" s="1">
        <f t="shared" si="217"/>
        <v>71.61491636</v>
      </c>
      <c r="T218" s="1">
        <f t="shared" si="217"/>
        <v>45.43362733</v>
      </c>
      <c r="U218" s="1">
        <f t="shared" si="217"/>
        <v>81.19100089</v>
      </c>
    </row>
    <row r="219">
      <c r="A219" s="3">
        <f>IFERROR(__xludf.DUMMYFUNCTION("""COMPUTED_VALUE"""),44138.0)</f>
        <v>44138</v>
      </c>
      <c r="B219" s="1">
        <f t="shared" ref="B219:U219" si="218">IF($A219&gt;0,Megyeinapi!B219/'megyelakosság'!B$2*100000," ")</f>
        <v>47.58870614</v>
      </c>
      <c r="C219" s="1">
        <f t="shared" si="218"/>
        <v>17.54341996</v>
      </c>
      <c r="D219" s="1">
        <f t="shared" si="218"/>
        <v>55.96868174</v>
      </c>
      <c r="E219" s="1">
        <f t="shared" si="218"/>
        <v>47.0910301</v>
      </c>
      <c r="F219" s="1">
        <f t="shared" si="218"/>
        <v>46.1085946</v>
      </c>
      <c r="G219" s="1">
        <f t="shared" si="218"/>
        <v>23.34735848</v>
      </c>
      <c r="H219" s="1">
        <f t="shared" si="218"/>
        <v>37.26681366</v>
      </c>
      <c r="I219" s="1">
        <f t="shared" si="218"/>
        <v>65.51958084</v>
      </c>
      <c r="J219" s="1">
        <f t="shared" si="218"/>
        <v>25.6299753</v>
      </c>
      <c r="K219" s="1">
        <f t="shared" si="218"/>
        <v>10.22421708</v>
      </c>
      <c r="L219" s="1">
        <f t="shared" si="218"/>
        <v>83.12778512</v>
      </c>
      <c r="M219" s="1">
        <f t="shared" si="218"/>
        <v>32.89091181</v>
      </c>
      <c r="N219" s="1">
        <f t="shared" si="218"/>
        <v>54.22878166</v>
      </c>
      <c r="O219" s="1">
        <f t="shared" si="218"/>
        <v>44.71506481</v>
      </c>
      <c r="P219" s="1">
        <f t="shared" si="218"/>
        <v>5.000833472</v>
      </c>
      <c r="Q219" s="1">
        <f t="shared" si="218"/>
        <v>26.9567308</v>
      </c>
      <c r="R219" s="1">
        <f t="shared" si="218"/>
        <v>26.91240476</v>
      </c>
      <c r="S219" s="1">
        <f t="shared" si="218"/>
        <v>72.79538202</v>
      </c>
      <c r="T219" s="1">
        <f t="shared" si="218"/>
        <v>31.36385887</v>
      </c>
      <c r="U219" s="1">
        <f t="shared" si="218"/>
        <v>26.93894961</v>
      </c>
    </row>
    <row r="220">
      <c r="A220" s="3">
        <f>IFERROR(__xludf.DUMMYFUNCTION("""COMPUTED_VALUE"""),44139.0)</f>
        <v>44139</v>
      </c>
      <c r="B220" s="1">
        <f t="shared" ref="B220:U220" si="219">IF($A220&gt;0,Megyeinapi!B220/'megyelakosság'!B$2*100000," ")</f>
        <v>76.26139939</v>
      </c>
      <c r="C220" s="1">
        <f t="shared" si="219"/>
        <v>30.63136819</v>
      </c>
      <c r="D220" s="1">
        <f t="shared" si="219"/>
        <v>18.4545383</v>
      </c>
      <c r="E220" s="1">
        <f t="shared" si="219"/>
        <v>32.96372107</v>
      </c>
      <c r="F220" s="1">
        <f t="shared" si="219"/>
        <v>58.73560749</v>
      </c>
      <c r="G220" s="1">
        <f t="shared" si="219"/>
        <v>46.19262324</v>
      </c>
      <c r="H220" s="1">
        <f t="shared" si="219"/>
        <v>30.81678822</v>
      </c>
      <c r="I220" s="1">
        <f t="shared" si="219"/>
        <v>43.11611126</v>
      </c>
      <c r="J220" s="1">
        <f t="shared" si="219"/>
        <v>37.97033378</v>
      </c>
      <c r="K220" s="1">
        <f t="shared" si="219"/>
        <v>10.90583155</v>
      </c>
      <c r="L220" s="1">
        <f t="shared" si="219"/>
        <v>21.80400921</v>
      </c>
      <c r="M220" s="1">
        <f t="shared" si="219"/>
        <v>13.62148873</v>
      </c>
      <c r="N220" s="1">
        <f t="shared" si="219"/>
        <v>45.72230611</v>
      </c>
      <c r="O220" s="1">
        <f t="shared" si="219"/>
        <v>51.65360935</v>
      </c>
      <c r="P220" s="1">
        <f t="shared" si="219"/>
        <v>24.33738956</v>
      </c>
      <c r="Q220" s="1">
        <f t="shared" si="219"/>
        <v>60.83478438</v>
      </c>
      <c r="R220" s="1">
        <f t="shared" si="219"/>
        <v>9.280139573</v>
      </c>
      <c r="S220" s="1">
        <f t="shared" si="219"/>
        <v>42.89025211</v>
      </c>
      <c r="T220" s="1">
        <f t="shared" si="219"/>
        <v>30.77761852</v>
      </c>
      <c r="U220" s="1">
        <f t="shared" si="219"/>
        <v>59.86433246</v>
      </c>
    </row>
    <row r="221">
      <c r="A221" s="3">
        <f>IFERROR(__xludf.DUMMYFUNCTION("""COMPUTED_VALUE"""),44140.0)</f>
        <v>44140</v>
      </c>
      <c r="B221" s="1">
        <f t="shared" ref="B221:U221" si="220">IF($A221&gt;0,Megyeinapi!B221/'megyelakosság'!B$2*100000," ")</f>
        <v>37.63290988</v>
      </c>
      <c r="C221" s="1">
        <f t="shared" si="220"/>
        <v>16.986486</v>
      </c>
      <c r="D221" s="1">
        <f t="shared" si="220"/>
        <v>21.78240587</v>
      </c>
      <c r="E221" s="1">
        <f t="shared" si="220"/>
        <v>17.89459144</v>
      </c>
      <c r="F221" s="1">
        <f t="shared" si="220"/>
        <v>54.62182953</v>
      </c>
      <c r="G221" s="1">
        <f t="shared" si="220"/>
        <v>46.69471697</v>
      </c>
      <c r="H221" s="1">
        <f t="shared" si="220"/>
        <v>28.18900008</v>
      </c>
      <c r="I221" s="1">
        <f t="shared" si="220"/>
        <v>51.57025073</v>
      </c>
      <c r="J221" s="1">
        <f t="shared" si="220"/>
        <v>27.71834366</v>
      </c>
      <c r="K221" s="1">
        <f t="shared" si="220"/>
        <v>40.55606109</v>
      </c>
      <c r="L221" s="1">
        <f t="shared" si="220"/>
        <v>20.44125864</v>
      </c>
      <c r="M221" s="1">
        <f t="shared" si="220"/>
        <v>32.22644894</v>
      </c>
      <c r="N221" s="1">
        <f t="shared" si="220"/>
        <v>76.02662527</v>
      </c>
      <c r="O221" s="1">
        <f t="shared" si="220"/>
        <v>48.64690672</v>
      </c>
      <c r="P221" s="1">
        <f t="shared" si="220"/>
        <v>28.00466744</v>
      </c>
      <c r="Q221" s="1">
        <f t="shared" si="220"/>
        <v>52.27420095</v>
      </c>
      <c r="R221" s="1">
        <f t="shared" si="220"/>
        <v>22.73634195</v>
      </c>
      <c r="S221" s="1">
        <f t="shared" si="220"/>
        <v>35.02048108</v>
      </c>
      <c r="T221" s="1">
        <f t="shared" si="220"/>
        <v>53.34787209</v>
      </c>
      <c r="U221" s="1">
        <f t="shared" si="220"/>
        <v>32.1770787</v>
      </c>
    </row>
    <row r="222">
      <c r="A222" s="3">
        <f>IFERROR(__xludf.DUMMYFUNCTION("""COMPUTED_VALUE"""),44141.0)</f>
        <v>44141</v>
      </c>
      <c r="B222" s="1">
        <f t="shared" ref="B222:U222" si="221">IF($A222&gt;0,Megyeinapi!B222/'megyelakosság'!B$2*100000," ")</f>
        <v>43.00903986</v>
      </c>
      <c r="C222" s="1">
        <f t="shared" si="221"/>
        <v>29.79596724</v>
      </c>
      <c r="D222" s="1">
        <f t="shared" si="221"/>
        <v>36.00147636</v>
      </c>
      <c r="E222" s="1">
        <f t="shared" si="221"/>
        <v>31.86493037</v>
      </c>
      <c r="F222" s="1">
        <f t="shared" si="221"/>
        <v>76.67625025</v>
      </c>
      <c r="G222" s="1">
        <f t="shared" si="221"/>
        <v>48.95413876</v>
      </c>
      <c r="H222" s="1">
        <f t="shared" si="221"/>
        <v>18.394517</v>
      </c>
      <c r="I222" s="1">
        <f t="shared" si="221"/>
        <v>66.99905525</v>
      </c>
      <c r="J222" s="1">
        <f t="shared" si="221"/>
        <v>48.03247223</v>
      </c>
      <c r="K222" s="1">
        <f t="shared" si="221"/>
        <v>36.12556702</v>
      </c>
      <c r="L222" s="1">
        <f t="shared" si="221"/>
        <v>14.99025633</v>
      </c>
      <c r="M222" s="1">
        <f t="shared" si="221"/>
        <v>45.51570624</v>
      </c>
      <c r="N222" s="1">
        <f t="shared" si="221"/>
        <v>42.00072305</v>
      </c>
      <c r="O222" s="1">
        <f t="shared" si="221"/>
        <v>61.67595147</v>
      </c>
      <c r="P222" s="1">
        <f t="shared" si="221"/>
        <v>12.00200033</v>
      </c>
      <c r="Q222" s="1">
        <f t="shared" si="221"/>
        <v>35.69945431</v>
      </c>
      <c r="R222" s="1">
        <f t="shared" si="221"/>
        <v>41.76062808</v>
      </c>
      <c r="S222" s="1">
        <f t="shared" si="221"/>
        <v>9.443725235</v>
      </c>
      <c r="T222" s="1">
        <f t="shared" si="221"/>
        <v>82.9530099</v>
      </c>
      <c r="U222" s="1">
        <f t="shared" si="221"/>
        <v>27.68725376</v>
      </c>
    </row>
    <row r="223">
      <c r="A223" s="3">
        <f>IFERROR(__xludf.DUMMYFUNCTION("""COMPUTED_VALUE"""),44142.0)</f>
        <v>44142</v>
      </c>
      <c r="B223" s="1">
        <f t="shared" ref="B223:U223" si="222">IF($A223&gt;0,Megyeinapi!B223/'megyelakosság'!B$2*100000," ")</f>
        <v>30.86296842</v>
      </c>
      <c r="C223" s="1">
        <f t="shared" si="222"/>
        <v>67.38901002</v>
      </c>
      <c r="D223" s="1">
        <f t="shared" si="222"/>
        <v>26.92547392</v>
      </c>
      <c r="E223" s="1">
        <f t="shared" si="222"/>
        <v>36.73100348</v>
      </c>
      <c r="F223" s="1">
        <f t="shared" si="222"/>
        <v>62.96365706</v>
      </c>
      <c r="G223" s="1">
        <f t="shared" si="222"/>
        <v>19.07956177</v>
      </c>
      <c r="H223" s="1">
        <f t="shared" si="222"/>
        <v>39.89460181</v>
      </c>
      <c r="I223" s="1">
        <f t="shared" si="222"/>
        <v>128.0802129</v>
      </c>
      <c r="J223" s="1">
        <f t="shared" si="222"/>
        <v>34.93270708</v>
      </c>
      <c r="K223" s="1">
        <f t="shared" si="222"/>
        <v>51.80269987</v>
      </c>
      <c r="L223" s="1">
        <f t="shared" si="222"/>
        <v>92.12193892</v>
      </c>
      <c r="M223" s="1">
        <f t="shared" si="222"/>
        <v>42.19339192</v>
      </c>
      <c r="N223" s="1">
        <f t="shared" si="222"/>
        <v>32.43093805</v>
      </c>
      <c r="O223" s="1">
        <f t="shared" si="222"/>
        <v>58.28377414</v>
      </c>
      <c r="P223" s="1">
        <f t="shared" si="222"/>
        <v>88.01466911</v>
      </c>
      <c r="Q223" s="1">
        <f t="shared" si="222"/>
        <v>36.79229475</v>
      </c>
      <c r="R223" s="1">
        <f t="shared" si="222"/>
        <v>7.424111659</v>
      </c>
      <c r="S223" s="1">
        <f t="shared" si="222"/>
        <v>85.78050422</v>
      </c>
      <c r="T223" s="1">
        <f t="shared" si="222"/>
        <v>38.3987431</v>
      </c>
      <c r="U223" s="1">
        <f t="shared" si="222"/>
        <v>74.08211142</v>
      </c>
    </row>
    <row r="224">
      <c r="A224" s="3">
        <f>IFERROR(__xludf.DUMMYFUNCTION("""COMPUTED_VALUE"""),44143.0)</f>
        <v>44143</v>
      </c>
      <c r="B224" s="1">
        <f t="shared" ref="B224:U224" si="223">IF($A224&gt;0,Megyeinapi!B224/'megyelakosság'!B$2*100000," ")</f>
        <v>50.17721317</v>
      </c>
      <c r="C224" s="1">
        <f t="shared" si="223"/>
        <v>33.69450501</v>
      </c>
      <c r="D224" s="1">
        <f t="shared" si="223"/>
        <v>60.50668296</v>
      </c>
      <c r="E224" s="1">
        <f t="shared" si="223"/>
        <v>23.07460475</v>
      </c>
      <c r="F224" s="1">
        <f t="shared" si="223"/>
        <v>56.85012593</v>
      </c>
      <c r="G224" s="1">
        <f t="shared" si="223"/>
        <v>38.41017041</v>
      </c>
      <c r="H224" s="1">
        <f t="shared" si="223"/>
        <v>30.33900856</v>
      </c>
      <c r="I224" s="1">
        <f t="shared" si="223"/>
        <v>105.8880968</v>
      </c>
      <c r="J224" s="1">
        <f t="shared" si="223"/>
        <v>59.04386903</v>
      </c>
      <c r="K224" s="1">
        <f t="shared" si="223"/>
        <v>41.91929003</v>
      </c>
      <c r="L224" s="1">
        <f t="shared" si="223"/>
        <v>20.71380875</v>
      </c>
      <c r="M224" s="1">
        <f t="shared" si="223"/>
        <v>52.49256632</v>
      </c>
      <c r="N224" s="1">
        <f t="shared" si="223"/>
        <v>75.49497055</v>
      </c>
      <c r="O224" s="1">
        <f t="shared" si="223"/>
        <v>45.64020409</v>
      </c>
      <c r="P224" s="1">
        <f t="shared" si="223"/>
        <v>38.00633439</v>
      </c>
      <c r="Q224" s="1">
        <f t="shared" si="223"/>
        <v>11.83910475</v>
      </c>
      <c r="R224" s="1">
        <f t="shared" si="223"/>
        <v>103.4735562</v>
      </c>
      <c r="S224" s="1">
        <f t="shared" si="223"/>
        <v>20.46140468</v>
      </c>
      <c r="T224" s="1">
        <f t="shared" si="223"/>
        <v>66.83140021</v>
      </c>
      <c r="U224" s="1">
        <f t="shared" si="223"/>
        <v>47.14316181</v>
      </c>
    </row>
    <row r="225">
      <c r="A225" s="3">
        <f>IFERROR(__xludf.DUMMYFUNCTION("""COMPUTED_VALUE"""),44144.0)</f>
        <v>44144</v>
      </c>
      <c r="B225" s="1">
        <f t="shared" ref="B225:U225" si="224">IF($A225&gt;0,Megyeinapi!B225/'megyelakosság'!B$2*100000," ")</f>
        <v>35.04440285</v>
      </c>
      <c r="C225" s="1">
        <f t="shared" si="224"/>
        <v>47.06092022</v>
      </c>
      <c r="D225" s="1">
        <f t="shared" si="224"/>
        <v>41.44707783</v>
      </c>
      <c r="E225" s="1">
        <f t="shared" si="224"/>
        <v>54.31165472</v>
      </c>
      <c r="F225" s="1">
        <f t="shared" si="224"/>
        <v>58.8498791</v>
      </c>
      <c r="G225" s="1">
        <f t="shared" si="224"/>
        <v>30.37667072</v>
      </c>
      <c r="H225" s="1">
        <f t="shared" si="224"/>
        <v>82.89477142</v>
      </c>
      <c r="I225" s="1">
        <f t="shared" si="224"/>
        <v>130.8278082</v>
      </c>
      <c r="J225" s="1">
        <f t="shared" si="224"/>
        <v>46.51365888</v>
      </c>
      <c r="K225" s="1">
        <f t="shared" si="224"/>
        <v>32.03588019</v>
      </c>
      <c r="L225" s="1">
        <f t="shared" si="224"/>
        <v>53.9649228</v>
      </c>
      <c r="M225" s="1">
        <f t="shared" si="224"/>
        <v>39.53554046</v>
      </c>
      <c r="N225" s="1">
        <f t="shared" si="224"/>
        <v>18.60791528</v>
      </c>
      <c r="O225" s="1">
        <f t="shared" si="224"/>
        <v>50.42009032</v>
      </c>
      <c r="P225" s="1">
        <f t="shared" si="224"/>
        <v>36.6727788</v>
      </c>
      <c r="Q225" s="1">
        <f t="shared" si="224"/>
        <v>52.45634102</v>
      </c>
      <c r="R225" s="1">
        <f t="shared" si="224"/>
        <v>14.84822332</v>
      </c>
      <c r="S225" s="1">
        <f t="shared" si="224"/>
        <v>21.64187033</v>
      </c>
      <c r="T225" s="1">
        <f t="shared" si="224"/>
        <v>67.41764056</v>
      </c>
      <c r="U225" s="1">
        <f t="shared" si="224"/>
        <v>46.39485765</v>
      </c>
    </row>
    <row r="226">
      <c r="A226" s="3">
        <f>IFERROR(__xludf.DUMMYFUNCTION("""COMPUTED_VALUE"""),44145.0)</f>
        <v>44145</v>
      </c>
      <c r="B226" s="1">
        <f t="shared" ref="B226:U226" si="225">IF($A226&gt;0,Megyeinapi!B226/'megyelakosság'!B$2*100000," ")</f>
        <v>24.69037474</v>
      </c>
      <c r="C226" s="1">
        <f t="shared" si="225"/>
        <v>27.56823137</v>
      </c>
      <c r="D226" s="1">
        <f t="shared" si="225"/>
        <v>43.86734515</v>
      </c>
      <c r="E226" s="1">
        <f t="shared" si="225"/>
        <v>26.05703666</v>
      </c>
      <c r="F226" s="1">
        <f t="shared" si="225"/>
        <v>36.33837195</v>
      </c>
      <c r="G226" s="1">
        <f t="shared" si="225"/>
        <v>46.4436701</v>
      </c>
      <c r="H226" s="1">
        <f t="shared" si="225"/>
        <v>12.42227122</v>
      </c>
      <c r="I226" s="1">
        <f t="shared" si="225"/>
        <v>88.76846437</v>
      </c>
      <c r="J226" s="1">
        <f t="shared" si="225"/>
        <v>54.2975773</v>
      </c>
      <c r="K226" s="1">
        <f t="shared" si="225"/>
        <v>57.59642289</v>
      </c>
      <c r="L226" s="1">
        <f t="shared" si="225"/>
        <v>84.76308581</v>
      </c>
      <c r="M226" s="1">
        <f t="shared" si="225"/>
        <v>38.87107759</v>
      </c>
      <c r="N226" s="1">
        <f t="shared" si="225"/>
        <v>46.25396083</v>
      </c>
      <c r="O226" s="1">
        <f t="shared" si="225"/>
        <v>46.2569636</v>
      </c>
      <c r="P226" s="1">
        <f t="shared" si="225"/>
        <v>11.33522254</v>
      </c>
      <c r="Q226" s="1">
        <f t="shared" si="225"/>
        <v>40.25295613</v>
      </c>
      <c r="R226" s="1">
        <f t="shared" si="225"/>
        <v>45.93669089</v>
      </c>
      <c r="S226" s="1">
        <f t="shared" si="225"/>
        <v>62.17119113</v>
      </c>
      <c r="T226" s="1">
        <f t="shared" si="225"/>
        <v>55.10659315</v>
      </c>
      <c r="U226" s="1">
        <f t="shared" si="225"/>
        <v>16.08853935</v>
      </c>
    </row>
    <row r="227">
      <c r="A227" s="3">
        <f>IFERROR(__xludf.DUMMYFUNCTION("""COMPUTED_VALUE"""),44146.0)</f>
        <v>44146</v>
      </c>
      <c r="B227" s="1">
        <f t="shared" ref="B227:U227" si="226">IF($A227&gt;0,Megyeinapi!B227/'megyelakosság'!B$2*100000," ")</f>
        <v>14.1372307</v>
      </c>
      <c r="C227" s="1">
        <f t="shared" si="226"/>
        <v>29.79596724</v>
      </c>
      <c r="D227" s="1">
        <f t="shared" si="226"/>
        <v>7.865868785</v>
      </c>
      <c r="E227" s="1">
        <f t="shared" si="226"/>
        <v>20.87702334</v>
      </c>
      <c r="F227" s="1">
        <f t="shared" si="226"/>
        <v>56.39303949</v>
      </c>
      <c r="G227" s="1">
        <f t="shared" si="226"/>
        <v>16.56909312</v>
      </c>
      <c r="H227" s="1">
        <f t="shared" si="226"/>
        <v>22.45564413</v>
      </c>
      <c r="I227" s="1">
        <f t="shared" si="226"/>
        <v>99.54749219</v>
      </c>
      <c r="J227" s="1">
        <f t="shared" si="226"/>
        <v>66.63793578</v>
      </c>
      <c r="K227" s="1">
        <f t="shared" si="226"/>
        <v>19.76681969</v>
      </c>
      <c r="L227" s="1">
        <f t="shared" si="226"/>
        <v>4.905902073</v>
      </c>
      <c r="M227" s="1">
        <f t="shared" si="226"/>
        <v>36.877689</v>
      </c>
      <c r="N227" s="1">
        <f t="shared" si="226"/>
        <v>81.34317249</v>
      </c>
      <c r="O227" s="1">
        <f t="shared" si="226"/>
        <v>50.5742802</v>
      </c>
      <c r="P227" s="1">
        <f t="shared" si="226"/>
        <v>32.33872312</v>
      </c>
      <c r="Q227" s="1">
        <f t="shared" si="226"/>
        <v>29.32455175</v>
      </c>
      <c r="R227" s="1">
        <f t="shared" si="226"/>
        <v>11.13616749</v>
      </c>
      <c r="S227" s="1">
        <f t="shared" si="226"/>
        <v>48.39909183</v>
      </c>
      <c r="T227" s="1">
        <f t="shared" si="226"/>
        <v>38.3987431</v>
      </c>
      <c r="U227" s="1">
        <f t="shared" si="226"/>
        <v>40.03427233</v>
      </c>
    </row>
    <row r="228">
      <c r="A228" s="3">
        <f>IFERROR(__xludf.DUMMYFUNCTION("""COMPUTED_VALUE"""),44147.0)</f>
        <v>44147</v>
      </c>
      <c r="B228" s="1">
        <f t="shared" ref="B228:U228" si="227">IF($A228&gt;0,Megyeinapi!B228/'megyelakosság'!B$2*100000," ")</f>
        <v>65.50913942</v>
      </c>
      <c r="C228" s="1">
        <f t="shared" si="227"/>
        <v>17.82188695</v>
      </c>
      <c r="D228" s="1">
        <f t="shared" si="227"/>
        <v>26.01787367</v>
      </c>
      <c r="E228" s="1">
        <f t="shared" si="227"/>
        <v>10.83093692</v>
      </c>
      <c r="F228" s="1">
        <f t="shared" si="227"/>
        <v>43.76602659</v>
      </c>
      <c r="G228" s="1">
        <f t="shared" si="227"/>
        <v>54.22612293</v>
      </c>
      <c r="H228" s="1">
        <f t="shared" si="227"/>
        <v>30.81678822</v>
      </c>
      <c r="I228" s="1">
        <f t="shared" si="227"/>
        <v>65.73093433</v>
      </c>
      <c r="J228" s="1">
        <f t="shared" si="227"/>
        <v>4.746291722</v>
      </c>
      <c r="K228" s="1">
        <f t="shared" si="227"/>
        <v>62.36772419</v>
      </c>
      <c r="L228" s="1">
        <f t="shared" si="227"/>
        <v>43.88056854</v>
      </c>
      <c r="M228" s="1">
        <f t="shared" si="227"/>
        <v>52.82479775</v>
      </c>
      <c r="N228" s="1">
        <f t="shared" si="227"/>
        <v>60.0769836</v>
      </c>
      <c r="O228" s="1">
        <f t="shared" si="227"/>
        <v>43.63573566</v>
      </c>
      <c r="P228" s="1">
        <f t="shared" si="227"/>
        <v>35.3392232</v>
      </c>
      <c r="Q228" s="1">
        <f t="shared" si="227"/>
        <v>1.639260657</v>
      </c>
      <c r="R228" s="1">
        <f t="shared" si="227"/>
        <v>42.22463506</v>
      </c>
      <c r="S228" s="1">
        <f t="shared" si="227"/>
        <v>72.79538202</v>
      </c>
      <c r="T228" s="1">
        <f t="shared" si="227"/>
        <v>50.12355015</v>
      </c>
      <c r="U228" s="1">
        <f t="shared" si="227"/>
        <v>70.34059064</v>
      </c>
    </row>
    <row r="229">
      <c r="A229" s="3">
        <f>IFERROR(__xludf.DUMMYFUNCTION("""COMPUTED_VALUE"""),44148.0)</f>
        <v>44148</v>
      </c>
      <c r="B229" s="1">
        <f t="shared" ref="B229:U229" si="228">IF($A229&gt;0,Megyeinapi!B229/'megyelakosság'!B$2*100000," ")</f>
        <v>52.56660428</v>
      </c>
      <c r="C229" s="1">
        <f t="shared" si="228"/>
        <v>34.25143898</v>
      </c>
      <c r="D229" s="1">
        <f t="shared" si="228"/>
        <v>74.42322004</v>
      </c>
      <c r="E229" s="1">
        <f t="shared" si="228"/>
        <v>2.354551505</v>
      </c>
      <c r="F229" s="1">
        <f t="shared" si="228"/>
        <v>68.0487437</v>
      </c>
      <c r="G229" s="1">
        <f t="shared" si="228"/>
        <v>50.71146682</v>
      </c>
      <c r="H229" s="1">
        <f t="shared" si="228"/>
        <v>27.95011025</v>
      </c>
      <c r="I229" s="1">
        <f t="shared" si="228"/>
        <v>115.3990037</v>
      </c>
      <c r="J229" s="1">
        <f t="shared" si="228"/>
        <v>0.1898516689</v>
      </c>
      <c r="K229" s="1">
        <f t="shared" si="228"/>
        <v>84.86100177</v>
      </c>
      <c r="L229" s="1">
        <f t="shared" si="228"/>
        <v>66.77477821</v>
      </c>
      <c r="M229" s="1">
        <f t="shared" si="228"/>
        <v>59.13719497</v>
      </c>
      <c r="N229" s="1">
        <f t="shared" si="228"/>
        <v>85.59641027</v>
      </c>
      <c r="O229" s="1">
        <f t="shared" si="228"/>
        <v>57.8212045</v>
      </c>
      <c r="P229" s="1">
        <f t="shared" si="228"/>
        <v>56.67611269</v>
      </c>
      <c r="Q229" s="1">
        <f t="shared" si="228"/>
        <v>-0.182140073</v>
      </c>
      <c r="R229" s="1">
        <f t="shared" si="228"/>
        <v>39.44059319</v>
      </c>
      <c r="S229" s="1">
        <f t="shared" si="228"/>
        <v>94.8307409</v>
      </c>
      <c r="T229" s="1">
        <f t="shared" si="228"/>
        <v>72.98692391</v>
      </c>
      <c r="U229" s="1">
        <f t="shared" si="228"/>
        <v>24.31988506</v>
      </c>
    </row>
    <row r="230">
      <c r="A230" s="3">
        <f>IFERROR(__xludf.DUMMYFUNCTION("""COMPUTED_VALUE"""),44149.0)</f>
        <v>44149</v>
      </c>
      <c r="B230" s="1">
        <f t="shared" ref="B230:U230" si="229">IF($A230&gt;0,Megyeinapi!B230/'megyelakosság'!B$2*100000," ")</f>
        <v>66.30560312</v>
      </c>
      <c r="C230" s="1">
        <f t="shared" si="229"/>
        <v>29.51750026</v>
      </c>
      <c r="D230" s="1">
        <f t="shared" si="229"/>
        <v>41.74961124</v>
      </c>
      <c r="E230" s="1">
        <f t="shared" si="229"/>
        <v>4.86607311</v>
      </c>
      <c r="F230" s="1">
        <f t="shared" si="229"/>
        <v>54.50755792</v>
      </c>
      <c r="G230" s="1">
        <f t="shared" si="229"/>
        <v>56.23449786</v>
      </c>
      <c r="H230" s="1">
        <f t="shared" si="229"/>
        <v>53.03354252</v>
      </c>
      <c r="I230" s="1">
        <f t="shared" si="229"/>
        <v>92.78418061</v>
      </c>
      <c r="J230" s="1">
        <f t="shared" si="229"/>
        <v>3.797033378</v>
      </c>
      <c r="K230" s="1">
        <f t="shared" si="229"/>
        <v>73.95517022</v>
      </c>
      <c r="L230" s="1">
        <f t="shared" si="229"/>
        <v>72.49833063</v>
      </c>
      <c r="M230" s="1">
        <f t="shared" si="229"/>
        <v>41.19669762</v>
      </c>
      <c r="N230" s="1">
        <f t="shared" si="229"/>
        <v>145.1417391</v>
      </c>
      <c r="O230" s="1">
        <f t="shared" si="229"/>
        <v>43.94411542</v>
      </c>
      <c r="P230" s="1">
        <f t="shared" si="229"/>
        <v>41.00683447</v>
      </c>
      <c r="Q230" s="1">
        <f t="shared" si="229"/>
        <v>4.189221679</v>
      </c>
      <c r="R230" s="1">
        <f t="shared" si="229"/>
        <v>116.0017447</v>
      </c>
      <c r="S230" s="1">
        <f t="shared" si="229"/>
        <v>112.9312143</v>
      </c>
      <c r="T230" s="1">
        <f t="shared" si="229"/>
        <v>52.46851157</v>
      </c>
      <c r="U230" s="1">
        <f t="shared" si="229"/>
        <v>21.32666844</v>
      </c>
    </row>
    <row r="231">
      <c r="A231" s="3">
        <f>IFERROR(__xludf.DUMMYFUNCTION("""COMPUTED_VALUE"""),44150.0)</f>
        <v>44150</v>
      </c>
      <c r="B231" s="1">
        <f t="shared" ref="B231:U231" si="230">IF($A231&gt;0,Megyeinapi!B231/'megyelakosság'!B$2*100000," ")</f>
        <v>29.66827287</v>
      </c>
      <c r="C231" s="1">
        <f t="shared" si="230"/>
        <v>31.46676914</v>
      </c>
      <c r="D231" s="1">
        <f t="shared" si="230"/>
        <v>19.05960513</v>
      </c>
      <c r="E231" s="1">
        <f t="shared" si="230"/>
        <v>16.79580074</v>
      </c>
      <c r="F231" s="1">
        <f t="shared" si="230"/>
        <v>64.44918799</v>
      </c>
      <c r="G231" s="1">
        <f t="shared" si="230"/>
        <v>17.32223371</v>
      </c>
      <c r="H231" s="1">
        <f t="shared" si="230"/>
        <v>29.1445594</v>
      </c>
      <c r="I231" s="1">
        <f t="shared" si="230"/>
        <v>64.04010644</v>
      </c>
      <c r="J231" s="1">
        <f t="shared" si="230"/>
        <v>5.695550067</v>
      </c>
      <c r="K231" s="1">
        <f t="shared" si="230"/>
        <v>63.3901459</v>
      </c>
      <c r="L231" s="1">
        <f t="shared" si="230"/>
        <v>26.43736117</v>
      </c>
      <c r="M231" s="1">
        <f t="shared" si="230"/>
        <v>70.43306367</v>
      </c>
      <c r="N231" s="1">
        <f t="shared" si="230"/>
        <v>87.72302916</v>
      </c>
      <c r="O231" s="1">
        <f t="shared" si="230"/>
        <v>49.49495105</v>
      </c>
      <c r="P231" s="1">
        <f t="shared" si="230"/>
        <v>39.33988998</v>
      </c>
      <c r="Q231" s="1">
        <f t="shared" si="230"/>
        <v>2.732101095</v>
      </c>
      <c r="R231" s="1">
        <f t="shared" si="230"/>
        <v>22.27233498</v>
      </c>
      <c r="S231" s="1">
        <f t="shared" si="230"/>
        <v>94.8307409</v>
      </c>
      <c r="T231" s="1">
        <f t="shared" si="230"/>
        <v>90.28101431</v>
      </c>
      <c r="U231" s="1">
        <f t="shared" si="230"/>
        <v>44.89824934</v>
      </c>
    </row>
    <row r="232">
      <c r="A232" s="3">
        <f>IFERROR(__xludf.DUMMYFUNCTION("""COMPUTED_VALUE"""),44151.0)</f>
        <v>44151</v>
      </c>
      <c r="B232" s="1">
        <f t="shared" ref="B232:U232" si="231">IF($A232&gt;0,Megyeinapi!B232/'megyelakosság'!B$2*100000," ")</f>
        <v>33.8497073</v>
      </c>
      <c r="C232" s="1">
        <f t="shared" si="231"/>
        <v>32.30217009</v>
      </c>
      <c r="D232" s="1">
        <f t="shared" si="231"/>
        <v>85.01188956</v>
      </c>
      <c r="E232" s="1">
        <f t="shared" si="231"/>
        <v>134.9942863</v>
      </c>
      <c r="F232" s="1">
        <f t="shared" si="231"/>
        <v>43.59461918</v>
      </c>
      <c r="G232" s="1">
        <f t="shared" si="231"/>
        <v>69.28893486</v>
      </c>
      <c r="H232" s="1">
        <f t="shared" si="231"/>
        <v>7.405584766</v>
      </c>
      <c r="I232" s="1">
        <f t="shared" si="231"/>
        <v>21.34670215</v>
      </c>
      <c r="J232" s="1">
        <f t="shared" si="231"/>
        <v>164.9811003</v>
      </c>
      <c r="K232" s="1">
        <f t="shared" si="231"/>
        <v>63.73095314</v>
      </c>
      <c r="L232" s="1">
        <f t="shared" si="231"/>
        <v>29.16286232</v>
      </c>
      <c r="M232" s="1">
        <f t="shared" si="231"/>
        <v>63.78843502</v>
      </c>
      <c r="N232" s="1">
        <f t="shared" si="231"/>
        <v>28.17770027</v>
      </c>
      <c r="O232" s="1">
        <f t="shared" si="231"/>
        <v>47.18210287</v>
      </c>
      <c r="P232" s="1">
        <f t="shared" si="231"/>
        <v>15.66927821</v>
      </c>
      <c r="Q232" s="1">
        <f t="shared" si="231"/>
        <v>272.2994091</v>
      </c>
      <c r="R232" s="1">
        <f t="shared" si="231"/>
        <v>23.20034893</v>
      </c>
      <c r="S232" s="1">
        <f t="shared" si="231"/>
        <v>12.9851222</v>
      </c>
      <c r="T232" s="1">
        <f t="shared" si="231"/>
        <v>63.02083791</v>
      </c>
      <c r="U232" s="1">
        <f t="shared" si="231"/>
        <v>4.489824934</v>
      </c>
    </row>
    <row r="233">
      <c r="A233" s="3">
        <f>IFERROR(__xludf.DUMMYFUNCTION("""COMPUTED_VALUE"""),44152.0)</f>
        <v>44152</v>
      </c>
      <c r="B233" s="1">
        <f t="shared" ref="B233:U233" si="232">IF($A233&gt;0,Megyeinapi!B233/'megyelakosság'!B$2*100000," ")</f>
        <v>40.02230098</v>
      </c>
      <c r="C233" s="1">
        <f t="shared" si="232"/>
        <v>15.59415108</v>
      </c>
      <c r="D233" s="1">
        <f t="shared" si="232"/>
        <v>35.69894295</v>
      </c>
      <c r="E233" s="1">
        <f t="shared" si="232"/>
        <v>86.17658508</v>
      </c>
      <c r="F233" s="1">
        <f t="shared" si="232"/>
        <v>56.5644469</v>
      </c>
      <c r="G233" s="1">
        <f t="shared" si="232"/>
        <v>55.48135726</v>
      </c>
      <c r="H233" s="1">
        <f t="shared" si="232"/>
        <v>35.35569501</v>
      </c>
      <c r="I233" s="1">
        <f t="shared" si="232"/>
        <v>54.10649257</v>
      </c>
      <c r="J233" s="1">
        <f t="shared" si="232"/>
        <v>66.82778745</v>
      </c>
      <c r="K233" s="1">
        <f t="shared" si="232"/>
        <v>52.48431435</v>
      </c>
      <c r="L233" s="1">
        <f t="shared" si="232"/>
        <v>40.60996716</v>
      </c>
      <c r="M233" s="1">
        <f t="shared" si="232"/>
        <v>72.7586837</v>
      </c>
      <c r="N233" s="1">
        <f t="shared" si="232"/>
        <v>37.74748527</v>
      </c>
      <c r="O233" s="1">
        <f t="shared" si="232"/>
        <v>44.25249518</v>
      </c>
      <c r="P233" s="1">
        <f t="shared" si="232"/>
        <v>36.6727788</v>
      </c>
      <c r="Q233" s="1">
        <f t="shared" si="232"/>
        <v>50.63494029</v>
      </c>
      <c r="R233" s="1">
        <f t="shared" si="232"/>
        <v>15.77623727</v>
      </c>
      <c r="S233" s="1">
        <f t="shared" si="232"/>
        <v>83.41957291</v>
      </c>
      <c r="T233" s="1">
        <f t="shared" si="232"/>
        <v>83.83237043</v>
      </c>
      <c r="U233" s="1">
        <f t="shared" si="232"/>
        <v>94.28632362</v>
      </c>
    </row>
    <row r="234">
      <c r="A234" s="3">
        <f>IFERROR(__xludf.DUMMYFUNCTION("""COMPUTED_VALUE"""),44153.0)</f>
        <v>44153</v>
      </c>
      <c r="B234" s="1">
        <f t="shared" ref="B234:U234" si="233">IF($A234&gt;0,Megyeinapi!B234/'megyelakosság'!B$2*100000," ")</f>
        <v>54.75687946</v>
      </c>
      <c r="C234" s="1">
        <f t="shared" si="233"/>
        <v>23.94816059</v>
      </c>
      <c r="D234" s="1">
        <f t="shared" si="233"/>
        <v>22.3874727</v>
      </c>
      <c r="E234" s="1">
        <f t="shared" si="233"/>
        <v>40.81222609</v>
      </c>
      <c r="F234" s="1">
        <f t="shared" si="233"/>
        <v>61.99234837</v>
      </c>
      <c r="G234" s="1">
        <f t="shared" si="233"/>
        <v>45.43948264</v>
      </c>
      <c r="H234" s="1">
        <f t="shared" si="233"/>
        <v>66.6502629</v>
      </c>
      <c r="I234" s="1">
        <f t="shared" si="233"/>
        <v>28.95542766</v>
      </c>
      <c r="J234" s="1">
        <f t="shared" si="233"/>
        <v>72.33348585</v>
      </c>
      <c r="K234" s="1">
        <f t="shared" si="233"/>
        <v>33.05830189</v>
      </c>
      <c r="L234" s="1">
        <f t="shared" si="233"/>
        <v>10.35690438</v>
      </c>
      <c r="M234" s="1">
        <f t="shared" si="233"/>
        <v>34.55206897</v>
      </c>
      <c r="N234" s="1">
        <f t="shared" si="233"/>
        <v>23.9244625</v>
      </c>
      <c r="O234" s="1">
        <f t="shared" si="233"/>
        <v>43.48154578</v>
      </c>
      <c r="P234" s="1">
        <f t="shared" si="233"/>
        <v>10.00166694</v>
      </c>
      <c r="Q234" s="1">
        <f t="shared" si="233"/>
        <v>48.08497927</v>
      </c>
      <c r="R234" s="1">
        <f t="shared" si="233"/>
        <v>15.3122303</v>
      </c>
      <c r="S234" s="1">
        <f t="shared" si="233"/>
        <v>31.08559556</v>
      </c>
      <c r="T234" s="1">
        <f t="shared" si="233"/>
        <v>31.95009922</v>
      </c>
      <c r="U234" s="1">
        <f t="shared" si="233"/>
        <v>63.23170116</v>
      </c>
    </row>
    <row r="235">
      <c r="A235" s="3">
        <f>IFERROR(__xludf.DUMMYFUNCTION("""COMPUTED_VALUE"""),44154.0)</f>
        <v>44154</v>
      </c>
      <c r="B235" s="1">
        <f t="shared" ref="B235:U235" si="234">IF($A235&gt;0,Megyeinapi!B235/'megyelakosság'!B$2*100000," ")</f>
        <v>38.82760543</v>
      </c>
      <c r="C235" s="1">
        <f t="shared" si="234"/>
        <v>30.35290121</v>
      </c>
      <c r="D235" s="1">
        <f t="shared" si="234"/>
        <v>40.53947759</v>
      </c>
      <c r="E235" s="1">
        <f t="shared" si="234"/>
        <v>23.07460475</v>
      </c>
      <c r="F235" s="1">
        <f t="shared" si="234"/>
        <v>52.96489119</v>
      </c>
      <c r="G235" s="1">
        <f t="shared" si="234"/>
        <v>47.44785757</v>
      </c>
      <c r="H235" s="1">
        <f t="shared" si="234"/>
        <v>56.61688999</v>
      </c>
      <c r="I235" s="1">
        <f t="shared" si="234"/>
        <v>23.6715905</v>
      </c>
      <c r="J235" s="1">
        <f t="shared" si="234"/>
        <v>86.00280601</v>
      </c>
      <c r="K235" s="1">
        <f t="shared" si="234"/>
        <v>64.41256761</v>
      </c>
      <c r="L235" s="1">
        <f t="shared" si="234"/>
        <v>39.79231681</v>
      </c>
      <c r="M235" s="1">
        <f t="shared" si="234"/>
        <v>64.45289789</v>
      </c>
      <c r="N235" s="1">
        <f t="shared" si="234"/>
        <v>27.64604555</v>
      </c>
      <c r="O235" s="1">
        <f t="shared" si="234"/>
        <v>50.5742802</v>
      </c>
      <c r="P235" s="1">
        <f t="shared" si="234"/>
        <v>24.67077846</v>
      </c>
      <c r="Q235" s="1">
        <f t="shared" si="234"/>
        <v>20.39968818</v>
      </c>
      <c r="R235" s="1">
        <f t="shared" si="234"/>
        <v>22.27233498</v>
      </c>
      <c r="S235" s="1">
        <f t="shared" si="234"/>
        <v>58.23630561</v>
      </c>
      <c r="T235" s="1">
        <f t="shared" si="234"/>
        <v>63.90019844</v>
      </c>
      <c r="U235" s="1">
        <f t="shared" si="234"/>
        <v>64.35415739</v>
      </c>
    </row>
    <row r="236">
      <c r="A236" s="3">
        <f>IFERROR(__xludf.DUMMYFUNCTION("""COMPUTED_VALUE"""),44155.0)</f>
        <v>44155</v>
      </c>
      <c r="B236" s="1">
        <f t="shared" ref="B236:U236" si="235">IF($A236&gt;0,Megyeinapi!B236/'megyelakosság'!B$2*100000," ")</f>
        <v>50.97367687</v>
      </c>
      <c r="C236" s="1">
        <f t="shared" si="235"/>
        <v>42.60544849</v>
      </c>
      <c r="D236" s="1">
        <f t="shared" si="235"/>
        <v>61.41428321</v>
      </c>
      <c r="E236" s="1">
        <f t="shared" si="235"/>
        <v>39.24252508</v>
      </c>
      <c r="F236" s="1">
        <f t="shared" si="235"/>
        <v>47.42271811</v>
      </c>
      <c r="G236" s="1">
        <f t="shared" si="235"/>
        <v>57.48973218</v>
      </c>
      <c r="H236" s="1">
        <f t="shared" si="235"/>
        <v>50.40575438</v>
      </c>
      <c r="I236" s="1">
        <f t="shared" si="235"/>
        <v>38.46633456</v>
      </c>
      <c r="J236" s="1">
        <f t="shared" si="235"/>
        <v>51.2599506</v>
      </c>
      <c r="K236" s="1">
        <f t="shared" si="235"/>
        <v>20.10762693</v>
      </c>
      <c r="L236" s="1">
        <f t="shared" si="235"/>
        <v>20.98635887</v>
      </c>
      <c r="M236" s="1">
        <f t="shared" si="235"/>
        <v>64.12066646</v>
      </c>
      <c r="N236" s="1">
        <f t="shared" si="235"/>
        <v>55.2920911</v>
      </c>
      <c r="O236" s="1">
        <f t="shared" si="235"/>
        <v>51.96198911</v>
      </c>
      <c r="P236" s="1">
        <f t="shared" si="235"/>
        <v>25.33755626</v>
      </c>
      <c r="Q236" s="1">
        <f t="shared" si="235"/>
        <v>20.03540803</v>
      </c>
      <c r="R236" s="1">
        <f t="shared" si="235"/>
        <v>41.76062808</v>
      </c>
      <c r="S236" s="1">
        <f t="shared" si="235"/>
        <v>42.49676356</v>
      </c>
      <c r="T236" s="1">
        <f t="shared" si="235"/>
        <v>56.57219403</v>
      </c>
      <c r="U236" s="1">
        <f t="shared" si="235"/>
        <v>64.35415739</v>
      </c>
    </row>
    <row r="237">
      <c r="A237" s="3">
        <f>IFERROR(__xludf.DUMMYFUNCTION("""COMPUTED_VALUE"""),44156.0)</f>
        <v>44156</v>
      </c>
      <c r="B237" s="1">
        <f t="shared" ref="B237:U237" si="236">IF($A237&gt;0,Megyeinapi!B237/'megyelakosság'!B$2*100000," ")</f>
        <v>43.40727171</v>
      </c>
      <c r="C237" s="1">
        <f t="shared" si="236"/>
        <v>35.36530691</v>
      </c>
      <c r="D237" s="1">
        <f t="shared" si="236"/>
        <v>50.82561369</v>
      </c>
      <c r="E237" s="1">
        <f t="shared" si="236"/>
        <v>39.39949518</v>
      </c>
      <c r="F237" s="1">
        <f t="shared" si="236"/>
        <v>44.56592786</v>
      </c>
      <c r="G237" s="1">
        <f t="shared" si="236"/>
        <v>34.39342056</v>
      </c>
      <c r="H237" s="1">
        <f t="shared" si="236"/>
        <v>56.37800016</v>
      </c>
      <c r="I237" s="1">
        <f t="shared" si="236"/>
        <v>63.82875295</v>
      </c>
      <c r="J237" s="1">
        <f t="shared" si="236"/>
        <v>41.19781215</v>
      </c>
      <c r="K237" s="1">
        <f t="shared" si="236"/>
        <v>34.76233807</v>
      </c>
      <c r="L237" s="1">
        <f t="shared" si="236"/>
        <v>26.9824614</v>
      </c>
      <c r="M237" s="1">
        <f t="shared" si="236"/>
        <v>39.86777189</v>
      </c>
      <c r="N237" s="1">
        <f t="shared" si="236"/>
        <v>30.83597389</v>
      </c>
      <c r="O237" s="1">
        <f t="shared" si="236"/>
        <v>45.94858384</v>
      </c>
      <c r="P237" s="1">
        <f t="shared" si="236"/>
        <v>33.33888981</v>
      </c>
      <c r="Q237" s="1">
        <f t="shared" si="236"/>
        <v>43.71361752</v>
      </c>
      <c r="R237" s="1">
        <f t="shared" si="236"/>
        <v>30.62446059</v>
      </c>
      <c r="S237" s="1">
        <f t="shared" si="236"/>
        <v>98.76562641</v>
      </c>
      <c r="T237" s="1">
        <f t="shared" si="236"/>
        <v>52.17539139</v>
      </c>
      <c r="U237" s="1">
        <f t="shared" si="236"/>
        <v>56.49696376</v>
      </c>
    </row>
    <row r="238">
      <c r="A238" s="3">
        <f>IFERROR(__xludf.DUMMYFUNCTION("""COMPUTED_VALUE"""),44157.0)</f>
        <v>44157</v>
      </c>
      <c r="B238" s="1">
        <f t="shared" ref="B238:U238" si="237">IF($A238&gt;0,Megyeinapi!B238/'megyelakosság'!B$2*100000," ")</f>
        <v>28.47357732</v>
      </c>
      <c r="C238" s="1">
        <f t="shared" si="237"/>
        <v>33.41603803</v>
      </c>
      <c r="D238" s="1">
        <f t="shared" si="237"/>
        <v>37.51414344</v>
      </c>
      <c r="E238" s="1">
        <f t="shared" si="237"/>
        <v>57.29408662</v>
      </c>
      <c r="F238" s="1">
        <f t="shared" si="237"/>
        <v>50.10810094</v>
      </c>
      <c r="G238" s="1">
        <f t="shared" si="237"/>
        <v>55.48135726</v>
      </c>
      <c r="H238" s="1">
        <f t="shared" si="237"/>
        <v>24.84454244</v>
      </c>
      <c r="I238" s="1">
        <f t="shared" si="237"/>
        <v>61.29251111</v>
      </c>
      <c r="J238" s="1">
        <f t="shared" si="237"/>
        <v>25.81982697</v>
      </c>
      <c r="K238" s="1">
        <f t="shared" si="237"/>
        <v>42.94171174</v>
      </c>
      <c r="L238" s="1">
        <f t="shared" si="237"/>
        <v>48.78647061</v>
      </c>
      <c r="M238" s="1">
        <f t="shared" si="237"/>
        <v>48.50578913</v>
      </c>
      <c r="N238" s="1">
        <f t="shared" si="237"/>
        <v>34.02590222</v>
      </c>
      <c r="O238" s="1">
        <f t="shared" si="237"/>
        <v>44.56087494</v>
      </c>
      <c r="P238" s="1">
        <f t="shared" si="237"/>
        <v>46.00766794</v>
      </c>
      <c r="Q238" s="1">
        <f t="shared" si="237"/>
        <v>22.22108891</v>
      </c>
      <c r="R238" s="1">
        <f t="shared" si="237"/>
        <v>24.12836289</v>
      </c>
      <c r="S238" s="1">
        <f t="shared" si="237"/>
        <v>102.7005119</v>
      </c>
      <c r="T238" s="1">
        <f t="shared" si="237"/>
        <v>46.60610804</v>
      </c>
      <c r="U238" s="1">
        <f t="shared" si="237"/>
        <v>43.02748895</v>
      </c>
    </row>
    <row r="239">
      <c r="A239" s="3">
        <f>IFERROR(__xludf.DUMMYFUNCTION("""COMPUTED_VALUE"""),44158.0)</f>
        <v>44158</v>
      </c>
      <c r="B239" s="1">
        <f t="shared" ref="B239:U239" si="238">IF($A239&gt;0,Megyeinapi!B239/'megyelakosság'!B$2*100000," ")</f>
        <v>42.80992394</v>
      </c>
      <c r="C239" s="1">
        <f t="shared" si="238"/>
        <v>40.09924563</v>
      </c>
      <c r="D239" s="1">
        <f t="shared" si="238"/>
        <v>36.60654319</v>
      </c>
      <c r="E239" s="1">
        <f t="shared" si="238"/>
        <v>53.05589391</v>
      </c>
      <c r="F239" s="1">
        <f t="shared" si="238"/>
        <v>35.13852005</v>
      </c>
      <c r="G239" s="1">
        <f t="shared" si="238"/>
        <v>20.08374923</v>
      </c>
      <c r="H239" s="1">
        <f t="shared" si="238"/>
        <v>23.65009329</v>
      </c>
      <c r="I239" s="1">
        <f t="shared" si="238"/>
        <v>34.02791134</v>
      </c>
      <c r="J239" s="1">
        <f t="shared" si="238"/>
        <v>11.0113968</v>
      </c>
      <c r="K239" s="1">
        <f t="shared" si="238"/>
        <v>24.19731376</v>
      </c>
      <c r="L239" s="1">
        <f t="shared" si="238"/>
        <v>30.79816301</v>
      </c>
      <c r="M239" s="1">
        <f t="shared" si="238"/>
        <v>26.57851459</v>
      </c>
      <c r="N239" s="1">
        <f t="shared" si="238"/>
        <v>30.30431916</v>
      </c>
      <c r="O239" s="1">
        <f t="shared" si="238"/>
        <v>37.2368557</v>
      </c>
      <c r="P239" s="1">
        <f t="shared" si="238"/>
        <v>17.00283381</v>
      </c>
      <c r="Q239" s="1">
        <f t="shared" si="238"/>
        <v>30.05311205</v>
      </c>
      <c r="R239" s="1">
        <f t="shared" si="238"/>
        <v>55.21683046</v>
      </c>
      <c r="S239" s="1">
        <f t="shared" si="238"/>
        <v>78.30422174</v>
      </c>
      <c r="T239" s="1">
        <f t="shared" si="238"/>
        <v>39.86434398</v>
      </c>
      <c r="U239" s="1">
        <f t="shared" si="238"/>
        <v>25.81649337</v>
      </c>
    </row>
    <row r="240">
      <c r="A240" s="3">
        <f>IFERROR(__xludf.DUMMYFUNCTION("""COMPUTED_VALUE"""),44159.0)</f>
        <v>44159</v>
      </c>
      <c r="B240" s="1">
        <f t="shared" ref="B240:U240" si="239">IF($A240&gt;0,Megyeinapi!B240/'megyelakosság'!B$2*100000," ")</f>
        <v>52.16837243</v>
      </c>
      <c r="C240" s="1">
        <f t="shared" si="239"/>
        <v>24.78356154</v>
      </c>
      <c r="D240" s="1">
        <f t="shared" si="239"/>
        <v>39.93441076</v>
      </c>
      <c r="E240" s="1">
        <f t="shared" si="239"/>
        <v>57.60802682</v>
      </c>
      <c r="F240" s="1">
        <f t="shared" si="239"/>
        <v>27.99654443</v>
      </c>
      <c r="G240" s="1">
        <f t="shared" si="239"/>
        <v>42.17587339</v>
      </c>
      <c r="H240" s="1">
        <f t="shared" si="239"/>
        <v>17.20006784</v>
      </c>
      <c r="I240" s="1">
        <f t="shared" si="239"/>
        <v>69.95800406</v>
      </c>
      <c r="J240" s="1">
        <f t="shared" si="239"/>
        <v>66.63793578</v>
      </c>
      <c r="K240" s="1">
        <f t="shared" si="239"/>
        <v>23.17489205</v>
      </c>
      <c r="L240" s="1">
        <f t="shared" si="239"/>
        <v>44.15311865</v>
      </c>
      <c r="M240" s="1">
        <f t="shared" si="239"/>
        <v>61.13058356</v>
      </c>
      <c r="N240" s="1">
        <f t="shared" si="239"/>
        <v>13.82302278</v>
      </c>
      <c r="O240" s="1">
        <f t="shared" si="239"/>
        <v>38.62456461</v>
      </c>
      <c r="P240" s="1">
        <f t="shared" si="239"/>
        <v>28.33805634</v>
      </c>
      <c r="Q240" s="1">
        <f t="shared" si="239"/>
        <v>40.07081606</v>
      </c>
      <c r="R240" s="1">
        <f t="shared" si="239"/>
        <v>45.00867693</v>
      </c>
      <c r="S240" s="1">
        <f t="shared" si="239"/>
        <v>32.26606122</v>
      </c>
      <c r="T240" s="1">
        <f t="shared" si="239"/>
        <v>37.51938257</v>
      </c>
      <c r="U240" s="1">
        <f t="shared" si="239"/>
        <v>27.68725376</v>
      </c>
    </row>
    <row r="241">
      <c r="A241" s="3">
        <f>IFERROR(__xludf.DUMMYFUNCTION("""COMPUTED_VALUE"""),44160.0)</f>
        <v>44160</v>
      </c>
      <c r="B241" s="1">
        <f t="shared" ref="B241:U241" si="240">IF($A241&gt;0,Megyeinapi!B241/'megyelakosság'!B$2*100000," ")</f>
        <v>49.18163355</v>
      </c>
      <c r="C241" s="1">
        <f t="shared" si="240"/>
        <v>44.83318435</v>
      </c>
      <c r="D241" s="1">
        <f t="shared" si="240"/>
        <v>88.94482396</v>
      </c>
      <c r="E241" s="1">
        <f t="shared" si="240"/>
        <v>46.4631497</v>
      </c>
      <c r="F241" s="1">
        <f t="shared" si="240"/>
        <v>40.73782893</v>
      </c>
      <c r="G241" s="1">
        <f t="shared" si="240"/>
        <v>47.44785757</v>
      </c>
      <c r="H241" s="1">
        <f t="shared" si="240"/>
        <v>19.82785599</v>
      </c>
      <c r="I241" s="1">
        <f t="shared" si="240"/>
        <v>23.6715905</v>
      </c>
      <c r="J241" s="1">
        <f t="shared" si="240"/>
        <v>27.52849199</v>
      </c>
      <c r="K241" s="1">
        <f t="shared" si="240"/>
        <v>25.90134994</v>
      </c>
      <c r="L241" s="1">
        <f t="shared" si="240"/>
        <v>18.26085772</v>
      </c>
      <c r="M241" s="1">
        <f t="shared" si="240"/>
        <v>42.85785478</v>
      </c>
      <c r="N241" s="1">
        <f t="shared" si="240"/>
        <v>62.73525721</v>
      </c>
      <c r="O241" s="1">
        <f t="shared" si="240"/>
        <v>43.63573566</v>
      </c>
      <c r="P241" s="1">
        <f t="shared" si="240"/>
        <v>19.00316719</v>
      </c>
      <c r="Q241" s="1">
        <f t="shared" si="240"/>
        <v>40.25295613</v>
      </c>
      <c r="R241" s="1">
        <f t="shared" si="240"/>
        <v>3.248048851</v>
      </c>
      <c r="S241" s="1">
        <f t="shared" si="240"/>
        <v>60.99072547</v>
      </c>
      <c r="T241" s="1">
        <f t="shared" si="240"/>
        <v>30.48449834</v>
      </c>
      <c r="U241" s="1">
        <f t="shared" si="240"/>
        <v>24.69403714</v>
      </c>
    </row>
    <row r="242">
      <c r="A242" s="3">
        <f>IFERROR(__xludf.DUMMYFUNCTION("""COMPUTED_VALUE"""),44161.0)</f>
        <v>44161</v>
      </c>
      <c r="B242" s="1">
        <f t="shared" ref="B242:U242" si="241">IF($A242&gt;0,Megyeinapi!B242/'megyelakosság'!B$2*100000," ")</f>
        <v>74.66847198</v>
      </c>
      <c r="C242" s="1">
        <f t="shared" si="241"/>
        <v>45.11165134</v>
      </c>
      <c r="D242" s="1">
        <f t="shared" si="241"/>
        <v>81.98655542</v>
      </c>
      <c r="E242" s="1">
        <f t="shared" si="241"/>
        <v>48.0328507</v>
      </c>
      <c r="F242" s="1">
        <f t="shared" si="241"/>
        <v>63.4207435</v>
      </c>
      <c r="G242" s="1">
        <f t="shared" si="241"/>
        <v>94.64466827</v>
      </c>
      <c r="H242" s="1">
        <f t="shared" si="241"/>
        <v>51.60020353</v>
      </c>
      <c r="I242" s="1">
        <f t="shared" si="241"/>
        <v>63.61739946</v>
      </c>
      <c r="J242" s="1">
        <f t="shared" si="241"/>
        <v>74.99140921</v>
      </c>
      <c r="K242" s="1">
        <f t="shared" si="241"/>
        <v>26.58296441</v>
      </c>
      <c r="L242" s="1">
        <f t="shared" si="241"/>
        <v>72.49833063</v>
      </c>
      <c r="M242" s="1">
        <f t="shared" si="241"/>
        <v>62.45950929</v>
      </c>
      <c r="N242" s="1">
        <f t="shared" si="241"/>
        <v>85.06475555</v>
      </c>
      <c r="O242" s="1">
        <f t="shared" si="241"/>
        <v>68.61449601</v>
      </c>
      <c r="P242" s="1">
        <f t="shared" si="241"/>
        <v>50.34172362</v>
      </c>
      <c r="Q242" s="1">
        <f t="shared" si="241"/>
        <v>53.91346161</v>
      </c>
      <c r="R242" s="1">
        <f t="shared" si="241"/>
        <v>51.04076765</v>
      </c>
      <c r="S242" s="1">
        <f t="shared" si="241"/>
        <v>62.56467968</v>
      </c>
      <c r="T242" s="1">
        <f t="shared" si="241"/>
        <v>102.8851819</v>
      </c>
      <c r="U242" s="1">
        <f t="shared" si="241"/>
        <v>74.08211142</v>
      </c>
    </row>
    <row r="243">
      <c r="A243" s="3">
        <f>IFERROR(__xludf.DUMMYFUNCTION("""COMPUTED_VALUE"""),44162.0)</f>
        <v>44162</v>
      </c>
      <c r="B243" s="1">
        <f t="shared" ref="B243:U243" si="242">IF($A243&gt;0,Megyeinapi!B243/'megyelakosság'!B$2*100000," ")</f>
        <v>104.3367449</v>
      </c>
      <c r="C243" s="1">
        <f t="shared" si="242"/>
        <v>39.26384468</v>
      </c>
      <c r="D243" s="1">
        <f t="shared" si="242"/>
        <v>155.1996418</v>
      </c>
      <c r="E243" s="1">
        <f t="shared" si="242"/>
        <v>51.95710321</v>
      </c>
      <c r="F243" s="1">
        <f t="shared" si="242"/>
        <v>40.68069313</v>
      </c>
      <c r="G243" s="1">
        <f t="shared" si="242"/>
        <v>116.4857456</v>
      </c>
      <c r="H243" s="1">
        <f t="shared" si="242"/>
        <v>43.23905944</v>
      </c>
      <c r="I243" s="1">
        <f t="shared" si="242"/>
        <v>51.14754376</v>
      </c>
      <c r="J243" s="1">
        <f t="shared" si="242"/>
        <v>55.81639065</v>
      </c>
      <c r="K243" s="1">
        <f t="shared" si="242"/>
        <v>71.22871233</v>
      </c>
      <c r="L243" s="1">
        <f t="shared" si="242"/>
        <v>88.57878742</v>
      </c>
      <c r="M243" s="1">
        <f t="shared" si="242"/>
        <v>60.4661207</v>
      </c>
      <c r="N243" s="1">
        <f t="shared" si="242"/>
        <v>86.65971971</v>
      </c>
      <c r="O243" s="1">
        <f t="shared" si="242"/>
        <v>48.95528648</v>
      </c>
      <c r="P243" s="1">
        <f t="shared" si="242"/>
        <v>48.67477913</v>
      </c>
      <c r="Q243" s="1">
        <f t="shared" si="242"/>
        <v>50.99922044</v>
      </c>
      <c r="R243" s="1">
        <f t="shared" si="242"/>
        <v>63.1049491</v>
      </c>
      <c r="S243" s="1">
        <f t="shared" si="242"/>
        <v>135.7535503</v>
      </c>
      <c r="T243" s="1">
        <f t="shared" si="242"/>
        <v>103.1783021</v>
      </c>
      <c r="U243" s="1">
        <f t="shared" si="242"/>
        <v>81.56515297</v>
      </c>
    </row>
    <row r="244">
      <c r="A244" s="3">
        <f>IFERROR(__xludf.DUMMYFUNCTION("""COMPUTED_VALUE"""),44163.0)</f>
        <v>44163</v>
      </c>
      <c r="B244" s="1">
        <f t="shared" ref="B244:U244" si="243">IF($A244&gt;0,Megyeinapi!B244/'megyelakosság'!B$2*100000," ")</f>
        <v>80.64194974</v>
      </c>
      <c r="C244" s="1">
        <f t="shared" si="243"/>
        <v>47.61785419</v>
      </c>
      <c r="D244" s="1">
        <f t="shared" si="243"/>
        <v>125.5513671</v>
      </c>
      <c r="E244" s="1">
        <f t="shared" si="243"/>
        <v>78.95596047</v>
      </c>
      <c r="F244" s="1">
        <f t="shared" si="243"/>
        <v>44.45165625</v>
      </c>
      <c r="G244" s="1">
        <f t="shared" si="243"/>
        <v>85.10488738</v>
      </c>
      <c r="H244" s="1">
        <f t="shared" si="243"/>
        <v>54.46688151</v>
      </c>
      <c r="I244" s="1">
        <f t="shared" si="243"/>
        <v>82.21650628</v>
      </c>
      <c r="J244" s="1">
        <f t="shared" si="243"/>
        <v>57.33520401</v>
      </c>
      <c r="K244" s="1">
        <f t="shared" si="243"/>
        <v>68.1614472</v>
      </c>
      <c r="L244" s="1">
        <f t="shared" si="243"/>
        <v>85.03563593</v>
      </c>
      <c r="M244" s="1">
        <f t="shared" si="243"/>
        <v>58.14050067</v>
      </c>
      <c r="N244" s="1">
        <f t="shared" si="243"/>
        <v>47.31727027</v>
      </c>
      <c r="O244" s="1">
        <f t="shared" si="243"/>
        <v>47.64467251</v>
      </c>
      <c r="P244" s="1">
        <f t="shared" si="243"/>
        <v>87.68128021</v>
      </c>
      <c r="Q244" s="1">
        <f t="shared" si="243"/>
        <v>48.08497927</v>
      </c>
      <c r="R244" s="1">
        <f t="shared" si="243"/>
        <v>87.23331199</v>
      </c>
      <c r="S244" s="1">
        <f t="shared" si="243"/>
        <v>83.41957291</v>
      </c>
      <c r="T244" s="1">
        <f t="shared" si="243"/>
        <v>63.60707827</v>
      </c>
      <c r="U244" s="1">
        <f t="shared" si="243"/>
        <v>74.83041557</v>
      </c>
    </row>
    <row r="245">
      <c r="A245" s="3">
        <f>IFERROR(__xludf.DUMMYFUNCTION("""COMPUTED_VALUE"""),44164.0)</f>
        <v>44164</v>
      </c>
      <c r="B245" s="1">
        <f t="shared" ref="B245:U245" si="244">IF($A245&gt;0,Megyeinapi!B245/'megyelakosság'!B$2*100000," ")</f>
        <v>72.87642866</v>
      </c>
      <c r="C245" s="1">
        <f t="shared" si="244"/>
        <v>63.49047225</v>
      </c>
      <c r="D245" s="1">
        <f t="shared" si="244"/>
        <v>124.9463003</v>
      </c>
      <c r="E245" s="1">
        <f t="shared" si="244"/>
        <v>99.51904361</v>
      </c>
      <c r="F245" s="1">
        <f t="shared" si="244"/>
        <v>49.36533548</v>
      </c>
      <c r="G245" s="1">
        <f t="shared" si="244"/>
        <v>70.29312232</v>
      </c>
      <c r="H245" s="1">
        <f t="shared" si="244"/>
        <v>50.88353404</v>
      </c>
      <c r="I245" s="1">
        <f t="shared" si="244"/>
        <v>90.67064575</v>
      </c>
      <c r="J245" s="1">
        <f t="shared" si="244"/>
        <v>58.47431402</v>
      </c>
      <c r="K245" s="1">
        <f t="shared" si="244"/>
        <v>96.44844779</v>
      </c>
      <c r="L245" s="1">
        <f t="shared" si="244"/>
        <v>100.5709925</v>
      </c>
      <c r="M245" s="1">
        <f t="shared" si="244"/>
        <v>69.10413794</v>
      </c>
      <c r="N245" s="1">
        <f t="shared" si="244"/>
        <v>124.407205</v>
      </c>
      <c r="O245" s="1">
        <f t="shared" si="244"/>
        <v>53.19550814</v>
      </c>
      <c r="P245" s="1">
        <f t="shared" si="244"/>
        <v>57.00950158</v>
      </c>
      <c r="Q245" s="1">
        <f t="shared" si="244"/>
        <v>38.79583555</v>
      </c>
      <c r="R245" s="1">
        <f t="shared" si="244"/>
        <v>107.1856121</v>
      </c>
      <c r="S245" s="1">
        <f t="shared" si="244"/>
        <v>106.6353974</v>
      </c>
      <c r="T245" s="1">
        <f t="shared" si="244"/>
        <v>82.65988973</v>
      </c>
      <c r="U245" s="1">
        <f t="shared" si="244"/>
        <v>49.38807428</v>
      </c>
    </row>
    <row r="246">
      <c r="A246" s="3">
        <f>IFERROR(__xludf.DUMMYFUNCTION("""COMPUTED_VALUE"""),44165.0)</f>
        <v>44165</v>
      </c>
      <c r="B246" s="1">
        <f t="shared" ref="B246:U246" si="245">IF($A246&gt;0,Megyeinapi!B246/'megyelakosság'!B$2*100000," ")</f>
        <v>45.00019912</v>
      </c>
      <c r="C246" s="1">
        <f t="shared" si="245"/>
        <v>37.87150976</v>
      </c>
      <c r="D246" s="1">
        <f t="shared" si="245"/>
        <v>62.01935004</v>
      </c>
      <c r="E246" s="1">
        <f t="shared" si="245"/>
        <v>63.10198033</v>
      </c>
      <c r="F246" s="1">
        <f t="shared" si="245"/>
        <v>51.19368124</v>
      </c>
      <c r="G246" s="1">
        <f t="shared" si="245"/>
        <v>46.4436701</v>
      </c>
      <c r="H246" s="1">
        <f t="shared" si="245"/>
        <v>65.69470357</v>
      </c>
      <c r="I246" s="1">
        <f t="shared" si="245"/>
        <v>57.48814835</v>
      </c>
      <c r="J246" s="1">
        <f t="shared" si="245"/>
        <v>104.4184179</v>
      </c>
      <c r="K246" s="1">
        <f t="shared" si="245"/>
        <v>68.1614472</v>
      </c>
      <c r="L246" s="1">
        <f t="shared" si="245"/>
        <v>45.51586923</v>
      </c>
      <c r="M246" s="1">
        <f t="shared" si="245"/>
        <v>64.78512932</v>
      </c>
      <c r="N246" s="1">
        <f t="shared" si="245"/>
        <v>41.46906833</v>
      </c>
      <c r="O246" s="1">
        <f t="shared" si="245"/>
        <v>57.28153993</v>
      </c>
      <c r="P246" s="1">
        <f t="shared" si="245"/>
        <v>41.67361227</v>
      </c>
      <c r="Q246" s="1">
        <f t="shared" si="245"/>
        <v>54.45988183</v>
      </c>
      <c r="R246" s="1">
        <f t="shared" si="245"/>
        <v>53.82480953</v>
      </c>
      <c r="S246" s="1">
        <f t="shared" si="245"/>
        <v>36.59443528</v>
      </c>
      <c r="T246" s="1">
        <f t="shared" si="245"/>
        <v>58.91715544</v>
      </c>
      <c r="U246" s="1">
        <f t="shared" si="245"/>
        <v>86.80328206</v>
      </c>
    </row>
    <row r="247">
      <c r="A247" s="3">
        <f>IFERROR(__xludf.DUMMYFUNCTION("""COMPUTED_VALUE"""),44166.0)</f>
        <v>44166</v>
      </c>
      <c r="B247" s="1">
        <f t="shared" ref="B247:U247" si="246">IF($A247&gt;0,Megyeinapi!B247/'megyelakosság'!B$2*100000," ")</f>
        <v>32.65501175</v>
      </c>
      <c r="C247" s="1">
        <f t="shared" si="246"/>
        <v>25.89742947</v>
      </c>
      <c r="D247" s="1">
        <f t="shared" si="246"/>
        <v>50.82561369</v>
      </c>
      <c r="E247" s="1">
        <f t="shared" si="246"/>
        <v>43.95162809</v>
      </c>
      <c r="F247" s="1">
        <f t="shared" si="246"/>
        <v>30.0534334</v>
      </c>
      <c r="G247" s="1">
        <f t="shared" si="246"/>
        <v>13.8075776</v>
      </c>
      <c r="H247" s="1">
        <f t="shared" si="246"/>
        <v>10.51115257</v>
      </c>
      <c r="I247" s="1">
        <f t="shared" si="246"/>
        <v>48.39994843</v>
      </c>
      <c r="J247" s="1">
        <f t="shared" si="246"/>
        <v>63.60030908</v>
      </c>
      <c r="K247" s="1">
        <f t="shared" si="246"/>
        <v>31.01345848</v>
      </c>
      <c r="L247" s="1">
        <f t="shared" si="246"/>
        <v>62.68652649</v>
      </c>
      <c r="M247" s="1">
        <f t="shared" si="246"/>
        <v>64.45289789</v>
      </c>
      <c r="N247" s="1">
        <f t="shared" si="246"/>
        <v>36.68417583</v>
      </c>
      <c r="O247" s="1">
        <f t="shared" si="246"/>
        <v>40.62903303</v>
      </c>
      <c r="P247" s="1">
        <f t="shared" si="246"/>
        <v>30.33838973</v>
      </c>
      <c r="Q247" s="1">
        <f t="shared" si="246"/>
        <v>68.48466745</v>
      </c>
      <c r="R247" s="1">
        <f t="shared" si="246"/>
        <v>26.91240476</v>
      </c>
      <c r="S247" s="1">
        <f t="shared" si="246"/>
        <v>57.05583996</v>
      </c>
      <c r="T247" s="1">
        <f t="shared" si="246"/>
        <v>49.24418963</v>
      </c>
      <c r="U247" s="1">
        <f t="shared" si="246"/>
        <v>40.03427233</v>
      </c>
    </row>
    <row r="248">
      <c r="A248" s="3">
        <f>IFERROR(__xludf.DUMMYFUNCTION("""COMPUTED_VALUE"""),44167.0)</f>
        <v>44167</v>
      </c>
      <c r="B248" s="1">
        <f t="shared" ref="B248:U248" si="247">IF($A248&gt;0,Megyeinapi!B248/'megyelakosság'!B$2*100000," ")</f>
        <v>37.63290988</v>
      </c>
      <c r="C248" s="1">
        <f t="shared" si="247"/>
        <v>32.58063708</v>
      </c>
      <c r="D248" s="1">
        <f t="shared" si="247"/>
        <v>45.98507905</v>
      </c>
      <c r="E248" s="1">
        <f t="shared" si="247"/>
        <v>37.20191378</v>
      </c>
      <c r="F248" s="1">
        <f t="shared" si="247"/>
        <v>36.85259419</v>
      </c>
      <c r="G248" s="1">
        <f t="shared" si="247"/>
        <v>58.49391964</v>
      </c>
      <c r="H248" s="1">
        <f t="shared" si="247"/>
        <v>26.27788143</v>
      </c>
      <c r="I248" s="1">
        <f t="shared" si="247"/>
        <v>44.1728787</v>
      </c>
      <c r="J248" s="1">
        <f t="shared" si="247"/>
        <v>42.14707049</v>
      </c>
      <c r="K248" s="1">
        <f t="shared" si="247"/>
        <v>64.07176037</v>
      </c>
      <c r="L248" s="1">
        <f t="shared" si="247"/>
        <v>50.4217713</v>
      </c>
      <c r="M248" s="1">
        <f t="shared" si="247"/>
        <v>46.84463197</v>
      </c>
      <c r="N248" s="1">
        <f t="shared" si="247"/>
        <v>73.90000638</v>
      </c>
      <c r="O248" s="1">
        <f t="shared" si="247"/>
        <v>44.86925469</v>
      </c>
      <c r="P248" s="1">
        <f t="shared" si="247"/>
        <v>55.00916819</v>
      </c>
      <c r="Q248" s="1">
        <f t="shared" si="247"/>
        <v>27.32101095</v>
      </c>
      <c r="R248" s="1">
        <f t="shared" si="247"/>
        <v>26.44839778</v>
      </c>
      <c r="S248" s="1">
        <f t="shared" si="247"/>
        <v>40.5293208</v>
      </c>
      <c r="T248" s="1">
        <f t="shared" si="247"/>
        <v>58.33091509</v>
      </c>
      <c r="U248" s="1">
        <f t="shared" si="247"/>
        <v>42.2791848</v>
      </c>
    </row>
    <row r="249">
      <c r="A249" s="3">
        <f>IFERROR(__xludf.DUMMYFUNCTION("""COMPUTED_VALUE"""),44168.0)</f>
        <v>44168</v>
      </c>
      <c r="B249" s="1">
        <f t="shared" ref="B249:U249" si="248">IF($A249&gt;0,Megyeinapi!B249/'megyelakosság'!B$2*100000," ")</f>
        <v>53.5621839</v>
      </c>
      <c r="C249" s="1">
        <f t="shared" si="248"/>
        <v>41.77004753</v>
      </c>
      <c r="D249" s="1">
        <f t="shared" si="248"/>
        <v>96.20562591</v>
      </c>
      <c r="E249" s="1">
        <f t="shared" si="248"/>
        <v>57.29408662</v>
      </c>
      <c r="F249" s="1">
        <f t="shared" si="248"/>
        <v>43.48034757</v>
      </c>
      <c r="G249" s="1">
        <f t="shared" si="248"/>
        <v>93.6404808</v>
      </c>
      <c r="H249" s="1">
        <f t="shared" si="248"/>
        <v>66.88915273</v>
      </c>
      <c r="I249" s="1">
        <f t="shared" si="248"/>
        <v>68.47852966</v>
      </c>
      <c r="J249" s="1">
        <f t="shared" si="248"/>
        <v>80.11740427</v>
      </c>
      <c r="K249" s="1">
        <f t="shared" si="248"/>
        <v>71.9103268</v>
      </c>
      <c r="L249" s="1">
        <f t="shared" si="248"/>
        <v>82.03758466</v>
      </c>
      <c r="M249" s="1">
        <f t="shared" si="248"/>
        <v>56.14711208</v>
      </c>
      <c r="N249" s="1">
        <f t="shared" si="248"/>
        <v>106.8625992</v>
      </c>
      <c r="O249" s="1">
        <f t="shared" si="248"/>
        <v>81.95192051</v>
      </c>
      <c r="P249" s="1">
        <f t="shared" si="248"/>
        <v>71.01183531</v>
      </c>
      <c r="Q249" s="1">
        <f t="shared" si="248"/>
        <v>62.10976489</v>
      </c>
      <c r="R249" s="1">
        <f t="shared" si="248"/>
        <v>109.505647</v>
      </c>
      <c r="S249" s="1">
        <f t="shared" si="248"/>
        <v>73.58235912</v>
      </c>
      <c r="T249" s="1">
        <f t="shared" si="248"/>
        <v>79.14244761</v>
      </c>
      <c r="U249" s="1">
        <f t="shared" si="248"/>
        <v>67.72152609</v>
      </c>
    </row>
    <row r="250">
      <c r="A250" s="3">
        <f>IFERROR(__xludf.DUMMYFUNCTION("""COMPUTED_VALUE"""),44169.0)</f>
        <v>44169</v>
      </c>
      <c r="B250" s="1">
        <f t="shared" ref="B250:U250" si="249">IF($A250&gt;0,Megyeinapi!B250/'megyelakosság'!B$2*100000," ")</f>
        <v>71.08438533</v>
      </c>
      <c r="C250" s="1">
        <f t="shared" si="249"/>
        <v>52.90872688</v>
      </c>
      <c r="D250" s="1">
        <f t="shared" si="249"/>
        <v>90.76002444</v>
      </c>
      <c r="E250" s="1">
        <f t="shared" si="249"/>
        <v>45.364359</v>
      </c>
      <c r="F250" s="1">
        <f t="shared" si="249"/>
        <v>53.36484183</v>
      </c>
      <c r="G250" s="1">
        <f t="shared" si="249"/>
        <v>65.52323188</v>
      </c>
      <c r="H250" s="1">
        <f t="shared" si="249"/>
        <v>57.09466965</v>
      </c>
      <c r="I250" s="1">
        <f t="shared" si="249"/>
        <v>60.02439019</v>
      </c>
      <c r="J250" s="1">
        <f t="shared" si="249"/>
        <v>85.05354766</v>
      </c>
      <c r="K250" s="1">
        <f t="shared" si="249"/>
        <v>54.52915776</v>
      </c>
      <c r="L250" s="1">
        <f t="shared" si="249"/>
        <v>73.04343086</v>
      </c>
      <c r="M250" s="1">
        <f t="shared" si="249"/>
        <v>62.79174073</v>
      </c>
      <c r="N250" s="1">
        <f t="shared" si="249"/>
        <v>90.91295749</v>
      </c>
      <c r="O250" s="1">
        <f t="shared" si="249"/>
        <v>54.73740693</v>
      </c>
      <c r="P250" s="1">
        <f t="shared" si="249"/>
        <v>63.67727955</v>
      </c>
      <c r="Q250" s="1">
        <f t="shared" si="249"/>
        <v>71.76318876</v>
      </c>
      <c r="R250" s="1">
        <f t="shared" si="249"/>
        <v>71.92108169</v>
      </c>
      <c r="S250" s="1">
        <f t="shared" si="249"/>
        <v>74.76282478</v>
      </c>
      <c r="T250" s="1">
        <f t="shared" si="249"/>
        <v>72.69380373</v>
      </c>
      <c r="U250" s="1">
        <f t="shared" si="249"/>
        <v>87.55158622</v>
      </c>
    </row>
    <row r="251">
      <c r="A251" s="3">
        <f>IFERROR(__xludf.DUMMYFUNCTION("""COMPUTED_VALUE"""),44170.0)</f>
        <v>44170</v>
      </c>
      <c r="B251" s="1">
        <f t="shared" ref="B251:U251" si="250">IF($A251&gt;0,Megyeinapi!B251/'megyelakosság'!B$2*100000," ")</f>
        <v>44.80108319</v>
      </c>
      <c r="C251" s="1">
        <f t="shared" si="250"/>
        <v>52.63025989</v>
      </c>
      <c r="D251" s="1">
        <f t="shared" si="250"/>
        <v>68.07001833</v>
      </c>
      <c r="E251" s="1">
        <f t="shared" si="250"/>
        <v>34.06251177</v>
      </c>
      <c r="F251" s="1">
        <f t="shared" si="250"/>
        <v>63.19220028</v>
      </c>
      <c r="G251" s="1">
        <f t="shared" si="250"/>
        <v>58.99601338</v>
      </c>
      <c r="H251" s="1">
        <f t="shared" si="250"/>
        <v>43.23905944</v>
      </c>
      <c r="I251" s="1">
        <f t="shared" si="250"/>
        <v>58.75626927</v>
      </c>
      <c r="J251" s="1">
        <f t="shared" si="250"/>
        <v>65.11912243</v>
      </c>
      <c r="K251" s="1">
        <f t="shared" si="250"/>
        <v>57.25561565</v>
      </c>
      <c r="L251" s="1">
        <f t="shared" si="250"/>
        <v>52.60217222</v>
      </c>
      <c r="M251" s="1">
        <f t="shared" si="250"/>
        <v>54.81818635</v>
      </c>
      <c r="N251" s="1">
        <f t="shared" si="250"/>
        <v>65.39353083</v>
      </c>
      <c r="O251" s="1">
        <f t="shared" si="250"/>
        <v>55.50835632</v>
      </c>
      <c r="P251" s="1">
        <f t="shared" si="250"/>
        <v>60.34339057</v>
      </c>
      <c r="Q251" s="1">
        <f t="shared" si="250"/>
        <v>31.14595248</v>
      </c>
      <c r="R251" s="1">
        <f t="shared" si="250"/>
        <v>68.67303284</v>
      </c>
      <c r="S251" s="1">
        <f t="shared" si="250"/>
        <v>82.23910725</v>
      </c>
      <c r="T251" s="1">
        <f t="shared" si="250"/>
        <v>76.50436603</v>
      </c>
      <c r="U251" s="1">
        <f t="shared" si="250"/>
        <v>69.96643856</v>
      </c>
    </row>
    <row r="252">
      <c r="A252" s="3">
        <f>IFERROR(__xludf.DUMMYFUNCTION("""COMPUTED_VALUE"""),44171.0)</f>
        <v>44171</v>
      </c>
      <c r="B252" s="1">
        <f t="shared" ref="B252:U252" si="251">IF($A252&gt;0,Megyeinapi!B252/'megyelakosság'!B$2*100000," ")</f>
        <v>58.14185019</v>
      </c>
      <c r="C252" s="1">
        <f t="shared" si="251"/>
        <v>72.12294874</v>
      </c>
      <c r="D252" s="1">
        <f t="shared" si="251"/>
        <v>88.33975713</v>
      </c>
      <c r="E252" s="1">
        <f t="shared" si="251"/>
        <v>57.45105672</v>
      </c>
      <c r="F252" s="1">
        <f t="shared" si="251"/>
        <v>55.25032339</v>
      </c>
      <c r="G252" s="1">
        <f t="shared" si="251"/>
        <v>68.53579426</v>
      </c>
      <c r="H252" s="1">
        <f t="shared" si="251"/>
        <v>53.98910185</v>
      </c>
      <c r="I252" s="1">
        <f t="shared" si="251"/>
        <v>59.81303671</v>
      </c>
      <c r="J252" s="1">
        <f t="shared" si="251"/>
        <v>95.11568611</v>
      </c>
      <c r="K252" s="1">
        <f t="shared" si="251"/>
        <v>69.52467615</v>
      </c>
      <c r="L252" s="1">
        <f t="shared" si="251"/>
        <v>93.75723961</v>
      </c>
      <c r="M252" s="1">
        <f t="shared" si="251"/>
        <v>85.38347813</v>
      </c>
      <c r="N252" s="1">
        <f t="shared" si="251"/>
        <v>80.81151777</v>
      </c>
      <c r="O252" s="1">
        <f t="shared" si="251"/>
        <v>53.96645753</v>
      </c>
      <c r="P252" s="1">
        <f t="shared" si="251"/>
        <v>57.67627938</v>
      </c>
      <c r="Q252" s="1">
        <f t="shared" si="251"/>
        <v>65.38828621</v>
      </c>
      <c r="R252" s="1">
        <f t="shared" si="251"/>
        <v>102.0815353</v>
      </c>
      <c r="S252" s="1">
        <f t="shared" si="251"/>
        <v>122.3749395</v>
      </c>
      <c r="T252" s="1">
        <f t="shared" si="251"/>
        <v>84.71173096</v>
      </c>
      <c r="U252" s="1">
        <f t="shared" si="251"/>
        <v>85.68082583</v>
      </c>
    </row>
    <row r="253">
      <c r="A253" s="3">
        <f>IFERROR(__xludf.DUMMYFUNCTION("""COMPUTED_VALUE"""),44172.0)</f>
        <v>44172</v>
      </c>
      <c r="B253" s="1">
        <f t="shared" ref="B253:U253" si="252">IF($A253&gt;0,Megyeinapi!B253/'megyelakosság'!B$2*100000," ")</f>
        <v>37.23467803</v>
      </c>
      <c r="C253" s="1">
        <f t="shared" si="252"/>
        <v>31.18830216</v>
      </c>
      <c r="D253" s="1">
        <f t="shared" si="252"/>
        <v>44.16987856</v>
      </c>
      <c r="E253" s="1">
        <f t="shared" si="252"/>
        <v>32.02190047</v>
      </c>
      <c r="F253" s="1">
        <f t="shared" si="252"/>
        <v>37.88103868</v>
      </c>
      <c r="G253" s="1">
        <f t="shared" si="252"/>
        <v>44.43529518</v>
      </c>
      <c r="H253" s="1">
        <f t="shared" si="252"/>
        <v>38.22237299</v>
      </c>
      <c r="I253" s="1">
        <f t="shared" si="252"/>
        <v>32.75979042</v>
      </c>
      <c r="J253" s="1">
        <f t="shared" si="252"/>
        <v>36.07181709</v>
      </c>
      <c r="K253" s="1">
        <f t="shared" si="252"/>
        <v>38.85202491</v>
      </c>
      <c r="L253" s="1">
        <f t="shared" si="252"/>
        <v>35.70406508</v>
      </c>
      <c r="M253" s="1">
        <f t="shared" si="252"/>
        <v>43.19008621</v>
      </c>
      <c r="N253" s="1">
        <f t="shared" si="252"/>
        <v>43.59568722</v>
      </c>
      <c r="O253" s="1">
        <f t="shared" si="252"/>
        <v>47.56757757</v>
      </c>
      <c r="P253" s="1">
        <f t="shared" si="252"/>
        <v>30.00500083</v>
      </c>
      <c r="Q253" s="1">
        <f t="shared" si="252"/>
        <v>26.9567308</v>
      </c>
      <c r="R253" s="1">
        <f t="shared" si="252"/>
        <v>44.54466995</v>
      </c>
      <c r="S253" s="1">
        <f t="shared" si="252"/>
        <v>52.33397734</v>
      </c>
      <c r="T253" s="1">
        <f t="shared" si="252"/>
        <v>46.89922821</v>
      </c>
      <c r="U253" s="1">
        <f t="shared" si="252"/>
        <v>65.47661362</v>
      </c>
    </row>
    <row r="254">
      <c r="A254" s="3">
        <f>IFERROR(__xludf.DUMMYFUNCTION("""COMPUTED_VALUE"""),44173.0)</f>
        <v>44173</v>
      </c>
      <c r="B254" s="1">
        <f t="shared" ref="B254:U254" si="253">IF($A254&gt;0,Megyeinapi!B254/'megyelakosság'!B$2*100000," ")</f>
        <v>18.51778105</v>
      </c>
      <c r="C254" s="1">
        <f t="shared" si="253"/>
        <v>18.93575488</v>
      </c>
      <c r="D254" s="1">
        <f t="shared" si="253"/>
        <v>28.13560758</v>
      </c>
      <c r="E254" s="1">
        <f t="shared" si="253"/>
        <v>5.336983411</v>
      </c>
      <c r="F254" s="1">
        <f t="shared" si="253"/>
        <v>21.25451944</v>
      </c>
      <c r="G254" s="1">
        <f t="shared" si="253"/>
        <v>18.07537431</v>
      </c>
      <c r="H254" s="1">
        <f t="shared" si="253"/>
        <v>21.73897464</v>
      </c>
      <c r="I254" s="1">
        <f t="shared" si="253"/>
        <v>24.72835793</v>
      </c>
      <c r="J254" s="1">
        <f t="shared" si="253"/>
        <v>17.27650187</v>
      </c>
      <c r="K254" s="1">
        <f t="shared" si="253"/>
        <v>31.35426571</v>
      </c>
      <c r="L254" s="1">
        <f t="shared" si="253"/>
        <v>33.25111405</v>
      </c>
      <c r="M254" s="1">
        <f t="shared" si="253"/>
        <v>43.52231765</v>
      </c>
      <c r="N254" s="1">
        <f t="shared" si="253"/>
        <v>26.58273611</v>
      </c>
      <c r="O254" s="1">
        <f t="shared" si="253"/>
        <v>24.51619071</v>
      </c>
      <c r="P254" s="1">
        <f t="shared" si="253"/>
        <v>25.33755626</v>
      </c>
      <c r="Q254" s="1">
        <f t="shared" si="253"/>
        <v>19.48898781</v>
      </c>
      <c r="R254" s="1">
        <f t="shared" si="253"/>
        <v>32.48048851</v>
      </c>
      <c r="S254" s="1">
        <f t="shared" si="253"/>
        <v>29.90512991</v>
      </c>
      <c r="T254" s="1">
        <f t="shared" si="253"/>
        <v>24.03585446</v>
      </c>
      <c r="U254" s="1">
        <f t="shared" si="253"/>
        <v>23.94573298</v>
      </c>
    </row>
    <row r="255">
      <c r="A255" s="3">
        <f>IFERROR(__xludf.DUMMYFUNCTION("""COMPUTED_VALUE"""),44174.0)</f>
        <v>44174</v>
      </c>
      <c r="B255" s="1">
        <f t="shared" ref="B255:U255" si="254">IF($A255&gt;0,Megyeinapi!B255/'megyelakosság'!B$2*100000," ")</f>
        <v>19.11512883</v>
      </c>
      <c r="C255" s="1">
        <f t="shared" si="254"/>
        <v>37.87150976</v>
      </c>
      <c r="D255" s="1">
        <f t="shared" si="254"/>
        <v>51.1281471</v>
      </c>
      <c r="E255" s="1">
        <f t="shared" si="254"/>
        <v>27.15582736</v>
      </c>
      <c r="F255" s="1">
        <f t="shared" si="254"/>
        <v>27.13950735</v>
      </c>
      <c r="G255" s="1">
        <f t="shared" si="254"/>
        <v>34.64446743</v>
      </c>
      <c r="H255" s="1">
        <f t="shared" si="254"/>
        <v>20.54452548</v>
      </c>
      <c r="I255" s="1">
        <f t="shared" si="254"/>
        <v>28.74407418</v>
      </c>
      <c r="J255" s="1">
        <f t="shared" si="254"/>
        <v>41.57751549</v>
      </c>
      <c r="K255" s="1">
        <f t="shared" si="254"/>
        <v>37.8296032</v>
      </c>
      <c r="L255" s="1">
        <f t="shared" si="254"/>
        <v>47.42372004</v>
      </c>
      <c r="M255" s="1">
        <f t="shared" si="254"/>
        <v>47.1768634</v>
      </c>
      <c r="N255" s="1">
        <f t="shared" si="254"/>
        <v>46.78561555</v>
      </c>
      <c r="O255" s="1">
        <f t="shared" si="254"/>
        <v>27.67708322</v>
      </c>
      <c r="P255" s="1">
        <f t="shared" si="254"/>
        <v>46.34105684</v>
      </c>
      <c r="Q255" s="1">
        <f t="shared" si="254"/>
        <v>23.49606942</v>
      </c>
      <c r="R255" s="1">
        <f t="shared" si="254"/>
        <v>31.08846757</v>
      </c>
      <c r="S255" s="1">
        <f t="shared" si="254"/>
        <v>53.12095445</v>
      </c>
      <c r="T255" s="1">
        <f t="shared" si="254"/>
        <v>52.46851157</v>
      </c>
      <c r="U255" s="1">
        <f t="shared" si="254"/>
        <v>26.19064545</v>
      </c>
    </row>
    <row r="256">
      <c r="A256" s="3">
        <f>IFERROR(__xludf.DUMMYFUNCTION("""COMPUTED_VALUE"""),44175.0)</f>
        <v>44175</v>
      </c>
      <c r="B256" s="1">
        <f t="shared" ref="B256:U256" si="255">IF($A256&gt;0,Megyeinapi!B256/'megyelakosság'!B$2*100000," ")</f>
        <v>58.34096611</v>
      </c>
      <c r="C256" s="1">
        <f t="shared" si="255"/>
        <v>52.07332593</v>
      </c>
      <c r="D256" s="1">
        <f t="shared" si="255"/>
        <v>82.89415566</v>
      </c>
      <c r="E256" s="1">
        <f t="shared" si="255"/>
        <v>38.30070448</v>
      </c>
      <c r="F256" s="1">
        <f t="shared" si="255"/>
        <v>36.45264356</v>
      </c>
      <c r="G256" s="1">
        <f t="shared" si="255"/>
        <v>85.10488738</v>
      </c>
      <c r="H256" s="1">
        <f t="shared" si="255"/>
        <v>55.183551</v>
      </c>
      <c r="I256" s="1">
        <f t="shared" si="255"/>
        <v>53.89513908</v>
      </c>
      <c r="J256" s="1">
        <f t="shared" si="255"/>
        <v>70.8146725</v>
      </c>
      <c r="K256" s="1">
        <f t="shared" si="255"/>
        <v>47.37220581</v>
      </c>
      <c r="L256" s="1">
        <f t="shared" si="255"/>
        <v>59.4159251</v>
      </c>
      <c r="M256" s="1">
        <f t="shared" si="255"/>
        <v>50.83140916</v>
      </c>
      <c r="N256" s="1">
        <f t="shared" si="255"/>
        <v>109.5208728</v>
      </c>
      <c r="O256" s="1">
        <f t="shared" si="255"/>
        <v>40.93741279</v>
      </c>
      <c r="P256" s="1">
        <f t="shared" si="255"/>
        <v>92.68211369</v>
      </c>
      <c r="Q256" s="1">
        <f t="shared" si="255"/>
        <v>46.99213883</v>
      </c>
      <c r="R256" s="1">
        <f t="shared" si="255"/>
        <v>72.84909565</v>
      </c>
      <c r="S256" s="1">
        <f t="shared" si="255"/>
        <v>78.30422174</v>
      </c>
      <c r="T256" s="1">
        <f t="shared" si="255"/>
        <v>70.05572215</v>
      </c>
      <c r="U256" s="1">
        <f t="shared" si="255"/>
        <v>72.21135103</v>
      </c>
    </row>
    <row r="257">
      <c r="A257" s="3">
        <f>IFERROR(__xludf.DUMMYFUNCTION("""COMPUTED_VALUE"""),44176.0)</f>
        <v>44176</v>
      </c>
      <c r="B257" s="1">
        <f t="shared" ref="B257:U257" si="256">IF($A257&gt;0,Megyeinapi!B257/'megyelakosság'!B$2*100000," ")</f>
        <v>53.76129983</v>
      </c>
      <c r="C257" s="1">
        <f t="shared" si="256"/>
        <v>65.71820812</v>
      </c>
      <c r="D257" s="1">
        <f t="shared" si="256"/>
        <v>91.9701581</v>
      </c>
      <c r="E257" s="1">
        <f t="shared" si="256"/>
        <v>43.00980749</v>
      </c>
      <c r="F257" s="1">
        <f t="shared" si="256"/>
        <v>45.13728591</v>
      </c>
      <c r="G257" s="1">
        <f t="shared" si="256"/>
        <v>80.33499694</v>
      </c>
      <c r="H257" s="1">
        <f t="shared" si="256"/>
        <v>66.17248324</v>
      </c>
      <c r="I257" s="1">
        <f t="shared" si="256"/>
        <v>52.41566468</v>
      </c>
      <c r="J257" s="1">
        <f t="shared" si="256"/>
        <v>76.8899259</v>
      </c>
      <c r="K257" s="1">
        <f t="shared" si="256"/>
        <v>51.80269987</v>
      </c>
      <c r="L257" s="1">
        <f t="shared" si="256"/>
        <v>84.76308581</v>
      </c>
      <c r="M257" s="1">
        <f t="shared" si="256"/>
        <v>69.10413794</v>
      </c>
      <c r="N257" s="1">
        <f t="shared" si="256"/>
        <v>101.0143972</v>
      </c>
      <c r="O257" s="1">
        <f t="shared" si="256"/>
        <v>57.89829944</v>
      </c>
      <c r="P257" s="1">
        <f t="shared" si="256"/>
        <v>87.68128021</v>
      </c>
      <c r="Q257" s="1">
        <f t="shared" si="256"/>
        <v>54.09560168</v>
      </c>
      <c r="R257" s="1">
        <f t="shared" si="256"/>
        <v>105.7935911</v>
      </c>
      <c r="S257" s="1">
        <f t="shared" si="256"/>
        <v>74.36933622</v>
      </c>
      <c r="T257" s="1">
        <f t="shared" si="256"/>
        <v>71.8144432</v>
      </c>
      <c r="U257" s="1">
        <f t="shared" si="256"/>
        <v>93.16386739</v>
      </c>
    </row>
    <row r="258">
      <c r="A258" s="3">
        <f>IFERROR(__xludf.DUMMYFUNCTION("""COMPUTED_VALUE"""),44177.0)</f>
        <v>44177</v>
      </c>
      <c r="B258" s="1">
        <f t="shared" ref="B258:U258" si="257">IF($A258&gt;0,Megyeinapi!B258/'megyelakosság'!B$2*100000," ")</f>
        <v>46.99135837</v>
      </c>
      <c r="C258" s="1">
        <f t="shared" si="257"/>
        <v>67.94594399</v>
      </c>
      <c r="D258" s="1">
        <f t="shared" si="257"/>
        <v>90.45749103</v>
      </c>
      <c r="E258" s="1">
        <f t="shared" si="257"/>
        <v>46.6201198</v>
      </c>
      <c r="F258" s="1">
        <f t="shared" si="257"/>
        <v>35.36706327</v>
      </c>
      <c r="G258" s="1">
        <f t="shared" si="257"/>
        <v>73.80777844</v>
      </c>
      <c r="H258" s="1">
        <f t="shared" si="257"/>
        <v>52.31687303</v>
      </c>
      <c r="I258" s="1">
        <f t="shared" si="257"/>
        <v>48.61130192</v>
      </c>
      <c r="J258" s="1">
        <f t="shared" si="257"/>
        <v>51.82950561</v>
      </c>
      <c r="K258" s="1">
        <f t="shared" si="257"/>
        <v>57.93723012</v>
      </c>
      <c r="L258" s="1">
        <f t="shared" si="257"/>
        <v>74.13363132</v>
      </c>
      <c r="M258" s="1">
        <f t="shared" si="257"/>
        <v>57.47603781</v>
      </c>
      <c r="N258" s="1">
        <f t="shared" si="257"/>
        <v>85.59641027</v>
      </c>
      <c r="O258" s="1">
        <f t="shared" si="257"/>
        <v>35.30948221</v>
      </c>
      <c r="P258" s="1">
        <f t="shared" si="257"/>
        <v>76.34605768</v>
      </c>
      <c r="Q258" s="1">
        <f t="shared" si="257"/>
        <v>37.70299511</v>
      </c>
      <c r="R258" s="1">
        <f t="shared" si="257"/>
        <v>60.78491421</v>
      </c>
      <c r="S258" s="1">
        <f t="shared" si="257"/>
        <v>68.46700795</v>
      </c>
      <c r="T258" s="1">
        <f t="shared" si="257"/>
        <v>70.93508267</v>
      </c>
      <c r="U258" s="1">
        <f t="shared" si="257"/>
        <v>44.52409726</v>
      </c>
    </row>
    <row r="259">
      <c r="A259" s="3">
        <f>IFERROR(__xludf.DUMMYFUNCTION("""COMPUTED_VALUE"""),44178.0)</f>
        <v>44178</v>
      </c>
      <c r="B259" s="1">
        <f t="shared" ref="B259:U259" si="258">IF($A259&gt;0,Megyeinapi!B259/'megyelakosság'!B$2*100000," ")</f>
        <v>29.46915694</v>
      </c>
      <c r="C259" s="1">
        <f t="shared" si="258"/>
        <v>47.06092022</v>
      </c>
      <c r="D259" s="1">
        <f t="shared" si="258"/>
        <v>46.28761247</v>
      </c>
      <c r="E259" s="1">
        <f t="shared" si="258"/>
        <v>42.22495699</v>
      </c>
      <c r="F259" s="1">
        <f t="shared" si="258"/>
        <v>28.05368023</v>
      </c>
      <c r="G259" s="1">
        <f t="shared" si="258"/>
        <v>46.94576384</v>
      </c>
      <c r="H259" s="1">
        <f t="shared" si="258"/>
        <v>51.12242387</v>
      </c>
      <c r="I259" s="1">
        <f t="shared" si="258"/>
        <v>39.52310199</v>
      </c>
      <c r="J259" s="1">
        <f t="shared" si="258"/>
        <v>42.7166255</v>
      </c>
      <c r="K259" s="1">
        <f t="shared" si="258"/>
        <v>38.17041043</v>
      </c>
      <c r="L259" s="1">
        <f t="shared" si="258"/>
        <v>70.59047982</v>
      </c>
      <c r="M259" s="1">
        <f t="shared" si="258"/>
        <v>48.1735577</v>
      </c>
      <c r="N259" s="1">
        <f t="shared" si="258"/>
        <v>66.98849499</v>
      </c>
      <c r="O259" s="1">
        <f t="shared" si="258"/>
        <v>32.76534922</v>
      </c>
      <c r="P259" s="1">
        <f t="shared" si="258"/>
        <v>71.01183531</v>
      </c>
      <c r="Q259" s="1">
        <f t="shared" si="258"/>
        <v>30.23525212</v>
      </c>
      <c r="R259" s="1">
        <f t="shared" si="258"/>
        <v>67.28101191</v>
      </c>
      <c r="S259" s="1">
        <f t="shared" si="258"/>
        <v>59.81025982</v>
      </c>
      <c r="T259" s="1">
        <f t="shared" si="258"/>
        <v>55.10659315</v>
      </c>
      <c r="U259" s="1">
        <f t="shared" si="258"/>
        <v>66.97322194</v>
      </c>
    </row>
    <row r="260">
      <c r="A260" s="3">
        <f>IFERROR(__xludf.DUMMYFUNCTION("""COMPUTED_VALUE"""),44179.0)</f>
        <v>44179</v>
      </c>
      <c r="B260" s="1">
        <f t="shared" ref="B260:U260" si="259">IF($A260&gt;0,Megyeinapi!B260/'megyelakosság'!B$2*100000," ")</f>
        <v>38.62848951</v>
      </c>
      <c r="C260" s="1">
        <f t="shared" si="259"/>
        <v>40.6561796</v>
      </c>
      <c r="D260" s="1">
        <f t="shared" si="259"/>
        <v>44.47241198</v>
      </c>
      <c r="E260" s="1">
        <f t="shared" si="259"/>
        <v>22.44672435</v>
      </c>
      <c r="F260" s="1">
        <f t="shared" si="259"/>
        <v>29.19639633</v>
      </c>
      <c r="G260" s="1">
        <f t="shared" si="259"/>
        <v>51.71565428</v>
      </c>
      <c r="H260" s="1">
        <f t="shared" si="259"/>
        <v>39.89460181</v>
      </c>
      <c r="I260" s="1">
        <f t="shared" si="259"/>
        <v>34.6619718</v>
      </c>
      <c r="J260" s="1">
        <f t="shared" si="259"/>
        <v>34.74285541</v>
      </c>
      <c r="K260" s="1">
        <f t="shared" si="259"/>
        <v>31.69507295</v>
      </c>
      <c r="L260" s="1">
        <f t="shared" si="259"/>
        <v>36.24916532</v>
      </c>
      <c r="M260" s="1">
        <f t="shared" si="259"/>
        <v>43.19008621</v>
      </c>
      <c r="N260" s="1">
        <f t="shared" si="259"/>
        <v>61.14029305</v>
      </c>
      <c r="O260" s="1">
        <f t="shared" si="259"/>
        <v>35.0781974</v>
      </c>
      <c r="P260" s="1">
        <f t="shared" si="259"/>
        <v>30.67177863</v>
      </c>
      <c r="Q260" s="1">
        <f t="shared" si="259"/>
        <v>26.22817051</v>
      </c>
      <c r="R260" s="1">
        <f t="shared" si="259"/>
        <v>72.84909565</v>
      </c>
      <c r="S260" s="1">
        <f t="shared" si="259"/>
        <v>34.23350398</v>
      </c>
      <c r="T260" s="1">
        <f t="shared" si="259"/>
        <v>29.31201763</v>
      </c>
      <c r="U260" s="1">
        <f t="shared" si="259"/>
        <v>38.53766402</v>
      </c>
    </row>
    <row r="261">
      <c r="A261" s="3">
        <f>IFERROR(__xludf.DUMMYFUNCTION("""COMPUTED_VALUE"""),44180.0)</f>
        <v>44180</v>
      </c>
      <c r="B261" s="1">
        <f t="shared" ref="B261:U261" si="260">IF($A261&gt;0,Megyeinapi!B261/'megyelakosság'!B$2*100000," ")</f>
        <v>13.93811477</v>
      </c>
      <c r="C261" s="1">
        <f t="shared" si="260"/>
        <v>21.16349075</v>
      </c>
      <c r="D261" s="1">
        <f t="shared" si="260"/>
        <v>29.64827465</v>
      </c>
      <c r="E261" s="1">
        <f t="shared" si="260"/>
        <v>12.87154823</v>
      </c>
      <c r="F261" s="1">
        <f t="shared" si="260"/>
        <v>15.25525992</v>
      </c>
      <c r="G261" s="1">
        <f t="shared" si="260"/>
        <v>23.09631162</v>
      </c>
      <c r="H261" s="1">
        <f t="shared" si="260"/>
        <v>10.27226274</v>
      </c>
      <c r="I261" s="1">
        <f t="shared" si="260"/>
        <v>6.974665058</v>
      </c>
      <c r="J261" s="1">
        <f t="shared" si="260"/>
        <v>18.22576021</v>
      </c>
      <c r="K261" s="1">
        <f t="shared" si="260"/>
        <v>17.72197627</v>
      </c>
      <c r="L261" s="1">
        <f t="shared" si="260"/>
        <v>38.42956624</v>
      </c>
      <c r="M261" s="1">
        <f t="shared" si="260"/>
        <v>36.54545757</v>
      </c>
      <c r="N261" s="1">
        <f t="shared" si="260"/>
        <v>13.82302278</v>
      </c>
      <c r="O261" s="1">
        <f t="shared" si="260"/>
        <v>20.27596904</v>
      </c>
      <c r="P261" s="1">
        <f t="shared" si="260"/>
        <v>22.67044507</v>
      </c>
      <c r="Q261" s="1">
        <f t="shared" si="260"/>
        <v>14.93548599</v>
      </c>
      <c r="R261" s="1">
        <f t="shared" si="260"/>
        <v>20.88031404</v>
      </c>
      <c r="S261" s="1">
        <f t="shared" si="260"/>
        <v>28.72466426</v>
      </c>
      <c r="T261" s="1">
        <f t="shared" si="260"/>
        <v>29.60513781</v>
      </c>
      <c r="U261" s="1">
        <f t="shared" si="260"/>
        <v>28.06140584</v>
      </c>
    </row>
    <row r="262">
      <c r="A262" s="3">
        <f>IFERROR(__xludf.DUMMYFUNCTION("""COMPUTED_VALUE"""),44181.0)</f>
        <v>44181</v>
      </c>
      <c r="B262" s="1">
        <f t="shared" ref="B262:U262" si="261">IF($A262&gt;0,Megyeinapi!B262/'megyelakosság'!B$2*100000," ")</f>
        <v>17.92043328</v>
      </c>
      <c r="C262" s="1">
        <f t="shared" si="261"/>
        <v>32.30217009</v>
      </c>
      <c r="D262" s="1">
        <f t="shared" si="261"/>
        <v>41.14454441</v>
      </c>
      <c r="E262" s="1">
        <f t="shared" si="261"/>
        <v>25.74309645</v>
      </c>
      <c r="F262" s="1">
        <f t="shared" si="261"/>
        <v>24.05417388</v>
      </c>
      <c r="G262" s="1">
        <f t="shared" si="261"/>
        <v>44.43529518</v>
      </c>
      <c r="H262" s="1">
        <f t="shared" si="261"/>
        <v>26.99455092</v>
      </c>
      <c r="I262" s="1">
        <f t="shared" si="261"/>
        <v>19.86722774</v>
      </c>
      <c r="J262" s="1">
        <f t="shared" si="261"/>
        <v>49.36143391</v>
      </c>
      <c r="K262" s="1">
        <f t="shared" si="261"/>
        <v>30.67265124</v>
      </c>
      <c r="L262" s="1">
        <f t="shared" si="261"/>
        <v>32.16091359</v>
      </c>
      <c r="M262" s="1">
        <f t="shared" si="261"/>
        <v>33.55537467</v>
      </c>
      <c r="N262" s="1">
        <f t="shared" si="261"/>
        <v>67.52014971</v>
      </c>
      <c r="O262" s="1">
        <f t="shared" si="261"/>
        <v>22.04915265</v>
      </c>
      <c r="P262" s="1">
        <f t="shared" si="261"/>
        <v>13.66894482</v>
      </c>
      <c r="Q262" s="1">
        <f t="shared" si="261"/>
        <v>28.41385139</v>
      </c>
      <c r="R262" s="1">
        <f t="shared" si="261"/>
        <v>19.95230008</v>
      </c>
      <c r="S262" s="1">
        <f t="shared" si="261"/>
        <v>42.10327501</v>
      </c>
      <c r="T262" s="1">
        <f t="shared" si="261"/>
        <v>31.95009922</v>
      </c>
      <c r="U262" s="1">
        <f t="shared" si="261"/>
        <v>20.57836428</v>
      </c>
    </row>
    <row r="263">
      <c r="A263" s="3">
        <f>IFERROR(__xludf.DUMMYFUNCTION("""COMPUTED_VALUE"""),44182.0)</f>
        <v>44182</v>
      </c>
      <c r="B263" s="1">
        <f t="shared" ref="B263:U263" si="262">IF($A263&gt;0,Megyeinapi!B263/'megyelakosság'!B$2*100000," ")</f>
        <v>34.04882322</v>
      </c>
      <c r="C263" s="1">
        <f t="shared" si="262"/>
        <v>42.60544849</v>
      </c>
      <c r="D263" s="1">
        <f t="shared" si="262"/>
        <v>24.20267319</v>
      </c>
      <c r="E263" s="1">
        <f t="shared" si="262"/>
        <v>27.31279746</v>
      </c>
      <c r="F263" s="1">
        <f t="shared" si="262"/>
        <v>20.11180334</v>
      </c>
      <c r="G263" s="1">
        <f t="shared" si="262"/>
        <v>32.13399877</v>
      </c>
      <c r="H263" s="1">
        <f t="shared" si="262"/>
        <v>23.88898312</v>
      </c>
      <c r="I263" s="1">
        <f t="shared" si="262"/>
        <v>25.57377188</v>
      </c>
      <c r="J263" s="1">
        <f t="shared" si="262"/>
        <v>54.67728064</v>
      </c>
      <c r="K263" s="1">
        <f t="shared" si="262"/>
        <v>33.39910913</v>
      </c>
      <c r="L263" s="1">
        <f t="shared" si="262"/>
        <v>42.51781796</v>
      </c>
      <c r="M263" s="1">
        <f t="shared" si="262"/>
        <v>30.23306035</v>
      </c>
      <c r="N263" s="1">
        <f t="shared" si="262"/>
        <v>62.73525721</v>
      </c>
      <c r="O263" s="1">
        <f t="shared" si="262"/>
        <v>20.35306398</v>
      </c>
      <c r="P263" s="1">
        <f t="shared" si="262"/>
        <v>27.67127855</v>
      </c>
      <c r="Q263" s="1">
        <f t="shared" si="262"/>
        <v>28.23171132</v>
      </c>
      <c r="R263" s="1">
        <f t="shared" si="262"/>
        <v>54.75282348</v>
      </c>
      <c r="S263" s="1">
        <f t="shared" si="262"/>
        <v>24.39629019</v>
      </c>
      <c r="T263" s="1">
        <f t="shared" si="262"/>
        <v>39.57122381</v>
      </c>
      <c r="U263" s="1">
        <f t="shared" si="262"/>
        <v>50.51053051</v>
      </c>
    </row>
    <row r="264">
      <c r="A264" s="3">
        <f>IFERROR(__xludf.DUMMYFUNCTION("""COMPUTED_VALUE"""),44183.0)</f>
        <v>44183</v>
      </c>
      <c r="B264" s="1">
        <f t="shared" ref="B264:U264" si="263">IF($A264&gt;0,Megyeinapi!B264/'megyelakosság'!B$2*100000," ")</f>
        <v>36.83644618</v>
      </c>
      <c r="C264" s="1">
        <f t="shared" si="263"/>
        <v>54.30106179</v>
      </c>
      <c r="D264" s="1">
        <f t="shared" si="263"/>
        <v>28.43814099</v>
      </c>
      <c r="E264" s="1">
        <f t="shared" si="263"/>
        <v>22.76066455</v>
      </c>
      <c r="F264" s="1">
        <f t="shared" si="263"/>
        <v>39.08089059</v>
      </c>
      <c r="G264" s="1">
        <f t="shared" si="263"/>
        <v>72.80359097</v>
      </c>
      <c r="H264" s="1">
        <f t="shared" si="263"/>
        <v>53.98910185</v>
      </c>
      <c r="I264" s="1">
        <f t="shared" si="263"/>
        <v>40.36851594</v>
      </c>
      <c r="J264" s="1">
        <f t="shared" si="263"/>
        <v>48.41217557</v>
      </c>
      <c r="K264" s="1">
        <f t="shared" si="263"/>
        <v>49.41704922</v>
      </c>
      <c r="L264" s="1">
        <f t="shared" si="263"/>
        <v>56.14532372</v>
      </c>
      <c r="M264" s="1">
        <f t="shared" si="263"/>
        <v>64.12066646</v>
      </c>
      <c r="N264" s="1">
        <f t="shared" si="263"/>
        <v>49.97554388</v>
      </c>
      <c r="O264" s="1">
        <f t="shared" si="263"/>
        <v>44.63796987</v>
      </c>
      <c r="P264" s="1">
        <f t="shared" si="263"/>
        <v>54.6757793</v>
      </c>
      <c r="Q264" s="1">
        <f t="shared" si="263"/>
        <v>37.88513518</v>
      </c>
      <c r="R264" s="1">
        <f t="shared" si="263"/>
        <v>81.20122127</v>
      </c>
      <c r="S264" s="1">
        <f t="shared" si="263"/>
        <v>40.13583225</v>
      </c>
      <c r="T264" s="1">
        <f t="shared" si="263"/>
        <v>47.19234839</v>
      </c>
      <c r="U264" s="1">
        <f t="shared" si="263"/>
        <v>50.88468259</v>
      </c>
    </row>
    <row r="265">
      <c r="A265" s="3">
        <f>IFERROR(__xludf.DUMMYFUNCTION("""COMPUTED_VALUE"""),44184.0)</f>
        <v>44184</v>
      </c>
      <c r="B265" s="1">
        <f t="shared" ref="B265:U265" si="264">IF($A265&gt;0,Megyeinapi!B265/'megyelakosság'!B$2*100000," ")</f>
        <v>52.16837243</v>
      </c>
      <c r="C265" s="1">
        <f t="shared" si="264"/>
        <v>40.93464658</v>
      </c>
      <c r="D265" s="1">
        <f t="shared" si="264"/>
        <v>75.6333537</v>
      </c>
      <c r="E265" s="1">
        <f t="shared" si="264"/>
        <v>35.94615298</v>
      </c>
      <c r="F265" s="1">
        <f t="shared" si="264"/>
        <v>23.88276647</v>
      </c>
      <c r="G265" s="1">
        <f t="shared" si="264"/>
        <v>93.6404808</v>
      </c>
      <c r="H265" s="1">
        <f t="shared" si="264"/>
        <v>39.65571198</v>
      </c>
      <c r="I265" s="1">
        <f t="shared" si="264"/>
        <v>28.3213672</v>
      </c>
      <c r="J265" s="1">
        <f t="shared" si="264"/>
        <v>44.42529052</v>
      </c>
      <c r="K265" s="1">
        <f t="shared" si="264"/>
        <v>42.6009045</v>
      </c>
      <c r="L265" s="1">
        <f t="shared" si="264"/>
        <v>34.06876439</v>
      </c>
      <c r="M265" s="1">
        <f t="shared" si="264"/>
        <v>40.86446619</v>
      </c>
      <c r="N265" s="1">
        <f t="shared" si="264"/>
        <v>81.87482721</v>
      </c>
      <c r="O265" s="1">
        <f t="shared" si="264"/>
        <v>34.92400752</v>
      </c>
      <c r="P265" s="1">
        <f t="shared" si="264"/>
        <v>77.01283547</v>
      </c>
      <c r="Q265" s="1">
        <f t="shared" si="264"/>
        <v>26.41031059</v>
      </c>
      <c r="R265" s="1">
        <f t="shared" si="264"/>
        <v>38.51257923</v>
      </c>
      <c r="S265" s="1">
        <f t="shared" si="264"/>
        <v>40.5293208</v>
      </c>
      <c r="T265" s="1">
        <f t="shared" si="264"/>
        <v>42.50242557</v>
      </c>
      <c r="U265" s="1">
        <f t="shared" si="264"/>
        <v>54.25205129</v>
      </c>
    </row>
    <row r="266">
      <c r="A266" s="3">
        <f>IFERROR(__xludf.DUMMYFUNCTION("""COMPUTED_VALUE"""),44185.0)</f>
        <v>44185</v>
      </c>
      <c r="B266" s="1">
        <f t="shared" ref="B266:U266" si="265">IF($A266&gt;0,Megyeinapi!B266/'megyelakosság'!B$2*100000," ")</f>
        <v>25.48683844</v>
      </c>
      <c r="C266" s="1">
        <f t="shared" si="265"/>
        <v>55.69339671</v>
      </c>
      <c r="D266" s="1">
        <f t="shared" si="265"/>
        <v>31.16094173</v>
      </c>
      <c r="E266" s="1">
        <f t="shared" si="265"/>
        <v>24.33036555</v>
      </c>
      <c r="F266" s="1">
        <f t="shared" si="265"/>
        <v>28.22508765</v>
      </c>
      <c r="G266" s="1">
        <f t="shared" si="265"/>
        <v>39.66540474</v>
      </c>
      <c r="H266" s="1">
        <f t="shared" si="265"/>
        <v>34.16124586</v>
      </c>
      <c r="I266" s="1">
        <f t="shared" si="265"/>
        <v>20.92399517</v>
      </c>
      <c r="J266" s="1">
        <f t="shared" si="265"/>
        <v>23.92131028</v>
      </c>
      <c r="K266" s="1">
        <f t="shared" si="265"/>
        <v>25.90134994</v>
      </c>
      <c r="L266" s="1">
        <f t="shared" si="265"/>
        <v>33.25111405</v>
      </c>
      <c r="M266" s="1">
        <f t="shared" si="265"/>
        <v>58.14050067</v>
      </c>
      <c r="N266" s="1">
        <f t="shared" si="265"/>
        <v>30.83597389</v>
      </c>
      <c r="O266" s="1">
        <f t="shared" si="265"/>
        <v>25.90389962</v>
      </c>
      <c r="P266" s="1">
        <f t="shared" si="265"/>
        <v>31.00516753</v>
      </c>
      <c r="Q266" s="1">
        <f t="shared" si="265"/>
        <v>22.40322898</v>
      </c>
      <c r="R266" s="1">
        <f t="shared" si="265"/>
        <v>34.8005234</v>
      </c>
      <c r="S266" s="1">
        <f t="shared" si="265"/>
        <v>31.47908412</v>
      </c>
      <c r="T266" s="1">
        <f t="shared" si="265"/>
        <v>36.64002204</v>
      </c>
      <c r="U266" s="1">
        <f t="shared" si="265"/>
        <v>36.66690363</v>
      </c>
    </row>
    <row r="267">
      <c r="A267" s="3">
        <f>IFERROR(__xludf.DUMMYFUNCTION("""COMPUTED_VALUE"""),44186.0)</f>
        <v>44186</v>
      </c>
      <c r="B267" s="1">
        <f t="shared" ref="B267:U267" si="266">IF($A267&gt;0,Megyeinapi!B267/'megyelakosság'!B$2*100000," ")</f>
        <v>31.4603162</v>
      </c>
      <c r="C267" s="1">
        <f t="shared" si="266"/>
        <v>29.79596724</v>
      </c>
      <c r="D267" s="1">
        <f t="shared" si="266"/>
        <v>20.26973879</v>
      </c>
      <c r="E267" s="1">
        <f t="shared" si="266"/>
        <v>9.732146221</v>
      </c>
      <c r="F267" s="1">
        <f t="shared" si="266"/>
        <v>16.39797602</v>
      </c>
      <c r="G267" s="1">
        <f t="shared" si="266"/>
        <v>33.64027997</v>
      </c>
      <c r="H267" s="1">
        <f t="shared" si="266"/>
        <v>21.97786447</v>
      </c>
      <c r="I267" s="1">
        <f t="shared" si="266"/>
        <v>11.41308828</v>
      </c>
      <c r="J267" s="1">
        <f t="shared" si="266"/>
        <v>27.14878865</v>
      </c>
      <c r="K267" s="1">
        <f t="shared" si="266"/>
        <v>24.87892823</v>
      </c>
      <c r="L267" s="1">
        <f t="shared" si="266"/>
        <v>24.52951036</v>
      </c>
      <c r="M267" s="1">
        <f t="shared" si="266"/>
        <v>19.26942308</v>
      </c>
      <c r="N267" s="1">
        <f t="shared" si="266"/>
        <v>23.9244625</v>
      </c>
      <c r="O267" s="1">
        <f t="shared" si="266"/>
        <v>22.20334253</v>
      </c>
      <c r="P267" s="1">
        <f t="shared" si="266"/>
        <v>47.34122354</v>
      </c>
      <c r="Q267" s="1">
        <f t="shared" si="266"/>
        <v>14.93548599</v>
      </c>
      <c r="R267" s="1">
        <f t="shared" si="266"/>
        <v>31.08846757</v>
      </c>
      <c r="S267" s="1">
        <f t="shared" si="266"/>
        <v>26.7572215</v>
      </c>
      <c r="T267" s="1">
        <f t="shared" si="266"/>
        <v>20.51841234</v>
      </c>
      <c r="U267" s="1">
        <f t="shared" si="266"/>
        <v>20.2042122</v>
      </c>
    </row>
    <row r="268">
      <c r="A268" s="3">
        <f>IFERROR(__xludf.DUMMYFUNCTION("""COMPUTED_VALUE"""),44187.0)</f>
        <v>44187</v>
      </c>
      <c r="B268" s="1">
        <f t="shared" ref="B268:U268" si="267">IF($A268&gt;0,Megyeinapi!B268/'megyelakosság'!B$2*100000," ")</f>
        <v>9.557564414</v>
      </c>
      <c r="C268" s="1">
        <f t="shared" si="267"/>
        <v>25.89742947</v>
      </c>
      <c r="D268" s="1">
        <f t="shared" si="267"/>
        <v>13.91653708</v>
      </c>
      <c r="E268" s="1">
        <f t="shared" si="267"/>
        <v>5.493953512</v>
      </c>
      <c r="F268" s="1">
        <f t="shared" si="267"/>
        <v>9.198864597</v>
      </c>
      <c r="G268" s="1">
        <f t="shared" si="267"/>
        <v>12.05024954</v>
      </c>
      <c r="H268" s="1">
        <f t="shared" si="267"/>
        <v>10.98893223</v>
      </c>
      <c r="I268" s="1">
        <f t="shared" si="267"/>
        <v>4.227069732</v>
      </c>
      <c r="J268" s="1">
        <f t="shared" si="267"/>
        <v>17.84605688</v>
      </c>
      <c r="K268" s="1">
        <f t="shared" si="267"/>
        <v>9.883409845</v>
      </c>
      <c r="L268" s="1">
        <f t="shared" si="267"/>
        <v>15.80790668</v>
      </c>
      <c r="M268" s="1">
        <f t="shared" si="267"/>
        <v>12.292563</v>
      </c>
      <c r="N268" s="1">
        <f t="shared" si="267"/>
        <v>6.379856666</v>
      </c>
      <c r="O268" s="1">
        <f t="shared" si="267"/>
        <v>10.71619657</v>
      </c>
      <c r="P268" s="1">
        <f t="shared" si="267"/>
        <v>20.67011169</v>
      </c>
      <c r="Q268" s="1">
        <f t="shared" si="267"/>
        <v>18.76042752</v>
      </c>
      <c r="R268" s="1">
        <f t="shared" si="267"/>
        <v>11.60017447</v>
      </c>
      <c r="S268" s="1">
        <f t="shared" si="267"/>
        <v>21.24838178</v>
      </c>
      <c r="T268" s="1">
        <f t="shared" si="267"/>
        <v>22.86337375</v>
      </c>
      <c r="U268" s="1">
        <f t="shared" si="267"/>
        <v>18.70760389</v>
      </c>
    </row>
    <row r="269">
      <c r="A269" s="3">
        <f>IFERROR(__xludf.DUMMYFUNCTION("""COMPUTED_VALUE"""),44188.0)</f>
        <v>44188</v>
      </c>
      <c r="B269" s="1">
        <f t="shared" ref="B269:U269" si="268">IF($A269&gt;0,Megyeinapi!B269/'megyelakosság'!B$2*100000," ")</f>
        <v>13.14165107</v>
      </c>
      <c r="C269" s="1">
        <f t="shared" si="268"/>
        <v>29.23903327</v>
      </c>
      <c r="D269" s="1">
        <f t="shared" si="268"/>
        <v>28.74067441</v>
      </c>
      <c r="E269" s="1">
        <f t="shared" si="268"/>
        <v>14.59821933</v>
      </c>
      <c r="F269" s="1">
        <f t="shared" si="268"/>
        <v>17.02646988</v>
      </c>
      <c r="G269" s="1">
        <f t="shared" si="268"/>
        <v>22.84526475</v>
      </c>
      <c r="H269" s="1">
        <f t="shared" si="268"/>
        <v>21.50008481</v>
      </c>
      <c r="I269" s="1">
        <f t="shared" si="268"/>
        <v>17.96504636</v>
      </c>
      <c r="J269" s="1">
        <f t="shared" si="268"/>
        <v>23.73145861</v>
      </c>
      <c r="K269" s="1">
        <f t="shared" si="268"/>
        <v>20.7892414</v>
      </c>
      <c r="L269" s="1">
        <f t="shared" si="268"/>
        <v>29.70796255</v>
      </c>
      <c r="M269" s="1">
        <f t="shared" si="268"/>
        <v>21.59504311</v>
      </c>
      <c r="N269" s="1">
        <f t="shared" si="268"/>
        <v>43.06403249</v>
      </c>
      <c r="O269" s="1">
        <f t="shared" si="268"/>
        <v>12.48938017</v>
      </c>
      <c r="P269" s="1">
        <f t="shared" si="268"/>
        <v>33.33888981</v>
      </c>
      <c r="Q269" s="1">
        <f t="shared" si="268"/>
        <v>13.66050548</v>
      </c>
      <c r="R269" s="1">
        <f t="shared" si="268"/>
        <v>16.24024425</v>
      </c>
      <c r="S269" s="1">
        <f t="shared" si="268"/>
        <v>16.52651916</v>
      </c>
      <c r="T269" s="1">
        <f t="shared" si="268"/>
        <v>24.62209481</v>
      </c>
      <c r="U269" s="1">
        <f t="shared" si="268"/>
        <v>11.97286649</v>
      </c>
    </row>
    <row r="270">
      <c r="A270" s="3">
        <f>IFERROR(__xludf.DUMMYFUNCTION("""COMPUTED_VALUE"""),44189.0)</f>
        <v>44189</v>
      </c>
      <c r="B270" s="1">
        <f t="shared" ref="B270:U270" si="269">IF($A270&gt;0,Megyeinapi!B270/'megyelakosság'!B$2*100000," ")</f>
        <v>41.21699654</v>
      </c>
      <c r="C270" s="1">
        <f t="shared" si="269"/>
        <v>55.69339671</v>
      </c>
      <c r="D270" s="1">
        <f t="shared" si="269"/>
        <v>42.05214466</v>
      </c>
      <c r="E270" s="1">
        <f t="shared" si="269"/>
        <v>19.15035224</v>
      </c>
      <c r="F270" s="1">
        <f t="shared" si="269"/>
        <v>24.62553193</v>
      </c>
      <c r="G270" s="1">
        <f t="shared" si="269"/>
        <v>49.70727935</v>
      </c>
      <c r="H270" s="1">
        <f t="shared" si="269"/>
        <v>34.40013569</v>
      </c>
      <c r="I270" s="1">
        <f t="shared" si="269"/>
        <v>43.75017172</v>
      </c>
      <c r="J270" s="1">
        <f t="shared" si="269"/>
        <v>46.32380721</v>
      </c>
      <c r="K270" s="1">
        <f t="shared" si="269"/>
        <v>32.37668742</v>
      </c>
      <c r="L270" s="1">
        <f t="shared" si="269"/>
        <v>35.15896485</v>
      </c>
      <c r="M270" s="1">
        <f t="shared" si="269"/>
        <v>33.88760611</v>
      </c>
      <c r="N270" s="1">
        <f t="shared" si="269"/>
        <v>39.34244944</v>
      </c>
      <c r="O270" s="1">
        <f t="shared" si="269"/>
        <v>25.51842492</v>
      </c>
      <c r="P270" s="1">
        <f t="shared" si="269"/>
        <v>60.67677946</v>
      </c>
      <c r="Q270" s="1">
        <f t="shared" si="269"/>
        <v>20.39968818</v>
      </c>
      <c r="R270" s="1">
        <f t="shared" si="269"/>
        <v>34.33651642</v>
      </c>
      <c r="S270" s="1">
        <f t="shared" si="269"/>
        <v>30.29861846</v>
      </c>
      <c r="T270" s="1">
        <f t="shared" si="269"/>
        <v>42.79554575</v>
      </c>
      <c r="U270" s="1">
        <f t="shared" si="269"/>
        <v>29.18386207</v>
      </c>
    </row>
    <row r="271">
      <c r="A271" s="3">
        <f>IFERROR(__xludf.DUMMYFUNCTION("""COMPUTED_VALUE"""),44190.0)</f>
        <v>44190</v>
      </c>
      <c r="B271" s="1">
        <f t="shared" ref="B271:U271" si="270">IF($A271&gt;0,Megyeinapi!B271/'megyelakosság'!B$2*100000," ")</f>
        <v>26.08418621</v>
      </c>
      <c r="C271" s="1">
        <f t="shared" si="270"/>
        <v>49.56712307</v>
      </c>
      <c r="D271" s="1">
        <f t="shared" si="270"/>
        <v>23.59760636</v>
      </c>
      <c r="E271" s="1">
        <f t="shared" si="270"/>
        <v>21.34793365</v>
      </c>
      <c r="F271" s="1">
        <f t="shared" si="270"/>
        <v>24.96834676</v>
      </c>
      <c r="G271" s="1">
        <f t="shared" si="270"/>
        <v>26.8620146</v>
      </c>
      <c r="H271" s="1">
        <f t="shared" si="270"/>
        <v>24.60565261</v>
      </c>
      <c r="I271" s="1">
        <f t="shared" si="270"/>
        <v>26.8418928</v>
      </c>
      <c r="J271" s="1">
        <f t="shared" si="270"/>
        <v>37.59063044</v>
      </c>
      <c r="K271" s="1">
        <f t="shared" si="270"/>
        <v>14.99551838</v>
      </c>
      <c r="L271" s="1">
        <f t="shared" si="270"/>
        <v>34.06876439</v>
      </c>
      <c r="M271" s="1">
        <f t="shared" si="270"/>
        <v>18.93719165</v>
      </c>
      <c r="N271" s="1">
        <f t="shared" si="270"/>
        <v>31.89928333</v>
      </c>
      <c r="O271" s="1">
        <f t="shared" si="270"/>
        <v>20.73853868</v>
      </c>
      <c r="P271" s="1">
        <f t="shared" si="270"/>
        <v>39.67327888</v>
      </c>
      <c r="Q271" s="1">
        <f t="shared" si="270"/>
        <v>21.85680876</v>
      </c>
      <c r="R271" s="1">
        <f t="shared" si="270"/>
        <v>22.73634195</v>
      </c>
      <c r="S271" s="1">
        <f t="shared" si="270"/>
        <v>25.9702444</v>
      </c>
      <c r="T271" s="1">
        <f t="shared" si="270"/>
        <v>37.51938257</v>
      </c>
      <c r="U271" s="1">
        <f t="shared" si="270"/>
        <v>29.18386207</v>
      </c>
    </row>
    <row r="272">
      <c r="A272" s="3">
        <f>IFERROR(__xludf.DUMMYFUNCTION("""COMPUTED_VALUE"""),44191.0)</f>
        <v>44191</v>
      </c>
      <c r="B272" s="1">
        <f t="shared" ref="B272:U272" si="271">IF($A272&gt;0,Megyeinapi!B272/'megyelakosság'!B$2*100000," ")</f>
        <v>22.50009956</v>
      </c>
      <c r="C272" s="1">
        <f t="shared" si="271"/>
        <v>27.84669836</v>
      </c>
      <c r="D272" s="1">
        <f t="shared" si="271"/>
        <v>16.03427099</v>
      </c>
      <c r="E272" s="1">
        <f t="shared" si="271"/>
        <v>2.354551505</v>
      </c>
      <c r="F272" s="1">
        <f t="shared" si="271"/>
        <v>10.85580294</v>
      </c>
      <c r="G272" s="1">
        <f t="shared" si="271"/>
        <v>16.82013998</v>
      </c>
      <c r="H272" s="1">
        <f t="shared" si="271"/>
        <v>6.688915273</v>
      </c>
      <c r="I272" s="1">
        <f t="shared" si="271"/>
        <v>8.031432491</v>
      </c>
      <c r="J272" s="1">
        <f t="shared" si="271"/>
        <v>16.89679853</v>
      </c>
      <c r="K272" s="1">
        <f t="shared" si="271"/>
        <v>19.76681969</v>
      </c>
      <c r="L272" s="1">
        <f t="shared" si="271"/>
        <v>21.80400921</v>
      </c>
      <c r="M272" s="1">
        <f t="shared" si="271"/>
        <v>13.62148873</v>
      </c>
      <c r="N272" s="1">
        <f t="shared" si="271"/>
        <v>1.063309444</v>
      </c>
      <c r="O272" s="1">
        <f t="shared" si="271"/>
        <v>10.25362693</v>
      </c>
      <c r="P272" s="1">
        <f t="shared" si="271"/>
        <v>17.6696116</v>
      </c>
      <c r="Q272" s="1">
        <f t="shared" si="271"/>
        <v>14.75334591</v>
      </c>
      <c r="R272" s="1">
        <f t="shared" si="271"/>
        <v>6.96010468</v>
      </c>
      <c r="S272" s="1">
        <f t="shared" si="271"/>
        <v>1.967442757</v>
      </c>
      <c r="T272" s="1">
        <f t="shared" si="271"/>
        <v>5.56928335</v>
      </c>
      <c r="U272" s="1">
        <f t="shared" si="271"/>
        <v>6.734737401</v>
      </c>
    </row>
    <row r="273">
      <c r="A273" s="3">
        <f>IFERROR(__xludf.DUMMYFUNCTION("""COMPUTED_VALUE"""),44192.0)</f>
        <v>44192</v>
      </c>
      <c r="B273" s="1">
        <f t="shared" ref="B273:U273" si="272">IF($A273&gt;0,Megyeinapi!B273/'megyelakosság'!B$2*100000," ")</f>
        <v>9.955796265</v>
      </c>
      <c r="C273" s="1">
        <f t="shared" si="272"/>
        <v>11.13867934</v>
      </c>
      <c r="D273" s="1">
        <f t="shared" si="272"/>
        <v>10.2861361</v>
      </c>
      <c r="E273" s="1">
        <f t="shared" si="272"/>
        <v>8.790325619</v>
      </c>
      <c r="F273" s="1">
        <f t="shared" si="272"/>
        <v>3.542419907</v>
      </c>
      <c r="G273" s="1">
        <f t="shared" si="272"/>
        <v>15.81595252</v>
      </c>
      <c r="H273" s="1">
        <f t="shared" si="272"/>
        <v>7.405584766</v>
      </c>
      <c r="I273" s="1">
        <f t="shared" si="272"/>
        <v>5.072483678</v>
      </c>
      <c r="J273" s="1">
        <f t="shared" si="272"/>
        <v>9.872286782</v>
      </c>
      <c r="K273" s="1">
        <f t="shared" si="272"/>
        <v>2.726457888</v>
      </c>
      <c r="L273" s="1">
        <f t="shared" si="272"/>
        <v>7.631403224</v>
      </c>
      <c r="M273" s="1">
        <f t="shared" si="272"/>
        <v>3.322314324</v>
      </c>
      <c r="N273" s="1">
        <f t="shared" si="272"/>
        <v>0.5316547222</v>
      </c>
      <c r="O273" s="1">
        <f t="shared" si="272"/>
        <v>3.854746967</v>
      </c>
      <c r="P273" s="1">
        <f t="shared" si="272"/>
        <v>4.667444574</v>
      </c>
      <c r="Q273" s="1">
        <f t="shared" si="272"/>
        <v>9.289143723</v>
      </c>
      <c r="R273" s="1">
        <f t="shared" si="272"/>
        <v>4.640069787</v>
      </c>
      <c r="S273" s="1">
        <f t="shared" si="272"/>
        <v>15.73954206</v>
      </c>
      <c r="T273" s="1">
        <f t="shared" si="272"/>
        <v>9.086725467</v>
      </c>
      <c r="U273" s="1">
        <f t="shared" si="272"/>
        <v>16.08853935</v>
      </c>
    </row>
    <row r="274">
      <c r="A274" s="3">
        <f>IFERROR(__xludf.DUMMYFUNCTION("""COMPUTED_VALUE"""),44193.0)</f>
        <v>44193</v>
      </c>
      <c r="B274" s="1">
        <f t="shared" ref="B274:U274" si="273">IF($A274&gt;0,Megyeinapi!B274/'megyelakosság'!B$2*100000," ")</f>
        <v>6.570825535</v>
      </c>
      <c r="C274" s="1">
        <f t="shared" si="273"/>
        <v>10.02481141</v>
      </c>
      <c r="D274" s="1">
        <f t="shared" si="273"/>
        <v>2.117733904</v>
      </c>
      <c r="E274" s="1">
        <f t="shared" si="273"/>
        <v>3.767282408</v>
      </c>
      <c r="F274" s="1">
        <f t="shared" si="273"/>
        <v>6.284938545</v>
      </c>
      <c r="G274" s="1">
        <f t="shared" si="273"/>
        <v>9.790827752</v>
      </c>
      <c r="H274" s="1">
        <f t="shared" si="273"/>
        <v>4.06112713</v>
      </c>
      <c r="I274" s="1">
        <f t="shared" si="273"/>
        <v>1.056767433</v>
      </c>
      <c r="J274" s="1">
        <f t="shared" si="273"/>
        <v>4.936143391</v>
      </c>
      <c r="K274" s="1">
        <f t="shared" si="273"/>
        <v>3.748879596</v>
      </c>
      <c r="L274" s="1">
        <f t="shared" si="273"/>
        <v>17.71575748</v>
      </c>
      <c r="M274" s="1">
        <f t="shared" si="273"/>
        <v>1.993388594</v>
      </c>
      <c r="N274" s="1">
        <f t="shared" si="273"/>
        <v>12.75971333</v>
      </c>
      <c r="O274" s="1">
        <f t="shared" si="273"/>
        <v>4.548601421</v>
      </c>
      <c r="P274" s="1">
        <f t="shared" si="273"/>
        <v>9.334889148</v>
      </c>
      <c r="Q274" s="1">
        <f t="shared" si="273"/>
        <v>4.371361752</v>
      </c>
      <c r="R274" s="1">
        <f t="shared" si="273"/>
        <v>22.27233498</v>
      </c>
      <c r="S274" s="1">
        <f t="shared" si="273"/>
        <v>3.147908412</v>
      </c>
      <c r="T274" s="1">
        <f t="shared" si="273"/>
        <v>8.207364938</v>
      </c>
      <c r="U274" s="1">
        <f t="shared" si="273"/>
        <v>4.115672856</v>
      </c>
    </row>
    <row r="275">
      <c r="A275" s="3">
        <f>IFERROR(__xludf.DUMMYFUNCTION("""COMPUTED_VALUE"""),44194.0)</f>
        <v>44194</v>
      </c>
      <c r="B275" s="1">
        <f t="shared" ref="B275:U275" si="274">IF($A275&gt;0,Megyeinapi!B275/'megyelakosság'!B$2*100000," ")</f>
        <v>7.566405161</v>
      </c>
      <c r="C275" s="1">
        <f t="shared" si="274"/>
        <v>19.21422187</v>
      </c>
      <c r="D275" s="1">
        <f t="shared" si="274"/>
        <v>9.378535859</v>
      </c>
      <c r="E275" s="1">
        <f t="shared" si="274"/>
        <v>7.220624615</v>
      </c>
      <c r="F275" s="1">
        <f t="shared" si="274"/>
        <v>6.684889179</v>
      </c>
      <c r="G275" s="1">
        <f t="shared" si="274"/>
        <v>17.57328058</v>
      </c>
      <c r="H275" s="1">
        <f t="shared" si="274"/>
        <v>10.7500424</v>
      </c>
      <c r="I275" s="1">
        <f t="shared" si="274"/>
        <v>7.397372031</v>
      </c>
      <c r="J275" s="1">
        <f t="shared" si="274"/>
        <v>12.72006182</v>
      </c>
      <c r="K275" s="1">
        <f t="shared" si="274"/>
        <v>10.22421708</v>
      </c>
      <c r="L275" s="1">
        <f t="shared" si="274"/>
        <v>10.90200461</v>
      </c>
      <c r="M275" s="1">
        <f t="shared" si="274"/>
        <v>8.970248675</v>
      </c>
      <c r="N275" s="1">
        <f t="shared" si="274"/>
        <v>5.316547222</v>
      </c>
      <c r="O275" s="1">
        <f t="shared" si="274"/>
        <v>5.088265996</v>
      </c>
      <c r="P275" s="1">
        <f t="shared" si="274"/>
        <v>17.3362227</v>
      </c>
      <c r="Q275" s="1">
        <f t="shared" si="274"/>
        <v>11.29268453</v>
      </c>
      <c r="R275" s="1">
        <f t="shared" si="274"/>
        <v>14.84822332</v>
      </c>
      <c r="S275" s="1">
        <f t="shared" si="274"/>
        <v>5.115351169</v>
      </c>
      <c r="T275" s="1">
        <f t="shared" si="274"/>
        <v>7.621124585</v>
      </c>
      <c r="U275" s="1">
        <f t="shared" si="274"/>
        <v>9.727954024</v>
      </c>
    </row>
    <row r="276">
      <c r="A276" s="3">
        <f>IFERROR(__xludf.DUMMYFUNCTION("""COMPUTED_VALUE"""),44195.0)</f>
        <v>44195</v>
      </c>
      <c r="B276" s="1">
        <f t="shared" ref="B276:U276" si="275">IF($A276&gt;0,Megyeinapi!B276/'megyelakosság'!B$2*100000," ")</f>
        <v>13.73899885</v>
      </c>
      <c r="C276" s="1">
        <f t="shared" si="275"/>
        <v>31.74523613</v>
      </c>
      <c r="D276" s="1">
        <f t="shared" si="275"/>
        <v>15.73173757</v>
      </c>
      <c r="E276" s="1">
        <f t="shared" si="275"/>
        <v>7.377594716</v>
      </c>
      <c r="F276" s="1">
        <f t="shared" si="275"/>
        <v>20.797433</v>
      </c>
      <c r="G276" s="1">
        <f t="shared" si="275"/>
        <v>21.33898356</v>
      </c>
      <c r="H276" s="1">
        <f t="shared" si="275"/>
        <v>24.84454244</v>
      </c>
      <c r="I276" s="1">
        <f t="shared" si="275"/>
        <v>17.96504636</v>
      </c>
      <c r="J276" s="1">
        <f t="shared" si="275"/>
        <v>32.65448705</v>
      </c>
      <c r="K276" s="1">
        <f t="shared" si="275"/>
        <v>22.15247034</v>
      </c>
      <c r="L276" s="1">
        <f t="shared" si="275"/>
        <v>24.25696025</v>
      </c>
      <c r="M276" s="1">
        <f t="shared" si="275"/>
        <v>19.93388594</v>
      </c>
      <c r="N276" s="1">
        <f t="shared" si="275"/>
        <v>31.89928333</v>
      </c>
      <c r="O276" s="1">
        <f t="shared" si="275"/>
        <v>17.11507653</v>
      </c>
      <c r="P276" s="1">
        <f t="shared" si="275"/>
        <v>29.67161194</v>
      </c>
      <c r="Q276" s="1">
        <f t="shared" si="275"/>
        <v>10.56412423</v>
      </c>
      <c r="R276" s="1">
        <f t="shared" si="275"/>
        <v>15.77623727</v>
      </c>
      <c r="S276" s="1">
        <f t="shared" si="275"/>
        <v>26.36373295</v>
      </c>
      <c r="T276" s="1">
        <f t="shared" si="275"/>
        <v>21.39777287</v>
      </c>
      <c r="U276" s="1">
        <f t="shared" si="275"/>
        <v>23.5715809</v>
      </c>
    </row>
    <row r="277">
      <c r="A277" s="3">
        <f>IFERROR(__xludf.DUMMYFUNCTION("""COMPUTED_VALUE"""),44196.0)</f>
        <v>44196</v>
      </c>
      <c r="B277" s="1">
        <f t="shared" ref="B277:U277" si="276">IF($A277&gt;0,Megyeinapi!B277/'megyelakosság'!B$2*100000," ")</f>
        <v>33.8497073</v>
      </c>
      <c r="C277" s="1">
        <f t="shared" si="276"/>
        <v>53.74412783</v>
      </c>
      <c r="D277" s="1">
        <f t="shared" si="276"/>
        <v>25.11027343</v>
      </c>
      <c r="E277" s="1">
        <f t="shared" si="276"/>
        <v>21.03399344</v>
      </c>
      <c r="F277" s="1">
        <f t="shared" si="276"/>
        <v>19.82612432</v>
      </c>
      <c r="G277" s="1">
        <f t="shared" si="276"/>
        <v>48.95413876</v>
      </c>
      <c r="H277" s="1">
        <f t="shared" si="276"/>
        <v>32.48901704</v>
      </c>
      <c r="I277" s="1">
        <f t="shared" si="276"/>
        <v>26.20783234</v>
      </c>
      <c r="J277" s="1">
        <f t="shared" si="276"/>
        <v>42.90647717</v>
      </c>
      <c r="K277" s="1">
        <f t="shared" si="276"/>
        <v>27.26457888</v>
      </c>
      <c r="L277" s="1">
        <f t="shared" si="276"/>
        <v>38.70211635</v>
      </c>
      <c r="M277" s="1">
        <f t="shared" si="276"/>
        <v>29.90082892</v>
      </c>
      <c r="N277" s="1">
        <f t="shared" si="276"/>
        <v>60.60863833</v>
      </c>
      <c r="O277" s="1">
        <f t="shared" si="276"/>
        <v>22.35753241</v>
      </c>
      <c r="P277" s="1">
        <f t="shared" si="276"/>
        <v>40.67344557</v>
      </c>
      <c r="Q277" s="1">
        <f t="shared" si="276"/>
        <v>19.67112788</v>
      </c>
      <c r="R277" s="1">
        <f t="shared" si="276"/>
        <v>40.83261412</v>
      </c>
      <c r="S277" s="1">
        <f t="shared" si="276"/>
        <v>30.69210701</v>
      </c>
      <c r="T277" s="1">
        <f t="shared" si="276"/>
        <v>47.19234839</v>
      </c>
      <c r="U277" s="1">
        <f t="shared" si="276"/>
        <v>33.67368701</v>
      </c>
    </row>
    <row r="278">
      <c r="A278" s="3">
        <f>IFERROR(__xludf.DUMMYFUNCTION("""COMPUTED_VALUE"""),44197.0)</f>
        <v>44197</v>
      </c>
      <c r="B278" s="1">
        <f t="shared" ref="B278:U278" si="277">IF($A278&gt;0,Megyeinapi!B278/'megyelakosság'!B$2*100000," ")</f>
        <v>38.62848951</v>
      </c>
      <c r="C278" s="1">
        <f t="shared" si="277"/>
        <v>50.68099101</v>
      </c>
      <c r="D278" s="1">
        <f t="shared" si="277"/>
        <v>29.64827465</v>
      </c>
      <c r="E278" s="1">
        <f t="shared" si="277"/>
        <v>24.17339545</v>
      </c>
      <c r="F278" s="1">
        <f t="shared" si="277"/>
        <v>18.74054402</v>
      </c>
      <c r="G278" s="1">
        <f t="shared" si="277"/>
        <v>39.9164516</v>
      </c>
      <c r="H278" s="1">
        <f t="shared" si="277"/>
        <v>37.98348316</v>
      </c>
      <c r="I278" s="1">
        <f t="shared" si="277"/>
        <v>17.75369287</v>
      </c>
      <c r="J278" s="1">
        <f t="shared" si="277"/>
        <v>30.75597036</v>
      </c>
      <c r="K278" s="1">
        <f t="shared" si="277"/>
        <v>28.28700059</v>
      </c>
      <c r="L278" s="1">
        <f t="shared" si="277"/>
        <v>24.80206048</v>
      </c>
      <c r="M278" s="1">
        <f t="shared" si="277"/>
        <v>27.24297746</v>
      </c>
      <c r="N278" s="1">
        <f t="shared" si="277"/>
        <v>29.24100972</v>
      </c>
      <c r="O278" s="1">
        <f t="shared" si="277"/>
        <v>18.96535508</v>
      </c>
      <c r="P278" s="1">
        <f t="shared" si="277"/>
        <v>41.00683447</v>
      </c>
      <c r="Q278" s="1">
        <f t="shared" si="277"/>
        <v>19.48898781</v>
      </c>
      <c r="R278" s="1">
        <f t="shared" si="277"/>
        <v>50.57676067</v>
      </c>
      <c r="S278" s="1">
        <f t="shared" si="277"/>
        <v>26.7572215</v>
      </c>
      <c r="T278" s="1">
        <f t="shared" si="277"/>
        <v>44.84738698</v>
      </c>
      <c r="U278" s="1">
        <f t="shared" si="277"/>
        <v>47.51731389</v>
      </c>
    </row>
    <row r="279">
      <c r="A279" s="3">
        <f>IFERROR(__xludf.DUMMYFUNCTION("""COMPUTED_VALUE"""),44198.0)</f>
        <v>44198</v>
      </c>
      <c r="B279" s="1">
        <f t="shared" ref="B279:U279" si="278">IF($A279&gt;0,Megyeinapi!B279/'megyelakosság'!B$2*100000," ")</f>
        <v>18.71689698</v>
      </c>
      <c r="C279" s="1">
        <f t="shared" si="278"/>
        <v>17.82188695</v>
      </c>
      <c r="D279" s="1">
        <f t="shared" si="278"/>
        <v>23.29507294</v>
      </c>
      <c r="E279" s="1">
        <f t="shared" si="278"/>
        <v>6.435774114</v>
      </c>
      <c r="F279" s="1">
        <f t="shared" si="278"/>
        <v>12.45560548</v>
      </c>
      <c r="G279" s="1">
        <f t="shared" si="278"/>
        <v>13.054437</v>
      </c>
      <c r="H279" s="1">
        <f t="shared" si="278"/>
        <v>19.11118649</v>
      </c>
      <c r="I279" s="1">
        <f t="shared" si="278"/>
        <v>12.04714874</v>
      </c>
      <c r="J279" s="1">
        <f t="shared" si="278"/>
        <v>18.03590854</v>
      </c>
      <c r="K279" s="1">
        <f t="shared" si="278"/>
        <v>14.99551838</v>
      </c>
      <c r="L279" s="1">
        <f t="shared" si="278"/>
        <v>21.5314591</v>
      </c>
      <c r="M279" s="1">
        <f t="shared" si="278"/>
        <v>4.319008621</v>
      </c>
      <c r="N279" s="1">
        <f t="shared" si="278"/>
        <v>14.88633222</v>
      </c>
      <c r="O279" s="1">
        <f t="shared" si="278"/>
        <v>13.87708908</v>
      </c>
      <c r="P279" s="1">
        <f t="shared" si="278"/>
        <v>28.33805634</v>
      </c>
      <c r="Q279" s="1">
        <f t="shared" si="278"/>
        <v>16.02832642</v>
      </c>
      <c r="R279" s="1">
        <f t="shared" si="278"/>
        <v>4.640069787</v>
      </c>
      <c r="S279" s="1">
        <f t="shared" si="278"/>
        <v>11.80465654</v>
      </c>
      <c r="T279" s="1">
        <f t="shared" si="278"/>
        <v>13.19040794</v>
      </c>
      <c r="U279" s="1">
        <f t="shared" si="278"/>
        <v>11.22456234</v>
      </c>
    </row>
    <row r="280">
      <c r="A280" s="3">
        <f>IFERROR(__xludf.DUMMYFUNCTION("""COMPUTED_VALUE"""),44199.0)</f>
        <v>44199</v>
      </c>
      <c r="B280" s="1">
        <f t="shared" ref="B280:U280" si="279">IF($A280&gt;0,Megyeinapi!B280/'megyelakosság'!B$2*100000," ")</f>
        <v>17.72131735</v>
      </c>
      <c r="C280" s="1">
        <f t="shared" si="279"/>
        <v>21.16349075</v>
      </c>
      <c r="D280" s="1">
        <f t="shared" si="279"/>
        <v>12.70640342</v>
      </c>
      <c r="E280" s="1">
        <f t="shared" si="279"/>
        <v>13.34245853</v>
      </c>
      <c r="F280" s="1">
        <f t="shared" si="279"/>
        <v>7.141975619</v>
      </c>
      <c r="G280" s="1">
        <f t="shared" si="279"/>
        <v>15.56490566</v>
      </c>
      <c r="H280" s="1">
        <f t="shared" si="279"/>
        <v>17.67784751</v>
      </c>
      <c r="I280" s="1">
        <f t="shared" si="279"/>
        <v>14.37203709</v>
      </c>
      <c r="J280" s="1">
        <f t="shared" si="279"/>
        <v>9.302731776</v>
      </c>
      <c r="K280" s="1">
        <f t="shared" si="279"/>
        <v>9.883409845</v>
      </c>
      <c r="L280" s="1">
        <f t="shared" si="279"/>
        <v>17.17065725</v>
      </c>
      <c r="M280" s="1">
        <f t="shared" si="279"/>
        <v>16.27934019</v>
      </c>
      <c r="N280" s="1">
        <f t="shared" si="279"/>
        <v>1.594964166</v>
      </c>
      <c r="O280" s="1">
        <f t="shared" si="279"/>
        <v>14.57094353</v>
      </c>
      <c r="P280" s="1">
        <f t="shared" si="279"/>
        <v>13.66894482</v>
      </c>
      <c r="Q280" s="1">
        <f t="shared" si="279"/>
        <v>12.38552496</v>
      </c>
      <c r="R280" s="1">
        <f t="shared" si="279"/>
        <v>41.76062808</v>
      </c>
      <c r="S280" s="1">
        <f t="shared" si="279"/>
        <v>1.967442757</v>
      </c>
      <c r="T280" s="1">
        <f t="shared" si="279"/>
        <v>6.741764056</v>
      </c>
      <c r="U280" s="1">
        <f t="shared" si="279"/>
        <v>28.80970999</v>
      </c>
    </row>
    <row r="281">
      <c r="A281" s="3">
        <f>IFERROR(__xludf.DUMMYFUNCTION("""COMPUTED_VALUE"""),44200.0)</f>
        <v>44200</v>
      </c>
      <c r="B281" s="1">
        <f t="shared" ref="B281:U281" si="280">IF($A281&gt;0,Megyeinapi!B281/'megyelakosság'!B$2*100000," ")</f>
        <v>6.570825535</v>
      </c>
      <c r="C281" s="1">
        <f t="shared" si="280"/>
        <v>12.53101426</v>
      </c>
      <c r="D281" s="1">
        <f t="shared" si="280"/>
        <v>8.470935615</v>
      </c>
      <c r="E281" s="1">
        <f t="shared" si="280"/>
        <v>6.906684415</v>
      </c>
      <c r="F281" s="1">
        <f t="shared" si="280"/>
        <v>8.913185573</v>
      </c>
      <c r="G281" s="1">
        <f t="shared" si="280"/>
        <v>13.55653073</v>
      </c>
      <c r="H281" s="1">
        <f t="shared" si="280"/>
        <v>15.76672886</v>
      </c>
      <c r="I281" s="1">
        <f t="shared" si="280"/>
        <v>2.324888353</v>
      </c>
      <c r="J281" s="1">
        <f t="shared" si="280"/>
        <v>9.682435113</v>
      </c>
      <c r="K281" s="1">
        <f t="shared" si="280"/>
        <v>7.497759192</v>
      </c>
      <c r="L281" s="1">
        <f t="shared" si="280"/>
        <v>3.815701612</v>
      </c>
      <c r="M281" s="1">
        <f t="shared" si="280"/>
        <v>7.641322946</v>
      </c>
      <c r="N281" s="1">
        <f t="shared" si="280"/>
        <v>1.594964166</v>
      </c>
      <c r="O281" s="1">
        <f t="shared" si="280"/>
        <v>11.02457632</v>
      </c>
      <c r="P281" s="1">
        <f t="shared" si="280"/>
        <v>9.334889148</v>
      </c>
      <c r="Q281" s="1">
        <f t="shared" si="280"/>
        <v>8.560583431</v>
      </c>
      <c r="R281" s="1">
        <f t="shared" si="280"/>
        <v>8.352125616</v>
      </c>
      <c r="S281" s="1">
        <f t="shared" si="280"/>
        <v>16.92000771</v>
      </c>
      <c r="T281" s="1">
        <f t="shared" si="280"/>
        <v>2.638081587</v>
      </c>
      <c r="U281" s="1">
        <f t="shared" si="280"/>
        <v>6.734737401</v>
      </c>
    </row>
    <row r="282">
      <c r="A282" s="3">
        <f>IFERROR(__xludf.DUMMYFUNCTION("""COMPUTED_VALUE"""),44201.0)</f>
        <v>44201</v>
      </c>
      <c r="B282" s="1">
        <f t="shared" ref="B282:U282" si="281">IF($A282&gt;0,Megyeinapi!B282/'megyelakosság'!B$2*100000," ")</f>
        <v>7.964637012</v>
      </c>
      <c r="C282" s="1">
        <f t="shared" si="281"/>
        <v>20.04962282</v>
      </c>
      <c r="D282" s="1">
        <f t="shared" si="281"/>
        <v>9.983602689</v>
      </c>
      <c r="E282" s="1">
        <f t="shared" si="281"/>
        <v>4.86607311</v>
      </c>
      <c r="F282" s="1">
        <f t="shared" si="281"/>
        <v>6.627753374</v>
      </c>
      <c r="G282" s="1">
        <f t="shared" si="281"/>
        <v>13.054437</v>
      </c>
      <c r="H282" s="1">
        <f t="shared" si="281"/>
        <v>12.18338139</v>
      </c>
      <c r="I282" s="1">
        <f t="shared" si="281"/>
        <v>5.072483678</v>
      </c>
      <c r="J282" s="1">
        <f t="shared" si="281"/>
        <v>10.25199012</v>
      </c>
      <c r="K282" s="1">
        <f t="shared" si="281"/>
        <v>9.542602609</v>
      </c>
      <c r="L282" s="1">
        <f t="shared" si="281"/>
        <v>7.903953339</v>
      </c>
      <c r="M282" s="1">
        <f t="shared" si="281"/>
        <v>7.641322946</v>
      </c>
      <c r="N282" s="1">
        <f t="shared" si="281"/>
        <v>5.848201944</v>
      </c>
      <c r="O282" s="1">
        <f t="shared" si="281"/>
        <v>6.090500207</v>
      </c>
      <c r="P282" s="1">
        <f t="shared" si="281"/>
        <v>15.00250042</v>
      </c>
      <c r="Q282" s="1">
        <f t="shared" si="281"/>
        <v>13.11408526</v>
      </c>
      <c r="R282" s="1">
        <f t="shared" si="281"/>
        <v>22.27233498</v>
      </c>
      <c r="S282" s="1">
        <f t="shared" si="281"/>
        <v>5.50883972</v>
      </c>
      <c r="T282" s="1">
        <f t="shared" si="281"/>
        <v>4.689922821</v>
      </c>
      <c r="U282" s="1">
        <f t="shared" si="281"/>
        <v>11.97286649</v>
      </c>
    </row>
    <row r="283">
      <c r="A283" s="3">
        <f>IFERROR(__xludf.DUMMYFUNCTION("""COMPUTED_VALUE"""),44202.0)</f>
        <v>44202</v>
      </c>
      <c r="B283" s="1">
        <f t="shared" ref="B283:U283" si="282">IF($A283&gt;0,Megyeinapi!B283/'megyelakosság'!B$2*100000," ")</f>
        <v>17.52220143</v>
      </c>
      <c r="C283" s="1">
        <f t="shared" si="282"/>
        <v>36.20070786</v>
      </c>
      <c r="D283" s="1">
        <f t="shared" si="282"/>
        <v>25.71534026</v>
      </c>
      <c r="E283" s="1">
        <f t="shared" si="282"/>
        <v>13.65639873</v>
      </c>
      <c r="F283" s="1">
        <f t="shared" si="282"/>
        <v>16.79792666</v>
      </c>
      <c r="G283" s="1">
        <f t="shared" si="282"/>
        <v>23.84945222</v>
      </c>
      <c r="H283" s="1">
        <f t="shared" si="282"/>
        <v>31.05567805</v>
      </c>
      <c r="I283" s="1">
        <f t="shared" si="282"/>
        <v>22.19211609</v>
      </c>
      <c r="J283" s="1">
        <f t="shared" si="282"/>
        <v>20.31412857</v>
      </c>
      <c r="K283" s="1">
        <f t="shared" si="282"/>
        <v>16.69955456</v>
      </c>
      <c r="L283" s="1">
        <f t="shared" si="282"/>
        <v>19.35105818</v>
      </c>
      <c r="M283" s="1">
        <f t="shared" si="282"/>
        <v>23.5884317</v>
      </c>
      <c r="N283" s="1">
        <f t="shared" si="282"/>
        <v>37.21583055</v>
      </c>
      <c r="O283" s="1">
        <f t="shared" si="282"/>
        <v>16.42122208</v>
      </c>
      <c r="P283" s="1">
        <f t="shared" si="282"/>
        <v>49.67494582</v>
      </c>
      <c r="Q283" s="1">
        <f t="shared" si="282"/>
        <v>11.29268453</v>
      </c>
      <c r="R283" s="1">
        <f t="shared" si="282"/>
        <v>30.16045361</v>
      </c>
      <c r="S283" s="1">
        <f t="shared" si="282"/>
        <v>23.60931309</v>
      </c>
      <c r="T283" s="1">
        <f t="shared" si="282"/>
        <v>22.86337375</v>
      </c>
      <c r="U283" s="1">
        <f t="shared" si="282"/>
        <v>14.21777896</v>
      </c>
    </row>
    <row r="284">
      <c r="A284" s="3">
        <f>IFERROR(__xludf.DUMMYFUNCTION("""COMPUTED_VALUE"""),44203.0)</f>
        <v>44203</v>
      </c>
      <c r="B284" s="1">
        <f t="shared" ref="B284:U284" si="283">IF($A284&gt;0,Megyeinapi!B284/'megyelakosság'!B$2*100000," ")</f>
        <v>33.0532436</v>
      </c>
      <c r="C284" s="1">
        <f t="shared" si="283"/>
        <v>34.52990596</v>
      </c>
      <c r="D284" s="1">
        <f t="shared" si="283"/>
        <v>36.90907661</v>
      </c>
      <c r="E284" s="1">
        <f t="shared" si="283"/>
        <v>18.05156154</v>
      </c>
      <c r="F284" s="1">
        <f t="shared" si="283"/>
        <v>25.65397642</v>
      </c>
      <c r="G284" s="1">
        <f t="shared" si="283"/>
        <v>28.61934266</v>
      </c>
      <c r="H284" s="1">
        <f t="shared" si="283"/>
        <v>42.28350012</v>
      </c>
      <c r="I284" s="1">
        <f t="shared" si="283"/>
        <v>30.85760904</v>
      </c>
      <c r="J284" s="1">
        <f t="shared" si="283"/>
        <v>37.40077877</v>
      </c>
      <c r="K284" s="1">
        <f t="shared" si="283"/>
        <v>16.35874733</v>
      </c>
      <c r="L284" s="1">
        <f t="shared" si="283"/>
        <v>26.70991128</v>
      </c>
      <c r="M284" s="1">
        <f t="shared" si="283"/>
        <v>34.55206897</v>
      </c>
      <c r="N284" s="1">
        <f t="shared" si="283"/>
        <v>51.57050805</v>
      </c>
      <c r="O284" s="1">
        <f t="shared" si="283"/>
        <v>31.53183019</v>
      </c>
      <c r="P284" s="1">
        <f t="shared" si="283"/>
        <v>44.34072345</v>
      </c>
      <c r="Q284" s="1">
        <f t="shared" si="283"/>
        <v>21.49252861</v>
      </c>
      <c r="R284" s="1">
        <f t="shared" si="283"/>
        <v>31.55247455</v>
      </c>
      <c r="S284" s="1">
        <f t="shared" si="283"/>
        <v>24.39629019</v>
      </c>
      <c r="T284" s="1">
        <f t="shared" si="283"/>
        <v>58.33091509</v>
      </c>
      <c r="U284" s="1">
        <f t="shared" si="283"/>
        <v>45.6465535</v>
      </c>
    </row>
    <row r="285">
      <c r="A285" s="3">
        <f>IFERROR(__xludf.DUMMYFUNCTION("""COMPUTED_VALUE"""),44204.0)</f>
        <v>44204</v>
      </c>
      <c r="B285" s="1">
        <f t="shared" ref="B285:U285" si="284">IF($A285&gt;0,Megyeinapi!B285/'megyelakosság'!B$2*100000," ")</f>
        <v>30.06650472</v>
      </c>
      <c r="C285" s="1">
        <f t="shared" si="284"/>
        <v>37.59304278</v>
      </c>
      <c r="D285" s="1">
        <f t="shared" si="284"/>
        <v>27.53054075</v>
      </c>
      <c r="E285" s="1">
        <f t="shared" si="284"/>
        <v>16.48186054</v>
      </c>
      <c r="F285" s="1">
        <f t="shared" si="284"/>
        <v>17.14074149</v>
      </c>
      <c r="G285" s="1">
        <f t="shared" si="284"/>
        <v>51.21356055</v>
      </c>
      <c r="H285" s="1">
        <f t="shared" si="284"/>
        <v>33.20568653</v>
      </c>
      <c r="I285" s="1">
        <f t="shared" si="284"/>
        <v>31.91437648</v>
      </c>
      <c r="J285" s="1">
        <f t="shared" si="284"/>
        <v>30.94582203</v>
      </c>
      <c r="K285" s="1">
        <f t="shared" si="284"/>
        <v>40.21525385</v>
      </c>
      <c r="L285" s="1">
        <f t="shared" si="284"/>
        <v>34.06876439</v>
      </c>
      <c r="M285" s="1">
        <f t="shared" si="284"/>
        <v>24.585126</v>
      </c>
      <c r="N285" s="1">
        <f t="shared" si="284"/>
        <v>39.34244944</v>
      </c>
      <c r="O285" s="1">
        <f t="shared" si="284"/>
        <v>19.65920953</v>
      </c>
      <c r="P285" s="1">
        <f t="shared" si="284"/>
        <v>60.67677946</v>
      </c>
      <c r="Q285" s="1">
        <f t="shared" si="284"/>
        <v>27.32101095</v>
      </c>
      <c r="R285" s="1">
        <f t="shared" si="284"/>
        <v>58.00087233</v>
      </c>
      <c r="S285" s="1">
        <f t="shared" si="284"/>
        <v>36.59443528</v>
      </c>
      <c r="T285" s="1">
        <f t="shared" si="284"/>
        <v>53.34787209</v>
      </c>
      <c r="U285" s="1">
        <f t="shared" si="284"/>
        <v>33.67368701</v>
      </c>
    </row>
    <row r="286">
      <c r="A286" s="3">
        <f>IFERROR(__xludf.DUMMYFUNCTION("""COMPUTED_VALUE"""),44205.0)</f>
        <v>44205</v>
      </c>
      <c r="B286" s="1">
        <f t="shared" ref="B286:U286" si="285">IF($A286&gt;0,Megyeinapi!B286/'megyelakosság'!B$2*100000," ")</f>
        <v>27.27888176</v>
      </c>
      <c r="C286" s="1">
        <f t="shared" si="285"/>
        <v>49.84559006</v>
      </c>
      <c r="D286" s="1">
        <f t="shared" si="285"/>
        <v>17.84947147</v>
      </c>
      <c r="E286" s="1">
        <f t="shared" si="285"/>
        <v>21.19096355</v>
      </c>
      <c r="F286" s="1">
        <f t="shared" si="285"/>
        <v>25.65397642</v>
      </c>
      <c r="G286" s="1">
        <f t="shared" si="285"/>
        <v>22.84526475</v>
      </c>
      <c r="H286" s="1">
        <f t="shared" si="285"/>
        <v>39.89460181</v>
      </c>
      <c r="I286" s="1">
        <f t="shared" si="285"/>
        <v>21.55805563</v>
      </c>
      <c r="J286" s="1">
        <f t="shared" si="285"/>
        <v>14.80843017</v>
      </c>
      <c r="K286" s="1">
        <f t="shared" si="285"/>
        <v>17.72197627</v>
      </c>
      <c r="L286" s="1">
        <f t="shared" si="285"/>
        <v>13.35495564</v>
      </c>
      <c r="M286" s="1">
        <f t="shared" si="285"/>
        <v>21.26281167</v>
      </c>
      <c r="N286" s="1">
        <f t="shared" si="285"/>
        <v>10.63309444</v>
      </c>
      <c r="O286" s="1">
        <f t="shared" si="285"/>
        <v>28.06255792</v>
      </c>
      <c r="P286" s="1">
        <f t="shared" si="285"/>
        <v>47.67461244</v>
      </c>
      <c r="Q286" s="1">
        <f t="shared" si="285"/>
        <v>24.95319</v>
      </c>
      <c r="R286" s="1">
        <f t="shared" si="285"/>
        <v>105.7935911</v>
      </c>
      <c r="S286" s="1">
        <f t="shared" si="285"/>
        <v>23.21582454</v>
      </c>
      <c r="T286" s="1">
        <f t="shared" si="285"/>
        <v>31.95009922</v>
      </c>
      <c r="U286" s="1">
        <f t="shared" si="285"/>
        <v>35.17029532</v>
      </c>
    </row>
    <row r="287">
      <c r="A287" s="3">
        <f>IFERROR(__xludf.DUMMYFUNCTION("""COMPUTED_VALUE"""),44206.0)</f>
        <v>44206</v>
      </c>
      <c r="B287" s="1">
        <f t="shared" ref="B287:U287" si="286">IF($A287&gt;0,Megyeinapi!B287/'megyelakosság'!B$2*100000," ")</f>
        <v>14.53546255</v>
      </c>
      <c r="C287" s="1">
        <f t="shared" si="286"/>
        <v>36.20070786</v>
      </c>
      <c r="D287" s="1">
        <f t="shared" si="286"/>
        <v>12.40387001</v>
      </c>
      <c r="E287" s="1">
        <f t="shared" si="286"/>
        <v>16.16792033</v>
      </c>
      <c r="F287" s="1">
        <f t="shared" si="286"/>
        <v>13.42691416</v>
      </c>
      <c r="G287" s="1">
        <f t="shared" si="286"/>
        <v>17.32223371</v>
      </c>
      <c r="H287" s="1">
        <f t="shared" si="286"/>
        <v>25.08343227</v>
      </c>
      <c r="I287" s="1">
        <f t="shared" si="286"/>
        <v>13.10391617</v>
      </c>
      <c r="J287" s="1">
        <f t="shared" si="286"/>
        <v>16.89679853</v>
      </c>
      <c r="K287" s="1">
        <f t="shared" si="286"/>
        <v>19.08520522</v>
      </c>
      <c r="L287" s="1">
        <f t="shared" si="286"/>
        <v>26.9824614</v>
      </c>
      <c r="M287" s="1">
        <f t="shared" si="286"/>
        <v>39.53554046</v>
      </c>
      <c r="N287" s="1">
        <f t="shared" si="286"/>
        <v>22.86115305</v>
      </c>
      <c r="O287" s="1">
        <f t="shared" si="286"/>
        <v>15.72736762</v>
      </c>
      <c r="P287" s="1">
        <f t="shared" si="286"/>
        <v>23.33722287</v>
      </c>
      <c r="Q287" s="1">
        <f t="shared" si="286"/>
        <v>12.20338489</v>
      </c>
      <c r="R287" s="1">
        <f t="shared" si="286"/>
        <v>21.34432102</v>
      </c>
      <c r="S287" s="1">
        <f t="shared" si="286"/>
        <v>18.49396192</v>
      </c>
      <c r="T287" s="1">
        <f t="shared" si="286"/>
        <v>22.57025358</v>
      </c>
      <c r="U287" s="1">
        <f t="shared" si="286"/>
        <v>16.08853935</v>
      </c>
    </row>
    <row r="288">
      <c r="A288" s="3">
        <f>IFERROR(__xludf.DUMMYFUNCTION("""COMPUTED_VALUE"""),44207.0)</f>
        <v>44207</v>
      </c>
      <c r="B288" s="1">
        <f t="shared" ref="B288:U288" si="287">IF($A288&gt;0,Megyeinapi!B288/'megyelakosság'!B$2*100000," ")</f>
        <v>15.7301581</v>
      </c>
      <c r="C288" s="1">
        <f t="shared" si="287"/>
        <v>38.70691072</v>
      </c>
      <c r="D288" s="1">
        <f t="shared" si="287"/>
        <v>9.681069274</v>
      </c>
      <c r="E288" s="1">
        <f t="shared" si="287"/>
        <v>7.691534916</v>
      </c>
      <c r="F288" s="1">
        <f t="shared" si="287"/>
        <v>10.3415807</v>
      </c>
      <c r="G288" s="1">
        <f t="shared" si="287"/>
        <v>10.54396835</v>
      </c>
      <c r="H288" s="1">
        <f t="shared" si="287"/>
        <v>30.57789839</v>
      </c>
      <c r="I288" s="1">
        <f t="shared" si="287"/>
        <v>9.722260383</v>
      </c>
      <c r="J288" s="1">
        <f t="shared" si="287"/>
        <v>7.783918425</v>
      </c>
      <c r="K288" s="1">
        <f t="shared" si="287"/>
        <v>12.2690605</v>
      </c>
      <c r="L288" s="1">
        <f t="shared" si="287"/>
        <v>12.5373053</v>
      </c>
      <c r="M288" s="1">
        <f t="shared" si="287"/>
        <v>17.27603449</v>
      </c>
      <c r="N288" s="1">
        <f t="shared" si="287"/>
        <v>20.73453416</v>
      </c>
      <c r="O288" s="1">
        <f t="shared" si="287"/>
        <v>13.64580426</v>
      </c>
      <c r="P288" s="1">
        <f t="shared" si="287"/>
        <v>21.33688948</v>
      </c>
      <c r="Q288" s="1">
        <f t="shared" si="287"/>
        <v>10.74626431</v>
      </c>
      <c r="R288" s="1">
        <f t="shared" si="287"/>
        <v>26.44839778</v>
      </c>
      <c r="S288" s="1">
        <f t="shared" si="287"/>
        <v>10.23070234</v>
      </c>
      <c r="T288" s="1">
        <f t="shared" si="287"/>
        <v>23.44961411</v>
      </c>
      <c r="U288" s="1">
        <f t="shared" si="287"/>
        <v>17.21099558</v>
      </c>
    </row>
    <row r="289">
      <c r="A289" s="3">
        <f>IFERROR(__xludf.DUMMYFUNCTION("""COMPUTED_VALUE"""),44208.0)</f>
        <v>44208</v>
      </c>
      <c r="B289" s="1">
        <f t="shared" ref="B289:U289" si="288">IF($A289&gt;0,Megyeinapi!B289/'megyelakosság'!B$2*100000," ")</f>
        <v>8.362868862</v>
      </c>
      <c r="C289" s="1">
        <f t="shared" si="288"/>
        <v>18.6572879</v>
      </c>
      <c r="D289" s="1">
        <f t="shared" si="288"/>
        <v>2.722800733</v>
      </c>
      <c r="E289" s="1">
        <f t="shared" si="288"/>
        <v>2.825461806</v>
      </c>
      <c r="F289" s="1">
        <f t="shared" si="288"/>
        <v>7.199111424</v>
      </c>
      <c r="G289" s="1">
        <f t="shared" si="288"/>
        <v>9.037687155</v>
      </c>
      <c r="H289" s="1">
        <f t="shared" si="288"/>
        <v>10.51115257</v>
      </c>
      <c r="I289" s="1">
        <f t="shared" si="288"/>
        <v>1.056767433</v>
      </c>
      <c r="J289" s="1">
        <f t="shared" si="288"/>
        <v>3.797033378</v>
      </c>
      <c r="K289" s="1">
        <f t="shared" si="288"/>
        <v>1.70403618</v>
      </c>
      <c r="L289" s="1">
        <f t="shared" si="288"/>
        <v>7.086302994</v>
      </c>
      <c r="M289" s="1">
        <f t="shared" si="288"/>
        <v>6.312397216</v>
      </c>
      <c r="N289" s="1">
        <f t="shared" si="288"/>
        <v>3.189928333</v>
      </c>
      <c r="O289" s="1">
        <f t="shared" si="288"/>
        <v>8.634633205</v>
      </c>
      <c r="P289" s="1">
        <f t="shared" si="288"/>
        <v>4.334055676</v>
      </c>
      <c r="Q289" s="1">
        <f t="shared" si="288"/>
        <v>6.374902555</v>
      </c>
      <c r="R289" s="1">
        <f t="shared" si="288"/>
        <v>24.59236987</v>
      </c>
      <c r="S289" s="1">
        <f t="shared" si="288"/>
        <v>10.23070234</v>
      </c>
      <c r="T289" s="1">
        <f t="shared" si="288"/>
        <v>7.914244761</v>
      </c>
      <c r="U289" s="1">
        <f t="shared" si="288"/>
        <v>2.619064545</v>
      </c>
    </row>
    <row r="290">
      <c r="A290" s="3">
        <f>IFERROR(__xludf.DUMMYFUNCTION("""COMPUTED_VALUE"""),44209.0)</f>
        <v>44209</v>
      </c>
      <c r="B290" s="1">
        <f t="shared" ref="B290:U290" si="289">IF($A290&gt;0,Megyeinapi!B290/'megyelakosság'!B$2*100000," ")</f>
        <v>12.74341922</v>
      </c>
      <c r="C290" s="1">
        <f t="shared" si="289"/>
        <v>23.39122662</v>
      </c>
      <c r="D290" s="1">
        <f t="shared" si="289"/>
        <v>4.840534637</v>
      </c>
      <c r="E290" s="1">
        <f t="shared" si="289"/>
        <v>8.790325619</v>
      </c>
      <c r="F290" s="1">
        <f t="shared" si="289"/>
        <v>12.28419806</v>
      </c>
      <c r="G290" s="1">
        <f t="shared" si="289"/>
        <v>17.32223371</v>
      </c>
      <c r="H290" s="1">
        <f t="shared" si="289"/>
        <v>10.27226274</v>
      </c>
      <c r="I290" s="1">
        <f t="shared" si="289"/>
        <v>15.85151149</v>
      </c>
      <c r="J290" s="1">
        <f t="shared" si="289"/>
        <v>16.13739186</v>
      </c>
      <c r="K290" s="1">
        <f t="shared" si="289"/>
        <v>23.51569929</v>
      </c>
      <c r="L290" s="1">
        <f t="shared" si="289"/>
        <v>16.89810714</v>
      </c>
      <c r="M290" s="1">
        <f t="shared" si="289"/>
        <v>27.57520889</v>
      </c>
      <c r="N290" s="1">
        <f t="shared" si="289"/>
        <v>22.32949833</v>
      </c>
      <c r="O290" s="1">
        <f t="shared" si="289"/>
        <v>9.482677538</v>
      </c>
      <c r="P290" s="1">
        <f t="shared" si="289"/>
        <v>21.67027838</v>
      </c>
      <c r="Q290" s="1">
        <f t="shared" si="289"/>
        <v>7.103462847</v>
      </c>
      <c r="R290" s="1">
        <f t="shared" si="289"/>
        <v>22.27233498</v>
      </c>
      <c r="S290" s="1">
        <f t="shared" si="289"/>
        <v>11.41116799</v>
      </c>
      <c r="T290" s="1">
        <f t="shared" si="289"/>
        <v>15.53536935</v>
      </c>
      <c r="U290" s="1">
        <f t="shared" si="289"/>
        <v>14.21777896</v>
      </c>
    </row>
    <row r="291">
      <c r="A291" s="3">
        <f>IFERROR(__xludf.DUMMYFUNCTION("""COMPUTED_VALUE"""),44210.0)</f>
        <v>44210</v>
      </c>
      <c r="B291" s="1">
        <f t="shared" ref="B291:U291" si="290">IF($A291&gt;0,Megyeinapi!B291/'megyelakosság'!B$2*100000," ")</f>
        <v>27.67711362</v>
      </c>
      <c r="C291" s="1">
        <f t="shared" si="290"/>
        <v>25.89742947</v>
      </c>
      <c r="D291" s="1">
        <f t="shared" si="290"/>
        <v>11.49626976</v>
      </c>
      <c r="E291" s="1">
        <f t="shared" si="290"/>
        <v>13.02851833</v>
      </c>
      <c r="F291" s="1">
        <f t="shared" si="290"/>
        <v>14.9695809</v>
      </c>
      <c r="G291" s="1">
        <f t="shared" si="290"/>
        <v>19.07956177</v>
      </c>
      <c r="H291" s="1">
        <f t="shared" si="290"/>
        <v>32.9667967</v>
      </c>
      <c r="I291" s="1">
        <f t="shared" si="290"/>
        <v>15.64015801</v>
      </c>
      <c r="J291" s="1">
        <f t="shared" si="290"/>
        <v>22.5923486</v>
      </c>
      <c r="K291" s="1">
        <f t="shared" si="290"/>
        <v>35.10314531</v>
      </c>
      <c r="L291" s="1">
        <f t="shared" si="290"/>
        <v>15.26280645</v>
      </c>
      <c r="M291" s="1">
        <f t="shared" si="290"/>
        <v>33.55537467</v>
      </c>
      <c r="N291" s="1">
        <f t="shared" si="290"/>
        <v>25.51942666</v>
      </c>
      <c r="O291" s="1">
        <f t="shared" si="290"/>
        <v>14.1083739</v>
      </c>
      <c r="P291" s="1">
        <f t="shared" si="290"/>
        <v>31.00516753</v>
      </c>
      <c r="Q291" s="1">
        <f t="shared" si="290"/>
        <v>13.66050548</v>
      </c>
      <c r="R291" s="1">
        <f t="shared" si="290"/>
        <v>30.62446059</v>
      </c>
      <c r="S291" s="1">
        <f t="shared" si="290"/>
        <v>22.42884743</v>
      </c>
      <c r="T291" s="1">
        <f t="shared" si="290"/>
        <v>24.32897464</v>
      </c>
      <c r="U291" s="1">
        <f t="shared" si="290"/>
        <v>14.59193104</v>
      </c>
    </row>
    <row r="292">
      <c r="A292" s="3">
        <f>IFERROR(__xludf.DUMMYFUNCTION("""COMPUTED_VALUE"""),44211.0)</f>
        <v>44211</v>
      </c>
      <c r="B292" s="1">
        <f t="shared" ref="B292:U292" si="291">IF($A292&gt;0,Megyeinapi!B292/'megyelakosság'!B$2*100000," ")</f>
        <v>17.52220143</v>
      </c>
      <c r="C292" s="1">
        <f t="shared" si="291"/>
        <v>29.79596724</v>
      </c>
      <c r="D292" s="1">
        <f t="shared" si="291"/>
        <v>9.681069274</v>
      </c>
      <c r="E292" s="1">
        <f t="shared" si="291"/>
        <v>12.87154823</v>
      </c>
      <c r="F292" s="1">
        <f t="shared" si="291"/>
        <v>9.655951037</v>
      </c>
      <c r="G292" s="1">
        <f t="shared" si="291"/>
        <v>17.82432745</v>
      </c>
      <c r="H292" s="1">
        <f t="shared" si="291"/>
        <v>19.11118649</v>
      </c>
      <c r="I292" s="1">
        <f t="shared" si="291"/>
        <v>13.94933012</v>
      </c>
      <c r="J292" s="1">
        <f t="shared" si="291"/>
        <v>13.28961682</v>
      </c>
      <c r="K292" s="1">
        <f t="shared" si="291"/>
        <v>24.19731376</v>
      </c>
      <c r="L292" s="1">
        <f t="shared" si="291"/>
        <v>15.26280645</v>
      </c>
      <c r="M292" s="1">
        <f t="shared" si="291"/>
        <v>12.62479443</v>
      </c>
      <c r="N292" s="1">
        <f t="shared" si="291"/>
        <v>18.60791528</v>
      </c>
      <c r="O292" s="1">
        <f t="shared" si="291"/>
        <v>10.48491175</v>
      </c>
      <c r="P292" s="1">
        <f t="shared" si="291"/>
        <v>33.33888981</v>
      </c>
      <c r="Q292" s="1">
        <f t="shared" si="291"/>
        <v>14.38906577</v>
      </c>
      <c r="R292" s="1">
        <f t="shared" si="291"/>
        <v>26.91240476</v>
      </c>
      <c r="S292" s="1">
        <f t="shared" si="291"/>
        <v>13.7720993</v>
      </c>
      <c r="T292" s="1">
        <f t="shared" si="291"/>
        <v>17.58721058</v>
      </c>
      <c r="U292" s="1">
        <f t="shared" si="291"/>
        <v>29.93216623</v>
      </c>
    </row>
    <row r="293">
      <c r="A293" s="3">
        <f>IFERROR(__xludf.DUMMYFUNCTION("""COMPUTED_VALUE"""),44212.0)</f>
        <v>44212</v>
      </c>
      <c r="B293" s="1">
        <f t="shared" ref="B293:U293" si="292">IF($A293&gt;0,Megyeinapi!B293/'megyelakosság'!B$2*100000," ")</f>
        <v>17.12396958</v>
      </c>
      <c r="C293" s="1">
        <f t="shared" si="292"/>
        <v>22.55582567</v>
      </c>
      <c r="D293" s="1">
        <f t="shared" si="292"/>
        <v>11.49626976</v>
      </c>
      <c r="E293" s="1">
        <f t="shared" si="292"/>
        <v>13.18548843</v>
      </c>
      <c r="F293" s="1">
        <f t="shared" si="292"/>
        <v>13.65545738</v>
      </c>
      <c r="G293" s="1">
        <f t="shared" si="292"/>
        <v>15.06281193</v>
      </c>
      <c r="H293" s="1">
        <f t="shared" si="292"/>
        <v>16.96117801</v>
      </c>
      <c r="I293" s="1">
        <f t="shared" si="292"/>
        <v>12.04714874</v>
      </c>
      <c r="J293" s="1">
        <f t="shared" si="292"/>
        <v>14.80843017</v>
      </c>
      <c r="K293" s="1">
        <f t="shared" si="292"/>
        <v>12.60986773</v>
      </c>
      <c r="L293" s="1">
        <f t="shared" si="292"/>
        <v>11.17455472</v>
      </c>
      <c r="M293" s="1">
        <f t="shared" si="292"/>
        <v>17.60826592</v>
      </c>
      <c r="N293" s="1">
        <f t="shared" si="292"/>
        <v>14.3546775</v>
      </c>
      <c r="O293" s="1">
        <f t="shared" si="292"/>
        <v>13.41451944</v>
      </c>
      <c r="P293" s="1">
        <f t="shared" si="292"/>
        <v>19.66994499</v>
      </c>
      <c r="Q293" s="1">
        <f t="shared" si="292"/>
        <v>12.93194518</v>
      </c>
      <c r="R293" s="1">
        <f t="shared" si="292"/>
        <v>22.27233498</v>
      </c>
      <c r="S293" s="1">
        <f t="shared" si="292"/>
        <v>11.01767944</v>
      </c>
      <c r="T293" s="1">
        <f t="shared" si="292"/>
        <v>14.36288864</v>
      </c>
      <c r="U293" s="1">
        <f t="shared" si="292"/>
        <v>21.32666844</v>
      </c>
    </row>
    <row r="294">
      <c r="A294" s="3">
        <f>IFERROR(__xludf.DUMMYFUNCTION("""COMPUTED_VALUE"""),44213.0)</f>
        <v>44213</v>
      </c>
      <c r="B294" s="1">
        <f t="shared" ref="B294:U294" si="293">IF($A294&gt;0,Megyeinapi!B294/'megyelakosság'!B$2*100000," ")</f>
        <v>8.362868862</v>
      </c>
      <c r="C294" s="1">
        <f t="shared" si="293"/>
        <v>21.44195773</v>
      </c>
      <c r="D294" s="1">
        <f t="shared" si="293"/>
        <v>10.89120293</v>
      </c>
      <c r="E294" s="1">
        <f t="shared" si="293"/>
        <v>11.92972763</v>
      </c>
      <c r="F294" s="1">
        <f t="shared" si="293"/>
        <v>10.11303748</v>
      </c>
      <c r="G294" s="1">
        <f t="shared" si="293"/>
        <v>16.06699939</v>
      </c>
      <c r="H294" s="1">
        <f t="shared" si="293"/>
        <v>23.41120346</v>
      </c>
      <c r="I294" s="1">
        <f t="shared" si="293"/>
        <v>7.820079004</v>
      </c>
      <c r="J294" s="1">
        <f t="shared" si="293"/>
        <v>8.353473431</v>
      </c>
      <c r="K294" s="1">
        <f t="shared" si="293"/>
        <v>12.95067497</v>
      </c>
      <c r="L294" s="1">
        <f t="shared" si="293"/>
        <v>14.99025633</v>
      </c>
      <c r="M294" s="1">
        <f t="shared" si="293"/>
        <v>12.62479443</v>
      </c>
      <c r="N294" s="1">
        <f t="shared" si="293"/>
        <v>13.82302278</v>
      </c>
      <c r="O294" s="1">
        <f t="shared" si="293"/>
        <v>14.95641823</v>
      </c>
      <c r="P294" s="1">
        <f t="shared" si="293"/>
        <v>10.66844474</v>
      </c>
      <c r="Q294" s="1">
        <f t="shared" si="293"/>
        <v>6.739182701</v>
      </c>
      <c r="R294" s="1">
        <f t="shared" si="293"/>
        <v>32.01648153</v>
      </c>
      <c r="S294" s="1">
        <f t="shared" si="293"/>
        <v>12.59163365</v>
      </c>
      <c r="T294" s="1">
        <f t="shared" si="293"/>
        <v>10.84544652</v>
      </c>
      <c r="U294" s="1">
        <f t="shared" si="293"/>
        <v>11.97286649</v>
      </c>
    </row>
    <row r="295">
      <c r="A295" s="3">
        <f>IFERROR(__xludf.DUMMYFUNCTION("""COMPUTED_VALUE"""),44214.0)</f>
        <v>44214</v>
      </c>
      <c r="B295" s="1">
        <f t="shared" ref="B295:U295" si="294">IF($A295&gt;0,Megyeinapi!B295/'megyelakosság'!B$2*100000," ")</f>
        <v>7.765521086</v>
      </c>
      <c r="C295" s="1">
        <f t="shared" si="294"/>
        <v>11.69561331</v>
      </c>
      <c r="D295" s="1">
        <f t="shared" si="294"/>
        <v>8.77346903</v>
      </c>
      <c r="E295" s="1">
        <f t="shared" si="294"/>
        <v>7.377594716</v>
      </c>
      <c r="F295" s="1">
        <f t="shared" si="294"/>
        <v>7.541926254</v>
      </c>
      <c r="G295" s="1">
        <f t="shared" si="294"/>
        <v>5.523031039</v>
      </c>
      <c r="H295" s="1">
        <f t="shared" si="294"/>
        <v>11.94449156</v>
      </c>
      <c r="I295" s="1">
        <f t="shared" si="294"/>
        <v>16.90827893</v>
      </c>
      <c r="J295" s="1">
        <f t="shared" si="294"/>
        <v>6.83466008</v>
      </c>
      <c r="K295" s="1">
        <f t="shared" si="294"/>
        <v>4.771301304</v>
      </c>
      <c r="L295" s="1">
        <f t="shared" si="294"/>
        <v>9.266703915</v>
      </c>
      <c r="M295" s="1">
        <f t="shared" si="294"/>
        <v>12.62479443</v>
      </c>
      <c r="N295" s="1">
        <f t="shared" si="294"/>
        <v>6.911511388</v>
      </c>
      <c r="O295" s="1">
        <f t="shared" si="294"/>
        <v>8.480443327</v>
      </c>
      <c r="P295" s="1">
        <f t="shared" si="294"/>
        <v>12.33538923</v>
      </c>
      <c r="Q295" s="1">
        <f t="shared" si="294"/>
        <v>4.917781971</v>
      </c>
      <c r="R295" s="1">
        <f t="shared" si="294"/>
        <v>12.06418145</v>
      </c>
      <c r="S295" s="1">
        <f t="shared" si="294"/>
        <v>5.115351169</v>
      </c>
      <c r="T295" s="1">
        <f t="shared" si="294"/>
        <v>16.1216097</v>
      </c>
      <c r="U295" s="1">
        <f t="shared" si="294"/>
        <v>11.59871441</v>
      </c>
    </row>
    <row r="296">
      <c r="A296" s="3">
        <f>IFERROR(__xludf.DUMMYFUNCTION("""COMPUTED_VALUE"""),44215.0)</f>
        <v>44215</v>
      </c>
      <c r="B296" s="1">
        <f t="shared" ref="B296:U296" si="295">IF($A296&gt;0,Megyeinapi!B296/'megyelakosság'!B$2*100000," ")</f>
        <v>6.172593684</v>
      </c>
      <c r="C296" s="1">
        <f t="shared" si="295"/>
        <v>9.189410458</v>
      </c>
      <c r="D296" s="1">
        <f t="shared" si="295"/>
        <v>6.353201711</v>
      </c>
      <c r="E296" s="1">
        <f t="shared" si="295"/>
        <v>3.453342207</v>
      </c>
      <c r="F296" s="1">
        <f t="shared" si="295"/>
        <v>3.999506347</v>
      </c>
      <c r="G296" s="1">
        <f t="shared" si="295"/>
        <v>4.267796712</v>
      </c>
      <c r="H296" s="1">
        <f t="shared" si="295"/>
        <v>5.733355948</v>
      </c>
      <c r="I296" s="1">
        <f t="shared" si="295"/>
        <v>1.690827893</v>
      </c>
      <c r="J296" s="1">
        <f t="shared" si="295"/>
        <v>5.315846729</v>
      </c>
      <c r="K296" s="1">
        <f t="shared" si="295"/>
        <v>6.81614472</v>
      </c>
      <c r="L296" s="1">
        <f t="shared" si="295"/>
        <v>6.268652649</v>
      </c>
      <c r="M296" s="1">
        <f t="shared" si="295"/>
        <v>8.970248675</v>
      </c>
      <c r="N296" s="1">
        <f t="shared" si="295"/>
        <v>4.784892499</v>
      </c>
      <c r="O296" s="1">
        <f t="shared" si="295"/>
        <v>4.163126724</v>
      </c>
      <c r="P296" s="1">
        <f t="shared" si="295"/>
        <v>8.668111352</v>
      </c>
      <c r="Q296" s="1">
        <f t="shared" si="295"/>
        <v>10.38198416</v>
      </c>
      <c r="R296" s="1">
        <f t="shared" si="295"/>
        <v>11.13616749</v>
      </c>
      <c r="S296" s="1">
        <f t="shared" si="295"/>
        <v>9.050236683</v>
      </c>
      <c r="T296" s="1">
        <f t="shared" si="295"/>
        <v>7.914244761</v>
      </c>
      <c r="U296" s="1">
        <f t="shared" si="295"/>
        <v>10.85041026</v>
      </c>
    </row>
    <row r="297">
      <c r="A297" s="3">
        <f>IFERROR(__xludf.DUMMYFUNCTION("""COMPUTED_VALUE"""),44216.0)</f>
        <v>44216</v>
      </c>
      <c r="B297" s="1">
        <f t="shared" ref="B297:U297" si="296">IF($A297&gt;0,Megyeinapi!B297/'megyelakosság'!B$2*100000," ")</f>
        <v>10.35402812</v>
      </c>
      <c r="C297" s="1">
        <f t="shared" si="296"/>
        <v>19.21422187</v>
      </c>
      <c r="D297" s="1">
        <f t="shared" si="296"/>
        <v>16.63933781</v>
      </c>
      <c r="E297" s="1">
        <f t="shared" si="296"/>
        <v>9.26123592</v>
      </c>
      <c r="F297" s="1">
        <f t="shared" si="296"/>
        <v>8.284691718</v>
      </c>
      <c r="G297" s="1">
        <f t="shared" si="296"/>
        <v>8.78664029</v>
      </c>
      <c r="H297" s="1">
        <f t="shared" si="296"/>
        <v>13.37783055</v>
      </c>
      <c r="I297" s="1">
        <f t="shared" si="296"/>
        <v>3.804362759</v>
      </c>
      <c r="J297" s="1">
        <f t="shared" si="296"/>
        <v>8.353473431</v>
      </c>
      <c r="K297" s="1">
        <f t="shared" si="296"/>
        <v>10.90583155</v>
      </c>
      <c r="L297" s="1">
        <f t="shared" si="296"/>
        <v>7.903953339</v>
      </c>
      <c r="M297" s="1">
        <f t="shared" si="296"/>
        <v>9.966942972</v>
      </c>
      <c r="N297" s="1">
        <f t="shared" si="296"/>
        <v>16.48129639</v>
      </c>
      <c r="O297" s="1">
        <f t="shared" si="296"/>
        <v>7.632398994</v>
      </c>
      <c r="P297" s="1">
        <f t="shared" si="296"/>
        <v>17.00283381</v>
      </c>
      <c r="Q297" s="1">
        <f t="shared" si="296"/>
        <v>6.374902555</v>
      </c>
      <c r="R297" s="1">
        <f t="shared" si="296"/>
        <v>8.816132595</v>
      </c>
      <c r="S297" s="1">
        <f t="shared" si="296"/>
        <v>12.59163365</v>
      </c>
      <c r="T297" s="1">
        <f t="shared" si="296"/>
        <v>18.17345093</v>
      </c>
      <c r="U297" s="1">
        <f t="shared" si="296"/>
        <v>8.605497791</v>
      </c>
    </row>
    <row r="298">
      <c r="A298" s="3">
        <f>IFERROR(__xludf.DUMMYFUNCTION("""COMPUTED_VALUE"""),44217.0)</f>
        <v>44217</v>
      </c>
      <c r="B298" s="1">
        <f t="shared" ref="B298:U298" si="297">IF($A298&gt;0,Megyeinapi!B298/'megyelakosság'!B$2*100000," ")</f>
        <v>11.54872367</v>
      </c>
      <c r="C298" s="1">
        <f t="shared" si="297"/>
        <v>27.56823137</v>
      </c>
      <c r="D298" s="1">
        <f t="shared" si="297"/>
        <v>9.378535859</v>
      </c>
      <c r="E298" s="1">
        <f t="shared" si="297"/>
        <v>8.162445217</v>
      </c>
      <c r="F298" s="1">
        <f t="shared" si="297"/>
        <v>11.94138323</v>
      </c>
      <c r="G298" s="1">
        <f t="shared" si="297"/>
        <v>13.55653073</v>
      </c>
      <c r="H298" s="1">
        <f t="shared" si="297"/>
        <v>27.95011025</v>
      </c>
      <c r="I298" s="1">
        <f t="shared" si="297"/>
        <v>12.89256268</v>
      </c>
      <c r="J298" s="1">
        <f t="shared" si="297"/>
        <v>11.5809518</v>
      </c>
      <c r="K298" s="1">
        <f t="shared" si="297"/>
        <v>19.08520522</v>
      </c>
      <c r="L298" s="1">
        <f t="shared" si="297"/>
        <v>12.80985541</v>
      </c>
      <c r="M298" s="1">
        <f t="shared" si="297"/>
        <v>14.28595159</v>
      </c>
      <c r="N298" s="1">
        <f t="shared" si="297"/>
        <v>19.67122472</v>
      </c>
      <c r="O298" s="1">
        <f t="shared" si="297"/>
        <v>11.79552572</v>
      </c>
      <c r="P298" s="1">
        <f t="shared" si="297"/>
        <v>22.33705618</v>
      </c>
      <c r="Q298" s="1">
        <f t="shared" si="297"/>
        <v>12.56766504</v>
      </c>
      <c r="R298" s="1">
        <f t="shared" si="297"/>
        <v>20.88031404</v>
      </c>
      <c r="S298" s="1">
        <f t="shared" si="297"/>
        <v>16.52651916</v>
      </c>
      <c r="T298" s="1">
        <f t="shared" si="297"/>
        <v>19.63905181</v>
      </c>
      <c r="U298" s="1">
        <f t="shared" si="297"/>
        <v>15.71438727</v>
      </c>
    </row>
    <row r="299">
      <c r="A299" s="3">
        <f>IFERROR(__xludf.DUMMYFUNCTION("""COMPUTED_VALUE"""),44218.0)</f>
        <v>44218</v>
      </c>
      <c r="B299" s="1">
        <f t="shared" ref="B299:U299" si="298">IF($A299&gt;0,Megyeinapi!B299/'megyelakosság'!B$2*100000," ")</f>
        <v>12.34518737</v>
      </c>
      <c r="C299" s="1">
        <f t="shared" si="298"/>
        <v>23.6696936</v>
      </c>
      <c r="D299" s="1">
        <f t="shared" si="298"/>
        <v>15.42920416</v>
      </c>
      <c r="E299" s="1">
        <f t="shared" si="298"/>
        <v>9.57517612</v>
      </c>
      <c r="F299" s="1">
        <f t="shared" si="298"/>
        <v>10.17017328</v>
      </c>
      <c r="G299" s="1">
        <f t="shared" si="298"/>
        <v>15.56490566</v>
      </c>
      <c r="H299" s="1">
        <f t="shared" si="298"/>
        <v>16.48339835</v>
      </c>
      <c r="I299" s="1">
        <f t="shared" si="298"/>
        <v>13.94933012</v>
      </c>
      <c r="J299" s="1">
        <f t="shared" si="298"/>
        <v>8.353473431</v>
      </c>
      <c r="K299" s="1">
        <f t="shared" si="298"/>
        <v>13.63228944</v>
      </c>
      <c r="L299" s="1">
        <f t="shared" si="298"/>
        <v>10.90200461</v>
      </c>
      <c r="M299" s="1">
        <f t="shared" si="298"/>
        <v>16.94380305</v>
      </c>
      <c r="N299" s="1">
        <f t="shared" si="298"/>
        <v>21.26618889</v>
      </c>
      <c r="O299" s="1">
        <f t="shared" si="298"/>
        <v>11.02457632</v>
      </c>
      <c r="P299" s="1">
        <f t="shared" si="298"/>
        <v>15.66927821</v>
      </c>
      <c r="Q299" s="1">
        <f t="shared" si="298"/>
        <v>12.20338489</v>
      </c>
      <c r="R299" s="1">
        <f t="shared" si="298"/>
        <v>21.808328</v>
      </c>
      <c r="S299" s="1">
        <f t="shared" si="298"/>
        <v>12.59163365</v>
      </c>
      <c r="T299" s="1">
        <f t="shared" si="298"/>
        <v>17.58721058</v>
      </c>
      <c r="U299" s="1">
        <f t="shared" si="298"/>
        <v>24.69403714</v>
      </c>
    </row>
    <row r="300">
      <c r="A300" s="3">
        <f>IFERROR(__xludf.DUMMYFUNCTION("""COMPUTED_VALUE"""),44219.0)</f>
        <v>44219</v>
      </c>
      <c r="B300" s="1">
        <f t="shared" ref="B300:U300" si="299">IF($A300&gt;0,Megyeinapi!B300/'megyelakosság'!B$2*100000," ")</f>
        <v>13.93811477</v>
      </c>
      <c r="C300" s="1">
        <f t="shared" si="299"/>
        <v>18.37882092</v>
      </c>
      <c r="D300" s="1">
        <f t="shared" si="299"/>
        <v>7.260801956</v>
      </c>
      <c r="E300" s="1">
        <f t="shared" si="299"/>
        <v>8.633355518</v>
      </c>
      <c r="F300" s="1">
        <f t="shared" si="299"/>
        <v>10.62725972</v>
      </c>
      <c r="G300" s="1">
        <f t="shared" si="299"/>
        <v>17.57328058</v>
      </c>
      <c r="H300" s="1">
        <f t="shared" si="299"/>
        <v>25.80010177</v>
      </c>
      <c r="I300" s="1">
        <f t="shared" si="299"/>
        <v>9.93361387</v>
      </c>
      <c r="J300" s="1">
        <f t="shared" si="299"/>
        <v>9.112880107</v>
      </c>
      <c r="K300" s="1">
        <f t="shared" si="299"/>
        <v>12.95067497</v>
      </c>
      <c r="L300" s="1">
        <f t="shared" si="299"/>
        <v>13.08240553</v>
      </c>
      <c r="M300" s="1">
        <f t="shared" si="299"/>
        <v>20.59834881</v>
      </c>
      <c r="N300" s="1">
        <f t="shared" si="299"/>
        <v>21.26618889</v>
      </c>
      <c r="O300" s="1">
        <f t="shared" si="299"/>
        <v>13.56870932</v>
      </c>
      <c r="P300" s="1">
        <f t="shared" si="299"/>
        <v>18.3363894</v>
      </c>
      <c r="Q300" s="1">
        <f t="shared" si="299"/>
        <v>9.835563942</v>
      </c>
      <c r="R300" s="1">
        <f t="shared" si="299"/>
        <v>22.27233498</v>
      </c>
      <c r="S300" s="1">
        <f t="shared" si="299"/>
        <v>20.46140468</v>
      </c>
      <c r="T300" s="1">
        <f t="shared" si="299"/>
        <v>15.24224917</v>
      </c>
      <c r="U300" s="1">
        <f t="shared" si="299"/>
        <v>16.8368435</v>
      </c>
    </row>
    <row r="301">
      <c r="A301" s="3">
        <f>IFERROR(__xludf.DUMMYFUNCTION("""COMPUTED_VALUE"""),44220.0)</f>
        <v>44220</v>
      </c>
      <c r="B301" s="1">
        <f t="shared" ref="B301:U301" si="300">IF($A301&gt;0,Megyeinapi!B301/'megyelakosság'!B$2*100000," ")</f>
        <v>11.94695552</v>
      </c>
      <c r="C301" s="1">
        <f t="shared" si="300"/>
        <v>24.78356154</v>
      </c>
      <c r="D301" s="1">
        <f t="shared" si="300"/>
        <v>6.050668296</v>
      </c>
      <c r="E301" s="1">
        <f t="shared" si="300"/>
        <v>18.83641204</v>
      </c>
      <c r="F301" s="1">
        <f t="shared" si="300"/>
        <v>11.76997582</v>
      </c>
      <c r="G301" s="1">
        <f t="shared" si="300"/>
        <v>13.8075776</v>
      </c>
      <c r="H301" s="1">
        <f t="shared" si="300"/>
        <v>14.5722797</v>
      </c>
      <c r="I301" s="1">
        <f t="shared" si="300"/>
        <v>8.031432491</v>
      </c>
      <c r="J301" s="1">
        <f t="shared" si="300"/>
        <v>17.27650187</v>
      </c>
      <c r="K301" s="1">
        <f t="shared" si="300"/>
        <v>10.22421708</v>
      </c>
      <c r="L301" s="1">
        <f t="shared" si="300"/>
        <v>7.358853109</v>
      </c>
      <c r="M301" s="1">
        <f t="shared" si="300"/>
        <v>10.63140584</v>
      </c>
      <c r="N301" s="1">
        <f t="shared" si="300"/>
        <v>15.41798694</v>
      </c>
      <c r="O301" s="1">
        <f t="shared" si="300"/>
        <v>12.02681054</v>
      </c>
      <c r="P301" s="1">
        <f t="shared" si="300"/>
        <v>18.0030005</v>
      </c>
      <c r="Q301" s="1">
        <f t="shared" si="300"/>
        <v>8.014163212</v>
      </c>
      <c r="R301" s="1">
        <f t="shared" si="300"/>
        <v>17.63226519</v>
      </c>
      <c r="S301" s="1">
        <f t="shared" si="300"/>
        <v>9.837213786</v>
      </c>
      <c r="T301" s="1">
        <f t="shared" si="300"/>
        <v>14.06976846</v>
      </c>
      <c r="U301" s="1">
        <f t="shared" si="300"/>
        <v>12.72117065</v>
      </c>
    </row>
    <row r="302">
      <c r="A302" s="3">
        <f>IFERROR(__xludf.DUMMYFUNCTION("""COMPUTED_VALUE"""),44221.0)</f>
        <v>44221</v>
      </c>
      <c r="B302" s="1">
        <f t="shared" ref="B302:U302" si="301">IF($A302&gt;0,Megyeinapi!B302/'megyelakosság'!B$2*100000," ")</f>
        <v>9.955796265</v>
      </c>
      <c r="C302" s="1">
        <f t="shared" si="301"/>
        <v>13.92334918</v>
      </c>
      <c r="D302" s="1">
        <f t="shared" si="301"/>
        <v>6.958268541</v>
      </c>
      <c r="E302" s="1">
        <f t="shared" si="301"/>
        <v>5.336983411</v>
      </c>
      <c r="F302" s="1">
        <f t="shared" si="301"/>
        <v>8.627506548</v>
      </c>
      <c r="G302" s="1">
        <f t="shared" si="301"/>
        <v>8.284546559</v>
      </c>
      <c r="H302" s="1">
        <f t="shared" si="301"/>
        <v>7.883364429</v>
      </c>
      <c r="I302" s="1">
        <f t="shared" si="301"/>
        <v>5.917897625</v>
      </c>
      <c r="J302" s="1">
        <f t="shared" si="301"/>
        <v>8.5433251</v>
      </c>
      <c r="K302" s="1">
        <f t="shared" si="301"/>
        <v>3.748879596</v>
      </c>
      <c r="L302" s="1">
        <f t="shared" si="301"/>
        <v>7.631403224</v>
      </c>
      <c r="M302" s="1">
        <f t="shared" si="301"/>
        <v>13.95372016</v>
      </c>
      <c r="N302" s="1">
        <f t="shared" si="301"/>
        <v>8.506475555</v>
      </c>
      <c r="O302" s="1">
        <f t="shared" si="301"/>
        <v>9.713962356</v>
      </c>
      <c r="P302" s="1">
        <f t="shared" si="301"/>
        <v>8.001333556</v>
      </c>
      <c r="Q302" s="1">
        <f t="shared" si="301"/>
        <v>8.196303285</v>
      </c>
      <c r="R302" s="1">
        <f t="shared" si="301"/>
        <v>13.92020936</v>
      </c>
      <c r="S302" s="1">
        <f t="shared" si="301"/>
        <v>5.115351169</v>
      </c>
      <c r="T302" s="1">
        <f t="shared" si="301"/>
        <v>11.1385667</v>
      </c>
      <c r="U302" s="1">
        <f t="shared" si="301"/>
        <v>8.979649868</v>
      </c>
    </row>
    <row r="303">
      <c r="A303" s="3">
        <f>IFERROR(__xludf.DUMMYFUNCTION("""COMPUTED_VALUE"""),44222.0)</f>
        <v>44222</v>
      </c>
      <c r="B303" s="1">
        <f t="shared" ref="B303:U303" si="302">IF($A303&gt;0,Megyeinapi!B303/'megyelakosság'!B$2*100000," ")</f>
        <v>5.973477759</v>
      </c>
      <c r="C303" s="1">
        <f t="shared" si="302"/>
        <v>7.79707554</v>
      </c>
      <c r="D303" s="1">
        <f t="shared" si="302"/>
        <v>6.050668296</v>
      </c>
      <c r="E303" s="1">
        <f t="shared" si="302"/>
        <v>2.197581405</v>
      </c>
      <c r="F303" s="1">
        <f t="shared" si="302"/>
        <v>3.999506347</v>
      </c>
      <c r="G303" s="1">
        <f t="shared" si="302"/>
        <v>7.029312232</v>
      </c>
      <c r="H303" s="1">
        <f t="shared" si="302"/>
        <v>6.450025442</v>
      </c>
      <c r="I303" s="1">
        <f t="shared" si="302"/>
        <v>1.690827893</v>
      </c>
      <c r="J303" s="1">
        <f t="shared" si="302"/>
        <v>3.037626702</v>
      </c>
      <c r="K303" s="1">
        <f t="shared" si="302"/>
        <v>1.70403618</v>
      </c>
      <c r="L303" s="1">
        <f t="shared" si="302"/>
        <v>4.633351958</v>
      </c>
      <c r="M303" s="1">
        <f t="shared" si="302"/>
        <v>5.315702919</v>
      </c>
      <c r="N303" s="1">
        <f t="shared" si="302"/>
        <v>3.721583055</v>
      </c>
      <c r="O303" s="1">
        <f t="shared" si="302"/>
        <v>4.008936845</v>
      </c>
      <c r="P303" s="1">
        <f t="shared" si="302"/>
        <v>7.001166861</v>
      </c>
      <c r="Q303" s="1">
        <f t="shared" si="302"/>
        <v>5.46420219</v>
      </c>
      <c r="R303" s="1">
        <f t="shared" si="302"/>
        <v>5.568083744</v>
      </c>
      <c r="S303" s="1">
        <f t="shared" si="302"/>
        <v>7.476282478</v>
      </c>
      <c r="T303" s="1">
        <f t="shared" si="302"/>
        <v>5.276163174</v>
      </c>
      <c r="U303" s="1">
        <f t="shared" si="302"/>
        <v>7.857193635</v>
      </c>
    </row>
    <row r="304">
      <c r="A304" s="3">
        <f>IFERROR(__xludf.DUMMYFUNCTION("""COMPUTED_VALUE"""),44223.0)</f>
        <v>44223</v>
      </c>
      <c r="B304" s="1">
        <f t="shared" ref="B304:U304" si="303">IF($A304&gt;0,Megyeinapi!B304/'megyelakosság'!B$2*100000," ")</f>
        <v>11.15049182</v>
      </c>
      <c r="C304" s="1">
        <f t="shared" si="303"/>
        <v>14.75875013</v>
      </c>
      <c r="D304" s="1">
        <f t="shared" si="303"/>
        <v>4.840534637</v>
      </c>
      <c r="E304" s="1">
        <f t="shared" si="303"/>
        <v>10.98790702</v>
      </c>
      <c r="F304" s="1">
        <f t="shared" si="303"/>
        <v>9.598815232</v>
      </c>
      <c r="G304" s="1">
        <f t="shared" si="303"/>
        <v>7.531405963</v>
      </c>
      <c r="H304" s="1">
        <f t="shared" si="303"/>
        <v>7.883364429</v>
      </c>
      <c r="I304" s="1">
        <f t="shared" si="303"/>
        <v>7.820079004</v>
      </c>
      <c r="J304" s="1">
        <f t="shared" si="303"/>
        <v>13.66932016</v>
      </c>
      <c r="K304" s="1">
        <f t="shared" si="303"/>
        <v>14.31390391</v>
      </c>
      <c r="L304" s="1">
        <f t="shared" si="303"/>
        <v>10.62945449</v>
      </c>
      <c r="M304" s="1">
        <f t="shared" si="303"/>
        <v>8.970248675</v>
      </c>
      <c r="N304" s="1">
        <f t="shared" si="303"/>
        <v>20.20287944</v>
      </c>
      <c r="O304" s="1">
        <f t="shared" si="303"/>
        <v>8.634633205</v>
      </c>
      <c r="P304" s="1">
        <f t="shared" si="303"/>
        <v>13.66894482</v>
      </c>
      <c r="Q304" s="1">
        <f t="shared" si="303"/>
        <v>3.824941533</v>
      </c>
      <c r="R304" s="1">
        <f t="shared" si="303"/>
        <v>9.280139573</v>
      </c>
      <c r="S304" s="1">
        <f t="shared" si="303"/>
        <v>12.9851222</v>
      </c>
      <c r="T304" s="1">
        <f t="shared" si="303"/>
        <v>15.24224917</v>
      </c>
      <c r="U304" s="1">
        <f t="shared" si="303"/>
        <v>16.46269143</v>
      </c>
    </row>
    <row r="305">
      <c r="A305" s="3">
        <f>IFERROR(__xludf.DUMMYFUNCTION("""COMPUTED_VALUE"""),44224.0)</f>
        <v>44224</v>
      </c>
      <c r="B305" s="1">
        <f t="shared" ref="B305:U305" si="304">IF($A305&gt;0,Megyeinapi!B305/'megyelakosság'!B$2*100000," ")</f>
        <v>19.31424475</v>
      </c>
      <c r="C305" s="1">
        <f t="shared" si="304"/>
        <v>19.21422187</v>
      </c>
      <c r="D305" s="1">
        <f t="shared" si="304"/>
        <v>12.10133659</v>
      </c>
      <c r="E305" s="1">
        <f t="shared" si="304"/>
        <v>10.83093692</v>
      </c>
      <c r="F305" s="1">
        <f t="shared" si="304"/>
        <v>14.34108704</v>
      </c>
      <c r="G305" s="1">
        <f t="shared" si="304"/>
        <v>14.05862446</v>
      </c>
      <c r="H305" s="1">
        <f t="shared" si="304"/>
        <v>16.96117801</v>
      </c>
      <c r="I305" s="1">
        <f t="shared" si="304"/>
        <v>15.85151149</v>
      </c>
      <c r="J305" s="1">
        <f t="shared" si="304"/>
        <v>17.0866502</v>
      </c>
      <c r="K305" s="1">
        <f t="shared" si="304"/>
        <v>17.38116904</v>
      </c>
      <c r="L305" s="1">
        <f t="shared" si="304"/>
        <v>17.71575748</v>
      </c>
      <c r="M305" s="1">
        <f t="shared" si="304"/>
        <v>28.23967176</v>
      </c>
      <c r="N305" s="1">
        <f t="shared" si="304"/>
        <v>21.79784361</v>
      </c>
      <c r="O305" s="1">
        <f t="shared" si="304"/>
        <v>14.26256378</v>
      </c>
      <c r="P305" s="1">
        <f t="shared" si="304"/>
        <v>13.33555593</v>
      </c>
      <c r="Q305" s="1">
        <f t="shared" si="304"/>
        <v>9.653423869</v>
      </c>
      <c r="R305" s="1">
        <f t="shared" si="304"/>
        <v>25.05637685</v>
      </c>
      <c r="S305" s="1">
        <f t="shared" si="304"/>
        <v>20.46140468</v>
      </c>
      <c r="T305" s="1">
        <f t="shared" si="304"/>
        <v>23.74273428</v>
      </c>
      <c r="U305" s="1">
        <f t="shared" si="304"/>
        <v>16.46269143</v>
      </c>
    </row>
    <row r="306">
      <c r="A306" s="3">
        <f>IFERROR(__xludf.DUMMYFUNCTION("""COMPUTED_VALUE"""),44225.0)</f>
        <v>44225</v>
      </c>
      <c r="B306" s="1">
        <f t="shared" ref="B306:U306" si="305">IF($A306&gt;0,Megyeinapi!B306/'megyelakosság'!B$2*100000," ")</f>
        <v>13.93811477</v>
      </c>
      <c r="C306" s="1">
        <f t="shared" si="305"/>
        <v>18.93575488</v>
      </c>
      <c r="D306" s="1">
        <f t="shared" si="305"/>
        <v>13.31147025</v>
      </c>
      <c r="E306" s="1">
        <f t="shared" si="305"/>
        <v>14.91215953</v>
      </c>
      <c r="F306" s="1">
        <f t="shared" si="305"/>
        <v>11.94138323</v>
      </c>
      <c r="G306" s="1">
        <f t="shared" si="305"/>
        <v>18.07537431</v>
      </c>
      <c r="H306" s="1">
        <f t="shared" si="305"/>
        <v>20.78341531</v>
      </c>
      <c r="I306" s="1">
        <f t="shared" si="305"/>
        <v>10.56767433</v>
      </c>
      <c r="J306" s="1">
        <f t="shared" si="305"/>
        <v>18.03590854</v>
      </c>
      <c r="K306" s="1">
        <f t="shared" si="305"/>
        <v>9.201795373</v>
      </c>
      <c r="L306" s="1">
        <f t="shared" si="305"/>
        <v>15.53535656</v>
      </c>
      <c r="M306" s="1">
        <f t="shared" si="305"/>
        <v>22.25950597</v>
      </c>
      <c r="N306" s="1">
        <f t="shared" si="305"/>
        <v>17.01295111</v>
      </c>
      <c r="O306" s="1">
        <f t="shared" si="305"/>
        <v>11.79552572</v>
      </c>
      <c r="P306" s="1">
        <f t="shared" si="305"/>
        <v>18.0030005</v>
      </c>
      <c r="Q306" s="1">
        <f t="shared" si="305"/>
        <v>12.38552496</v>
      </c>
      <c r="R306" s="1">
        <f t="shared" si="305"/>
        <v>30.16045361</v>
      </c>
      <c r="S306" s="1">
        <f t="shared" si="305"/>
        <v>16.13303061</v>
      </c>
      <c r="T306" s="1">
        <f t="shared" si="305"/>
        <v>16.1216097</v>
      </c>
      <c r="U306" s="1">
        <f t="shared" si="305"/>
        <v>18.70760389</v>
      </c>
    </row>
    <row r="307">
      <c r="A307" s="3">
        <f>IFERROR(__xludf.DUMMYFUNCTION("""COMPUTED_VALUE"""),44226.0)</f>
        <v>44226</v>
      </c>
      <c r="B307" s="1">
        <f t="shared" ref="B307:U307" si="306">IF($A307&gt;0,Megyeinapi!B307/'megyelakosság'!B$2*100000," ")</f>
        <v>15.33192625</v>
      </c>
      <c r="C307" s="1">
        <f t="shared" si="306"/>
        <v>21.16349075</v>
      </c>
      <c r="D307" s="1">
        <f t="shared" si="306"/>
        <v>13.91653708</v>
      </c>
      <c r="E307" s="1">
        <f t="shared" si="306"/>
        <v>7.377594716</v>
      </c>
      <c r="F307" s="1">
        <f t="shared" si="306"/>
        <v>12.6841487</v>
      </c>
      <c r="G307" s="1">
        <f t="shared" si="306"/>
        <v>15.06281193</v>
      </c>
      <c r="H307" s="1">
        <f t="shared" si="306"/>
        <v>15.2889492</v>
      </c>
      <c r="I307" s="1">
        <f t="shared" si="306"/>
        <v>14.37203709</v>
      </c>
      <c r="J307" s="1">
        <f t="shared" si="306"/>
        <v>17.46635354</v>
      </c>
      <c r="K307" s="1">
        <f t="shared" si="306"/>
        <v>9.883409845</v>
      </c>
      <c r="L307" s="1">
        <f t="shared" si="306"/>
        <v>11.99220507</v>
      </c>
      <c r="M307" s="1">
        <f t="shared" si="306"/>
        <v>14.95041446</v>
      </c>
      <c r="N307" s="1">
        <f t="shared" si="306"/>
        <v>19.13957</v>
      </c>
      <c r="O307" s="1">
        <f t="shared" si="306"/>
        <v>12.95194981</v>
      </c>
      <c r="P307" s="1">
        <f t="shared" si="306"/>
        <v>14.66911152</v>
      </c>
      <c r="Q307" s="1">
        <f t="shared" si="306"/>
        <v>13.11408526</v>
      </c>
      <c r="R307" s="1">
        <f t="shared" si="306"/>
        <v>23.66435591</v>
      </c>
      <c r="S307" s="1">
        <f t="shared" si="306"/>
        <v>16.92000771</v>
      </c>
      <c r="T307" s="1">
        <f t="shared" si="306"/>
        <v>16.1216097</v>
      </c>
      <c r="U307" s="1">
        <f t="shared" si="306"/>
        <v>11.59871441</v>
      </c>
    </row>
    <row r="308">
      <c r="A308" s="3">
        <f>IFERROR(__xludf.DUMMYFUNCTION("""COMPUTED_VALUE"""),44227.0)</f>
        <v>44227</v>
      </c>
      <c r="B308" s="1">
        <f t="shared" ref="B308:U308" si="307">IF($A308&gt;0,Megyeinapi!B308/'megyelakosság'!B$2*100000," ")</f>
        <v>23.29656326</v>
      </c>
      <c r="C308" s="1">
        <f t="shared" si="307"/>
        <v>18.37882092</v>
      </c>
      <c r="D308" s="1">
        <f t="shared" si="307"/>
        <v>8.77346903</v>
      </c>
      <c r="E308" s="1">
        <f t="shared" si="307"/>
        <v>20.24914294</v>
      </c>
      <c r="F308" s="1">
        <f t="shared" si="307"/>
        <v>13.99827221</v>
      </c>
      <c r="G308" s="1">
        <f t="shared" si="307"/>
        <v>9.288734021</v>
      </c>
      <c r="H308" s="1">
        <f t="shared" si="307"/>
        <v>11.94449156</v>
      </c>
      <c r="I308" s="1">
        <f t="shared" si="307"/>
        <v>6.129251111</v>
      </c>
      <c r="J308" s="1">
        <f t="shared" si="307"/>
        <v>8.733176769</v>
      </c>
      <c r="K308" s="1">
        <f t="shared" si="307"/>
        <v>8.860988137</v>
      </c>
      <c r="L308" s="1">
        <f t="shared" si="307"/>
        <v>12.80985541</v>
      </c>
      <c r="M308" s="1">
        <f t="shared" si="307"/>
        <v>21.59504311</v>
      </c>
      <c r="N308" s="1">
        <f t="shared" si="307"/>
        <v>18.60791528</v>
      </c>
      <c r="O308" s="1">
        <f t="shared" si="307"/>
        <v>13.02904475</v>
      </c>
      <c r="P308" s="1">
        <f t="shared" si="307"/>
        <v>11.33522254</v>
      </c>
      <c r="Q308" s="1">
        <f t="shared" si="307"/>
        <v>7.467742993</v>
      </c>
      <c r="R308" s="1">
        <f t="shared" si="307"/>
        <v>8.816132595</v>
      </c>
      <c r="S308" s="1">
        <f t="shared" si="307"/>
        <v>20.06791612</v>
      </c>
      <c r="T308" s="1">
        <f t="shared" si="307"/>
        <v>12.01792723</v>
      </c>
      <c r="U308" s="1">
        <f t="shared" si="307"/>
        <v>11.59871441</v>
      </c>
    </row>
    <row r="309">
      <c r="A309" s="3">
        <f>IFERROR(__xludf.DUMMYFUNCTION("""COMPUTED_VALUE"""),44228.0)</f>
        <v>44228</v>
      </c>
      <c r="B309" s="1">
        <f t="shared" ref="B309:U309" si="308">IF($A309&gt;0,Megyeinapi!B309/'megyelakosság'!B$2*100000," ")</f>
        <v>13.34076699</v>
      </c>
      <c r="C309" s="1">
        <f t="shared" si="308"/>
        <v>13.36641521</v>
      </c>
      <c r="D309" s="1">
        <f t="shared" si="308"/>
        <v>3.932934393</v>
      </c>
      <c r="E309" s="1">
        <f t="shared" si="308"/>
        <v>9.26123592</v>
      </c>
      <c r="F309" s="1">
        <f t="shared" si="308"/>
        <v>11.25575358</v>
      </c>
      <c r="G309" s="1">
        <f t="shared" si="308"/>
        <v>12.05024954</v>
      </c>
      <c r="H309" s="1">
        <f t="shared" si="308"/>
        <v>10.51115257</v>
      </c>
      <c r="I309" s="1">
        <f t="shared" si="308"/>
        <v>14.1606836</v>
      </c>
      <c r="J309" s="1">
        <f t="shared" si="308"/>
        <v>11.0113968</v>
      </c>
      <c r="K309" s="1">
        <f t="shared" si="308"/>
        <v>6.134530248</v>
      </c>
      <c r="L309" s="1">
        <f t="shared" si="308"/>
        <v>10.62945449</v>
      </c>
      <c r="M309" s="1">
        <f t="shared" si="308"/>
        <v>9.63471154</v>
      </c>
      <c r="N309" s="1">
        <f t="shared" si="308"/>
        <v>4.784892499</v>
      </c>
      <c r="O309" s="1">
        <f t="shared" si="308"/>
        <v>13.26032957</v>
      </c>
      <c r="P309" s="1">
        <f t="shared" si="308"/>
        <v>19.33655609</v>
      </c>
      <c r="Q309" s="1">
        <f t="shared" si="308"/>
        <v>9.10700365</v>
      </c>
      <c r="R309" s="1">
        <f t="shared" si="308"/>
        <v>15.77623727</v>
      </c>
      <c r="S309" s="1">
        <f t="shared" si="308"/>
        <v>11.41116799</v>
      </c>
      <c r="T309" s="1">
        <f t="shared" si="308"/>
        <v>15.53536935</v>
      </c>
      <c r="U309" s="1">
        <f t="shared" si="308"/>
        <v>11.97286649</v>
      </c>
    </row>
    <row r="310">
      <c r="A310" s="3">
        <f>IFERROR(__xludf.DUMMYFUNCTION("""COMPUTED_VALUE"""),44229.0)</f>
        <v>44229</v>
      </c>
      <c r="B310" s="1">
        <f t="shared" ref="B310:U310" si="309">IF($A310&gt;0,Megyeinapi!B310/'megyelakosság'!B$2*100000," ")</f>
        <v>6.570825535</v>
      </c>
      <c r="C310" s="1">
        <f t="shared" si="309"/>
        <v>3.341603803</v>
      </c>
      <c r="D310" s="1">
        <f t="shared" si="309"/>
        <v>6.655735126</v>
      </c>
      <c r="E310" s="1">
        <f t="shared" si="309"/>
        <v>2.982431906</v>
      </c>
      <c r="F310" s="1">
        <f t="shared" si="309"/>
        <v>6.742024984</v>
      </c>
      <c r="G310" s="1">
        <f t="shared" si="309"/>
        <v>5.020937309</v>
      </c>
      <c r="H310" s="1">
        <f t="shared" si="309"/>
        <v>3.583347468</v>
      </c>
      <c r="I310" s="1">
        <f t="shared" si="309"/>
        <v>3.170302299</v>
      </c>
      <c r="J310" s="1">
        <f t="shared" si="309"/>
        <v>2.657923364</v>
      </c>
      <c r="K310" s="1">
        <f t="shared" si="309"/>
        <v>4.089686832</v>
      </c>
      <c r="L310" s="1">
        <f t="shared" si="309"/>
        <v>6.268652649</v>
      </c>
      <c r="M310" s="1">
        <f t="shared" si="309"/>
        <v>14.28595159</v>
      </c>
      <c r="N310" s="1">
        <f t="shared" si="309"/>
        <v>6.911511388</v>
      </c>
      <c r="O310" s="1">
        <f t="shared" si="309"/>
        <v>6.013405268</v>
      </c>
      <c r="P310" s="1">
        <f t="shared" si="309"/>
        <v>9.334889148</v>
      </c>
      <c r="Q310" s="1">
        <f t="shared" si="309"/>
        <v>3.64280146</v>
      </c>
      <c r="R310" s="1">
        <f t="shared" si="309"/>
        <v>7.424111659</v>
      </c>
      <c r="S310" s="1">
        <f t="shared" si="309"/>
        <v>10.62419089</v>
      </c>
      <c r="T310" s="1">
        <f t="shared" si="309"/>
        <v>7.914244761</v>
      </c>
      <c r="U310" s="1">
        <f t="shared" si="309"/>
        <v>8.605497791</v>
      </c>
    </row>
    <row r="311">
      <c r="A311" s="3">
        <f>IFERROR(__xludf.DUMMYFUNCTION("""COMPUTED_VALUE"""),44230.0)</f>
        <v>44230</v>
      </c>
      <c r="B311" s="1">
        <f t="shared" ref="B311:U311" si="310">IF($A311&gt;0,Megyeinapi!B311/'megyelakosság'!B$2*100000," ")</f>
        <v>10.95137589</v>
      </c>
      <c r="C311" s="1">
        <f t="shared" si="310"/>
        <v>17.82188695</v>
      </c>
      <c r="D311" s="1">
        <f t="shared" si="310"/>
        <v>4.235467807</v>
      </c>
      <c r="E311" s="1">
        <f t="shared" si="310"/>
        <v>8.162445217</v>
      </c>
      <c r="F311" s="1">
        <f t="shared" si="310"/>
        <v>10.79866714</v>
      </c>
      <c r="G311" s="1">
        <f t="shared" si="310"/>
        <v>8.033499694</v>
      </c>
      <c r="H311" s="1">
        <f t="shared" si="310"/>
        <v>10.7500424</v>
      </c>
      <c r="I311" s="1">
        <f t="shared" si="310"/>
        <v>8.66549295</v>
      </c>
      <c r="J311" s="1">
        <f t="shared" si="310"/>
        <v>10.63169346</v>
      </c>
      <c r="K311" s="1">
        <f t="shared" si="310"/>
        <v>8.860988137</v>
      </c>
      <c r="L311" s="1">
        <f t="shared" si="310"/>
        <v>14.71770622</v>
      </c>
      <c r="M311" s="1">
        <f t="shared" si="310"/>
        <v>9.966942972</v>
      </c>
      <c r="N311" s="1">
        <f t="shared" si="310"/>
        <v>21.26618889</v>
      </c>
      <c r="O311" s="1">
        <f t="shared" si="310"/>
        <v>11.48714596</v>
      </c>
      <c r="P311" s="1">
        <f t="shared" si="310"/>
        <v>14.00233372</v>
      </c>
      <c r="Q311" s="1">
        <f t="shared" si="310"/>
        <v>5.828482336</v>
      </c>
      <c r="R311" s="1">
        <f t="shared" si="310"/>
        <v>15.77623727</v>
      </c>
      <c r="S311" s="1">
        <f t="shared" si="310"/>
        <v>14.5590764</v>
      </c>
      <c r="T311" s="1">
        <f t="shared" si="310"/>
        <v>11.1385667</v>
      </c>
      <c r="U311" s="1">
        <f t="shared" si="310"/>
        <v>6.734737401</v>
      </c>
    </row>
    <row r="312">
      <c r="A312" s="3">
        <f>IFERROR(__xludf.DUMMYFUNCTION("""COMPUTED_VALUE"""),44231.0)</f>
        <v>44231</v>
      </c>
      <c r="B312" s="1">
        <f t="shared" ref="B312:U312" si="311">IF($A312&gt;0,Megyeinapi!B312/'megyelakosság'!B$2*100000," ")</f>
        <v>21.70363586</v>
      </c>
      <c r="C312" s="1">
        <f t="shared" si="311"/>
        <v>23.94816059</v>
      </c>
      <c r="D312" s="1">
        <f t="shared" si="311"/>
        <v>10.89120293</v>
      </c>
      <c r="E312" s="1">
        <f t="shared" si="311"/>
        <v>13.49942863</v>
      </c>
      <c r="F312" s="1">
        <f t="shared" si="311"/>
        <v>13.25550675</v>
      </c>
      <c r="G312" s="1">
        <f t="shared" si="311"/>
        <v>14.30967133</v>
      </c>
      <c r="H312" s="1">
        <f t="shared" si="311"/>
        <v>15.2889492</v>
      </c>
      <c r="I312" s="1">
        <f t="shared" si="311"/>
        <v>12.04714874</v>
      </c>
      <c r="J312" s="1">
        <f t="shared" si="311"/>
        <v>25.06042029</v>
      </c>
      <c r="K312" s="1">
        <f t="shared" si="311"/>
        <v>15.33632562</v>
      </c>
      <c r="L312" s="1">
        <f t="shared" si="311"/>
        <v>13.62750576</v>
      </c>
      <c r="M312" s="1">
        <f t="shared" si="311"/>
        <v>21.92727454</v>
      </c>
      <c r="N312" s="1">
        <f t="shared" si="311"/>
        <v>29.24100972</v>
      </c>
      <c r="O312" s="1">
        <f t="shared" si="311"/>
        <v>16.34412714</v>
      </c>
      <c r="P312" s="1">
        <f t="shared" si="311"/>
        <v>26.33772295</v>
      </c>
      <c r="Q312" s="1">
        <f t="shared" si="311"/>
        <v>17.84972715</v>
      </c>
      <c r="R312" s="1">
        <f t="shared" si="311"/>
        <v>30.16045361</v>
      </c>
      <c r="S312" s="1">
        <f t="shared" si="311"/>
        <v>16.52651916</v>
      </c>
      <c r="T312" s="1">
        <f t="shared" si="311"/>
        <v>17.2940904</v>
      </c>
      <c r="U312" s="1">
        <f t="shared" si="311"/>
        <v>8.231345713</v>
      </c>
    </row>
    <row r="313">
      <c r="A313" s="3">
        <f>IFERROR(__xludf.DUMMYFUNCTION("""COMPUTED_VALUE"""),44232.0)</f>
        <v>44232</v>
      </c>
      <c r="B313" s="1">
        <f t="shared" ref="B313:U313" si="312">IF($A313&gt;0,Megyeinapi!B313/'megyelakosság'!B$2*100000," ")</f>
        <v>15.13281032</v>
      </c>
      <c r="C313" s="1">
        <f t="shared" si="312"/>
        <v>17.54341996</v>
      </c>
      <c r="D313" s="1">
        <f t="shared" si="312"/>
        <v>11.79880318</v>
      </c>
      <c r="E313" s="1">
        <f t="shared" si="312"/>
        <v>12.08669773</v>
      </c>
      <c r="F313" s="1">
        <f t="shared" si="312"/>
        <v>16.39797602</v>
      </c>
      <c r="G313" s="1">
        <f t="shared" si="312"/>
        <v>12.80339014</v>
      </c>
      <c r="H313" s="1">
        <f t="shared" si="312"/>
        <v>15.2889492</v>
      </c>
      <c r="I313" s="1">
        <f t="shared" si="312"/>
        <v>15.21745103</v>
      </c>
      <c r="J313" s="1">
        <f t="shared" si="312"/>
        <v>13.47946849</v>
      </c>
      <c r="K313" s="1">
        <f t="shared" si="312"/>
        <v>16.01794009</v>
      </c>
      <c r="L313" s="1">
        <f t="shared" si="312"/>
        <v>10.90200461</v>
      </c>
      <c r="M313" s="1">
        <f t="shared" si="312"/>
        <v>28.57190319</v>
      </c>
      <c r="N313" s="1">
        <f t="shared" si="312"/>
        <v>23.39280777</v>
      </c>
      <c r="O313" s="1">
        <f t="shared" si="312"/>
        <v>12.56647511</v>
      </c>
      <c r="P313" s="1">
        <f t="shared" si="312"/>
        <v>22.67044507</v>
      </c>
      <c r="Q313" s="1">
        <f t="shared" si="312"/>
        <v>21.12824847</v>
      </c>
      <c r="R313" s="1">
        <f t="shared" si="312"/>
        <v>29.69644663</v>
      </c>
      <c r="S313" s="1">
        <f t="shared" si="312"/>
        <v>26.7572215</v>
      </c>
      <c r="T313" s="1">
        <f t="shared" si="312"/>
        <v>13.48352811</v>
      </c>
      <c r="U313" s="1">
        <f t="shared" si="312"/>
        <v>12.72117065</v>
      </c>
    </row>
    <row r="314">
      <c r="A314" s="3">
        <f>IFERROR(__xludf.DUMMYFUNCTION("""COMPUTED_VALUE"""),44233.0)</f>
        <v>44233</v>
      </c>
      <c r="B314" s="1">
        <f t="shared" ref="B314:U314" si="313">IF($A314&gt;0,Megyeinapi!B314/'megyelakosság'!B$2*100000," ")</f>
        <v>17.72131735</v>
      </c>
      <c r="C314" s="1">
        <f t="shared" si="313"/>
        <v>14.48028315</v>
      </c>
      <c r="D314" s="1">
        <f t="shared" si="313"/>
        <v>6.655735126</v>
      </c>
      <c r="E314" s="1">
        <f t="shared" si="313"/>
        <v>14.91215953</v>
      </c>
      <c r="F314" s="1">
        <f t="shared" si="313"/>
        <v>18.79767983</v>
      </c>
      <c r="G314" s="1">
        <f t="shared" si="313"/>
        <v>11.54815581</v>
      </c>
      <c r="H314" s="1">
        <f t="shared" si="313"/>
        <v>9.555593247</v>
      </c>
      <c r="I314" s="1">
        <f t="shared" si="313"/>
        <v>18.38775333</v>
      </c>
      <c r="J314" s="1">
        <f t="shared" si="313"/>
        <v>13.85917183</v>
      </c>
      <c r="K314" s="1">
        <f t="shared" si="313"/>
        <v>13.63228944</v>
      </c>
      <c r="L314" s="1">
        <f t="shared" si="313"/>
        <v>10.62945449</v>
      </c>
      <c r="M314" s="1">
        <f t="shared" si="313"/>
        <v>23.25620027</v>
      </c>
      <c r="N314" s="1">
        <f t="shared" si="313"/>
        <v>13.82302278</v>
      </c>
      <c r="O314" s="1">
        <f t="shared" si="313"/>
        <v>16.49831702</v>
      </c>
      <c r="P314" s="1">
        <f t="shared" si="313"/>
        <v>23.00383397</v>
      </c>
      <c r="Q314" s="1">
        <f t="shared" si="313"/>
        <v>16.2104665</v>
      </c>
      <c r="R314" s="1">
        <f t="shared" si="313"/>
        <v>19.4882931</v>
      </c>
      <c r="S314" s="1">
        <f t="shared" si="313"/>
        <v>25.57675584</v>
      </c>
      <c r="T314" s="1">
        <f t="shared" si="313"/>
        <v>15.82848952</v>
      </c>
      <c r="U314" s="1">
        <f t="shared" si="313"/>
        <v>7.483041557</v>
      </c>
    </row>
    <row r="315">
      <c r="A315" s="3">
        <f>IFERROR(__xludf.DUMMYFUNCTION("""COMPUTED_VALUE"""),44234.0)</f>
        <v>44234</v>
      </c>
      <c r="B315" s="1">
        <f t="shared" ref="B315:U315" si="314">IF($A315&gt;0,Megyeinapi!B315/'megyelakosság'!B$2*100000," ")</f>
        <v>11.54872367</v>
      </c>
      <c r="C315" s="1">
        <f t="shared" si="314"/>
        <v>15.03721711</v>
      </c>
      <c r="D315" s="1">
        <f t="shared" si="314"/>
        <v>9.076002444</v>
      </c>
      <c r="E315" s="1">
        <f t="shared" si="314"/>
        <v>13.02851833</v>
      </c>
      <c r="F315" s="1">
        <f t="shared" si="314"/>
        <v>15.99802539</v>
      </c>
      <c r="G315" s="1">
        <f t="shared" si="314"/>
        <v>11.54815581</v>
      </c>
      <c r="H315" s="1">
        <f t="shared" si="314"/>
        <v>10.03337291</v>
      </c>
      <c r="I315" s="1">
        <f t="shared" si="314"/>
        <v>17.11963241</v>
      </c>
      <c r="J315" s="1">
        <f t="shared" si="314"/>
        <v>12.15050681</v>
      </c>
      <c r="K315" s="1">
        <f t="shared" si="314"/>
        <v>11.24663879</v>
      </c>
      <c r="L315" s="1">
        <f t="shared" si="314"/>
        <v>6.813752879</v>
      </c>
      <c r="M315" s="1">
        <f t="shared" si="314"/>
        <v>22.5917374</v>
      </c>
      <c r="N315" s="1">
        <f t="shared" si="314"/>
        <v>17.54460583</v>
      </c>
      <c r="O315" s="1">
        <f t="shared" si="314"/>
        <v>16.72960184</v>
      </c>
      <c r="P315" s="1">
        <f t="shared" si="314"/>
        <v>12.66877813</v>
      </c>
      <c r="Q315" s="1">
        <f t="shared" si="314"/>
        <v>19.12470767</v>
      </c>
      <c r="R315" s="1">
        <f t="shared" si="314"/>
        <v>17.16825821</v>
      </c>
      <c r="S315" s="1">
        <f t="shared" si="314"/>
        <v>6.295816823</v>
      </c>
      <c r="T315" s="1">
        <f t="shared" si="314"/>
        <v>12.01792723</v>
      </c>
      <c r="U315" s="1">
        <f t="shared" si="314"/>
        <v>7.108889479</v>
      </c>
    </row>
    <row r="316">
      <c r="A316" s="3">
        <f>IFERROR(__xludf.DUMMYFUNCTION("""COMPUTED_VALUE"""),44235.0)</f>
        <v>44235</v>
      </c>
      <c r="B316" s="1">
        <f t="shared" ref="B316:U316" si="315">IF($A316&gt;0,Megyeinapi!B316/'megyelakosság'!B$2*100000," ")</f>
        <v>13.53988292</v>
      </c>
      <c r="C316" s="1">
        <f t="shared" si="315"/>
        <v>8.075542523</v>
      </c>
      <c r="D316" s="1">
        <f t="shared" si="315"/>
        <v>5.748134881</v>
      </c>
      <c r="E316" s="1">
        <f t="shared" si="315"/>
        <v>17.42368114</v>
      </c>
      <c r="F316" s="1">
        <f t="shared" si="315"/>
        <v>12.16992645</v>
      </c>
      <c r="G316" s="1">
        <f t="shared" si="315"/>
        <v>6.778265367</v>
      </c>
      <c r="H316" s="1">
        <f t="shared" si="315"/>
        <v>6.688915273</v>
      </c>
      <c r="I316" s="1">
        <f t="shared" si="315"/>
        <v>16.06286498</v>
      </c>
      <c r="J316" s="1">
        <f t="shared" si="315"/>
        <v>7.973770093</v>
      </c>
      <c r="K316" s="1">
        <f t="shared" si="315"/>
        <v>4.771301304</v>
      </c>
      <c r="L316" s="1">
        <f t="shared" si="315"/>
        <v>8.176503455</v>
      </c>
      <c r="M316" s="1">
        <f t="shared" si="315"/>
        <v>15.61487732</v>
      </c>
      <c r="N316" s="1">
        <f t="shared" si="315"/>
        <v>11.69640389</v>
      </c>
      <c r="O316" s="1">
        <f t="shared" si="315"/>
        <v>16.2670322</v>
      </c>
      <c r="P316" s="1">
        <f t="shared" si="315"/>
        <v>13.00216703</v>
      </c>
      <c r="Q316" s="1">
        <f t="shared" si="315"/>
        <v>13.11408526</v>
      </c>
      <c r="R316" s="1">
        <f t="shared" si="315"/>
        <v>15.3122303</v>
      </c>
      <c r="S316" s="1">
        <f t="shared" si="315"/>
        <v>10.23070234</v>
      </c>
      <c r="T316" s="1">
        <f t="shared" si="315"/>
        <v>12.60416758</v>
      </c>
      <c r="U316" s="1">
        <f t="shared" si="315"/>
        <v>3.741520779</v>
      </c>
    </row>
    <row r="317">
      <c r="A317" s="3">
        <f>IFERROR(__xludf.DUMMYFUNCTION("""COMPUTED_VALUE"""),44236.0)</f>
        <v>44236</v>
      </c>
      <c r="B317" s="1">
        <f t="shared" ref="B317:U317" si="316">IF($A317&gt;0,Megyeinapi!B317/'megyelakosság'!B$2*100000," ")</f>
        <v>13.14165107</v>
      </c>
      <c r="C317" s="1">
        <f t="shared" si="316"/>
        <v>13.08794823</v>
      </c>
      <c r="D317" s="1">
        <f t="shared" si="316"/>
        <v>9.681069274</v>
      </c>
      <c r="E317" s="1">
        <f t="shared" si="316"/>
        <v>10.67396682</v>
      </c>
      <c r="F317" s="1">
        <f t="shared" si="316"/>
        <v>10.79866714</v>
      </c>
      <c r="G317" s="1">
        <f t="shared" si="316"/>
        <v>11.29710894</v>
      </c>
      <c r="H317" s="1">
        <f t="shared" si="316"/>
        <v>13.85561021</v>
      </c>
      <c r="I317" s="1">
        <f t="shared" si="316"/>
        <v>5.917897625</v>
      </c>
      <c r="J317" s="1">
        <f t="shared" si="316"/>
        <v>10.63169346</v>
      </c>
      <c r="K317" s="1">
        <f t="shared" si="316"/>
        <v>9.883409845</v>
      </c>
      <c r="L317" s="1">
        <f t="shared" si="316"/>
        <v>7.358853109</v>
      </c>
      <c r="M317" s="1">
        <f t="shared" si="316"/>
        <v>11.2958687</v>
      </c>
      <c r="N317" s="1">
        <f t="shared" si="316"/>
        <v>17.01295111</v>
      </c>
      <c r="O317" s="1">
        <f t="shared" si="316"/>
        <v>10.40781681</v>
      </c>
      <c r="P317" s="1">
        <f t="shared" si="316"/>
        <v>13.33555593</v>
      </c>
      <c r="Q317" s="1">
        <f t="shared" si="316"/>
        <v>15.84618635</v>
      </c>
      <c r="R317" s="1">
        <f t="shared" si="316"/>
        <v>12.52818842</v>
      </c>
      <c r="S317" s="1">
        <f t="shared" si="316"/>
        <v>9.837213786</v>
      </c>
      <c r="T317" s="1">
        <f t="shared" si="316"/>
        <v>9.086725467</v>
      </c>
      <c r="U317" s="1">
        <f t="shared" si="316"/>
        <v>8.605497791</v>
      </c>
    </row>
    <row r="318">
      <c r="A318" s="3">
        <f>IFERROR(__xludf.DUMMYFUNCTION("""COMPUTED_VALUE"""),44237.0)</f>
        <v>44237</v>
      </c>
      <c r="B318" s="1">
        <f t="shared" ref="B318:U318" si="317">IF($A318&gt;0,Megyeinapi!B318/'megyelakosság'!B$2*100000," ")</f>
        <v>11.54872367</v>
      </c>
      <c r="C318" s="1">
        <f t="shared" si="317"/>
        <v>16.42955203</v>
      </c>
      <c r="D318" s="1">
        <f t="shared" si="317"/>
        <v>6.655735126</v>
      </c>
      <c r="E318" s="1">
        <f t="shared" si="317"/>
        <v>11.30184722</v>
      </c>
      <c r="F318" s="1">
        <f t="shared" si="317"/>
        <v>13.31264255</v>
      </c>
      <c r="G318" s="1">
        <f t="shared" si="317"/>
        <v>12.05024954</v>
      </c>
      <c r="H318" s="1">
        <f t="shared" si="317"/>
        <v>8.361144091</v>
      </c>
      <c r="I318" s="1">
        <f t="shared" si="317"/>
        <v>12.89256268</v>
      </c>
      <c r="J318" s="1">
        <f t="shared" si="317"/>
        <v>15.37798518</v>
      </c>
      <c r="K318" s="1">
        <f t="shared" si="317"/>
        <v>20.7892414</v>
      </c>
      <c r="L318" s="1">
        <f t="shared" si="317"/>
        <v>9.53925403</v>
      </c>
      <c r="M318" s="1">
        <f t="shared" si="317"/>
        <v>12.62479443</v>
      </c>
      <c r="N318" s="1">
        <f t="shared" si="317"/>
        <v>26.05108139</v>
      </c>
      <c r="O318" s="1">
        <f t="shared" si="317"/>
        <v>13.49161438</v>
      </c>
      <c r="P318" s="1">
        <f t="shared" si="317"/>
        <v>27.00450075</v>
      </c>
      <c r="Q318" s="1">
        <f t="shared" si="317"/>
        <v>8.196303285</v>
      </c>
      <c r="R318" s="1">
        <f t="shared" si="317"/>
        <v>10.67216051</v>
      </c>
      <c r="S318" s="1">
        <f t="shared" si="317"/>
        <v>7.082793926</v>
      </c>
      <c r="T318" s="1">
        <f t="shared" si="317"/>
        <v>19.05281146</v>
      </c>
      <c r="U318" s="1">
        <f t="shared" si="317"/>
        <v>7.483041557</v>
      </c>
    </row>
    <row r="319">
      <c r="A319" s="3">
        <f>IFERROR(__xludf.DUMMYFUNCTION("""COMPUTED_VALUE"""),44238.0)</f>
        <v>44238</v>
      </c>
      <c r="B319" s="1">
        <f t="shared" ref="B319:U319" si="318">IF($A319&gt;0,Megyeinapi!B319/'megyelakosság'!B$2*100000," ")</f>
        <v>18.31866513</v>
      </c>
      <c r="C319" s="1">
        <f t="shared" si="318"/>
        <v>16.70801901</v>
      </c>
      <c r="D319" s="1">
        <f t="shared" si="318"/>
        <v>12.40387001</v>
      </c>
      <c r="E319" s="1">
        <f t="shared" si="318"/>
        <v>20.09217284</v>
      </c>
      <c r="F319" s="1">
        <f t="shared" si="318"/>
        <v>19.82612432</v>
      </c>
      <c r="G319" s="1">
        <f t="shared" si="318"/>
        <v>22.34317102</v>
      </c>
      <c r="H319" s="1">
        <f t="shared" si="318"/>
        <v>18.63340683</v>
      </c>
      <c r="I319" s="1">
        <f t="shared" si="318"/>
        <v>23.6715905</v>
      </c>
      <c r="J319" s="1">
        <f t="shared" si="318"/>
        <v>13.85917183</v>
      </c>
      <c r="K319" s="1">
        <f t="shared" si="318"/>
        <v>13.63228944</v>
      </c>
      <c r="L319" s="1">
        <f t="shared" si="318"/>
        <v>13.62750576</v>
      </c>
      <c r="M319" s="1">
        <f t="shared" si="318"/>
        <v>20.59834881</v>
      </c>
      <c r="N319" s="1">
        <f t="shared" si="318"/>
        <v>24.45611722</v>
      </c>
      <c r="O319" s="1">
        <f t="shared" si="318"/>
        <v>22.82010204</v>
      </c>
      <c r="P319" s="1">
        <f t="shared" si="318"/>
        <v>24.67077846</v>
      </c>
      <c r="Q319" s="1">
        <f t="shared" si="318"/>
        <v>16.75688672</v>
      </c>
      <c r="R319" s="1">
        <f t="shared" si="318"/>
        <v>35.26453038</v>
      </c>
      <c r="S319" s="1">
        <f t="shared" si="318"/>
        <v>10.62419089</v>
      </c>
      <c r="T319" s="1">
        <f t="shared" si="318"/>
        <v>14.36288864</v>
      </c>
      <c r="U319" s="1">
        <f t="shared" si="318"/>
        <v>11.22456234</v>
      </c>
    </row>
    <row r="320">
      <c r="A320" s="3">
        <f>IFERROR(__xludf.DUMMYFUNCTION("""COMPUTED_VALUE"""),44239.0)</f>
        <v>44239</v>
      </c>
      <c r="B320" s="1">
        <f t="shared" ref="B320:U320" si="319">IF($A320&gt;0,Megyeinapi!B320/'megyelakosság'!B$2*100000," ")</f>
        <v>18.31866513</v>
      </c>
      <c r="C320" s="1">
        <f t="shared" si="319"/>
        <v>15.87261806</v>
      </c>
      <c r="D320" s="1">
        <f t="shared" si="319"/>
        <v>10.58866952</v>
      </c>
      <c r="E320" s="1">
        <f t="shared" si="319"/>
        <v>24.80127585</v>
      </c>
      <c r="F320" s="1">
        <f t="shared" si="319"/>
        <v>21.25451944</v>
      </c>
      <c r="G320" s="1">
        <f t="shared" si="319"/>
        <v>19.5816555</v>
      </c>
      <c r="H320" s="1">
        <f t="shared" si="319"/>
        <v>8.12225426</v>
      </c>
      <c r="I320" s="1">
        <f t="shared" si="319"/>
        <v>23.88294398</v>
      </c>
      <c r="J320" s="1">
        <f t="shared" si="319"/>
        <v>14.80843017</v>
      </c>
      <c r="K320" s="1">
        <f t="shared" si="319"/>
        <v>13.63228944</v>
      </c>
      <c r="L320" s="1">
        <f t="shared" si="319"/>
        <v>9.53925403</v>
      </c>
      <c r="M320" s="1">
        <f t="shared" si="319"/>
        <v>33.55537467</v>
      </c>
      <c r="N320" s="1">
        <f t="shared" si="319"/>
        <v>28.709355</v>
      </c>
      <c r="O320" s="1">
        <f t="shared" si="319"/>
        <v>18.50278544</v>
      </c>
      <c r="P320" s="1">
        <f t="shared" si="319"/>
        <v>26.33772295</v>
      </c>
      <c r="Q320" s="1">
        <f t="shared" si="319"/>
        <v>20.76396832</v>
      </c>
      <c r="R320" s="1">
        <f t="shared" si="319"/>
        <v>29.23243966</v>
      </c>
      <c r="S320" s="1">
        <f t="shared" si="319"/>
        <v>10.23070234</v>
      </c>
      <c r="T320" s="1">
        <f t="shared" si="319"/>
        <v>20.81153252</v>
      </c>
      <c r="U320" s="1">
        <f t="shared" si="319"/>
        <v>7.483041557</v>
      </c>
    </row>
    <row r="321">
      <c r="A321" s="3">
        <f>IFERROR(__xludf.DUMMYFUNCTION("""COMPUTED_VALUE"""),44240.0)</f>
        <v>44240</v>
      </c>
      <c r="B321" s="1">
        <f t="shared" ref="B321:U321" si="320">IF($A321&gt;0,Megyeinapi!B321/'megyelakosság'!B$2*100000," ")</f>
        <v>22.69921548</v>
      </c>
      <c r="C321" s="1">
        <f t="shared" si="320"/>
        <v>16.986486</v>
      </c>
      <c r="D321" s="1">
        <f t="shared" si="320"/>
        <v>10.89120293</v>
      </c>
      <c r="E321" s="1">
        <f t="shared" si="320"/>
        <v>20.40611304</v>
      </c>
      <c r="F321" s="1">
        <f t="shared" si="320"/>
        <v>29.08212472</v>
      </c>
      <c r="G321" s="1">
        <f t="shared" si="320"/>
        <v>15.06281193</v>
      </c>
      <c r="H321" s="1">
        <f t="shared" si="320"/>
        <v>21.50008481</v>
      </c>
      <c r="I321" s="1">
        <f t="shared" si="320"/>
        <v>22.82617655</v>
      </c>
      <c r="J321" s="1">
        <f t="shared" si="320"/>
        <v>15.94754019</v>
      </c>
      <c r="K321" s="1">
        <f t="shared" si="320"/>
        <v>17.0403618</v>
      </c>
      <c r="L321" s="1">
        <f t="shared" si="320"/>
        <v>7.903953339</v>
      </c>
      <c r="M321" s="1">
        <f t="shared" si="320"/>
        <v>29.23636605</v>
      </c>
      <c r="N321" s="1">
        <f t="shared" si="320"/>
        <v>19.67122472</v>
      </c>
      <c r="O321" s="1">
        <f t="shared" si="320"/>
        <v>25.21004516</v>
      </c>
      <c r="P321" s="1">
        <f t="shared" si="320"/>
        <v>28.33805634</v>
      </c>
      <c r="Q321" s="1">
        <f t="shared" si="320"/>
        <v>13.11408526</v>
      </c>
      <c r="R321" s="1">
        <f t="shared" si="320"/>
        <v>25.05637685</v>
      </c>
      <c r="S321" s="1">
        <f t="shared" si="320"/>
        <v>12.59163365</v>
      </c>
      <c r="T321" s="1">
        <f t="shared" si="320"/>
        <v>7.328004409</v>
      </c>
      <c r="U321" s="1">
        <f t="shared" si="320"/>
        <v>10.85041026</v>
      </c>
    </row>
    <row r="322">
      <c r="A322" s="3">
        <f>IFERROR(__xludf.DUMMYFUNCTION("""COMPUTED_VALUE"""),44241.0)</f>
        <v>44241</v>
      </c>
      <c r="B322" s="1">
        <f t="shared" ref="B322:U322" si="321">IF($A322&gt;0,Megyeinapi!B322/'megyelakosság'!B$2*100000," ")</f>
        <v>13.53988292</v>
      </c>
      <c r="C322" s="1">
        <f t="shared" si="321"/>
        <v>14.48028315</v>
      </c>
      <c r="D322" s="1">
        <f t="shared" si="321"/>
        <v>7.56333537</v>
      </c>
      <c r="E322" s="1">
        <f t="shared" si="321"/>
        <v>26.99885726</v>
      </c>
      <c r="F322" s="1">
        <f t="shared" si="321"/>
        <v>19.94039593</v>
      </c>
      <c r="G322" s="1">
        <f t="shared" si="321"/>
        <v>14.81176506</v>
      </c>
      <c r="H322" s="1">
        <f t="shared" si="321"/>
        <v>11.22782207</v>
      </c>
      <c r="I322" s="1">
        <f t="shared" si="321"/>
        <v>28.11001372</v>
      </c>
      <c r="J322" s="1">
        <f t="shared" si="321"/>
        <v>13.28961682</v>
      </c>
      <c r="K322" s="1">
        <f t="shared" si="321"/>
        <v>11.24663879</v>
      </c>
      <c r="L322" s="1">
        <f t="shared" si="321"/>
        <v>5.451002303</v>
      </c>
      <c r="M322" s="1">
        <f t="shared" si="321"/>
        <v>46.51240054</v>
      </c>
      <c r="N322" s="1">
        <f t="shared" si="321"/>
        <v>24.45611722</v>
      </c>
      <c r="O322" s="1">
        <f t="shared" si="321"/>
        <v>16.18993726</v>
      </c>
      <c r="P322" s="1">
        <f t="shared" si="321"/>
        <v>23.00383397</v>
      </c>
      <c r="Q322" s="1">
        <f t="shared" si="321"/>
        <v>11.29268453</v>
      </c>
      <c r="R322" s="1">
        <f t="shared" si="321"/>
        <v>21.808328</v>
      </c>
      <c r="S322" s="1">
        <f t="shared" si="321"/>
        <v>11.80465654</v>
      </c>
      <c r="T322" s="1">
        <f t="shared" si="321"/>
        <v>15.82848952</v>
      </c>
      <c r="U322" s="1">
        <f t="shared" si="321"/>
        <v>7.857193635</v>
      </c>
    </row>
    <row r="323">
      <c r="A323" s="3">
        <f>IFERROR(__xludf.DUMMYFUNCTION("""COMPUTED_VALUE"""),44242.0)</f>
        <v>44242</v>
      </c>
      <c r="B323" s="1">
        <f t="shared" ref="B323:U323" si="322">IF($A323&gt;0,Megyeinapi!B323/'megyelakosság'!B$2*100000," ")</f>
        <v>16.92485365</v>
      </c>
      <c r="C323" s="1">
        <f t="shared" si="322"/>
        <v>7.240141573</v>
      </c>
      <c r="D323" s="1">
        <f t="shared" si="322"/>
        <v>7.865868785</v>
      </c>
      <c r="E323" s="1">
        <f t="shared" si="322"/>
        <v>13.18548843</v>
      </c>
      <c r="F323" s="1">
        <f t="shared" si="322"/>
        <v>15.0267167</v>
      </c>
      <c r="G323" s="1">
        <f t="shared" si="322"/>
        <v>12.30129641</v>
      </c>
      <c r="H323" s="1">
        <f t="shared" si="322"/>
        <v>10.03337291</v>
      </c>
      <c r="I323" s="1">
        <f t="shared" si="322"/>
        <v>12.04714874</v>
      </c>
      <c r="J323" s="1">
        <f t="shared" si="322"/>
        <v>15.18813351</v>
      </c>
      <c r="K323" s="1">
        <f t="shared" si="322"/>
        <v>7.497759192</v>
      </c>
      <c r="L323" s="1">
        <f t="shared" si="322"/>
        <v>4.088251727</v>
      </c>
      <c r="M323" s="1">
        <f t="shared" si="322"/>
        <v>35.54876327</v>
      </c>
      <c r="N323" s="1">
        <f t="shared" si="322"/>
        <v>9.038130277</v>
      </c>
      <c r="O323" s="1">
        <f t="shared" si="322"/>
        <v>17.26926641</v>
      </c>
      <c r="P323" s="1">
        <f t="shared" si="322"/>
        <v>15.33588931</v>
      </c>
      <c r="Q323" s="1">
        <f t="shared" si="322"/>
        <v>15.11762606</v>
      </c>
      <c r="R323" s="1">
        <f t="shared" si="322"/>
        <v>17.16825821</v>
      </c>
      <c r="S323" s="1">
        <f t="shared" si="322"/>
        <v>11.01767944</v>
      </c>
      <c r="T323" s="1">
        <f t="shared" si="322"/>
        <v>9.086725467</v>
      </c>
      <c r="U323" s="1">
        <f t="shared" si="322"/>
        <v>5.612281168</v>
      </c>
    </row>
    <row r="324">
      <c r="A324" s="3">
        <f>IFERROR(__xludf.DUMMYFUNCTION("""COMPUTED_VALUE"""),44243.0)</f>
        <v>44243</v>
      </c>
      <c r="B324" s="1">
        <f t="shared" ref="B324:U324" si="323">IF($A324&gt;0,Megyeinapi!B324/'megyelakosság'!B$2*100000," ")</f>
        <v>9.955796265</v>
      </c>
      <c r="C324" s="1">
        <f t="shared" si="323"/>
        <v>6.126273638</v>
      </c>
      <c r="D324" s="1">
        <f t="shared" si="323"/>
        <v>2.420267319</v>
      </c>
      <c r="E324" s="1">
        <f t="shared" si="323"/>
        <v>4.238192709</v>
      </c>
      <c r="F324" s="1">
        <f t="shared" si="323"/>
        <v>10.97007455</v>
      </c>
      <c r="G324" s="1">
        <f t="shared" si="323"/>
        <v>6.02512477</v>
      </c>
      <c r="H324" s="1">
        <f t="shared" si="323"/>
        <v>3.822237299</v>
      </c>
      <c r="I324" s="1">
        <f t="shared" si="323"/>
        <v>4.861130192</v>
      </c>
      <c r="J324" s="1">
        <f t="shared" si="323"/>
        <v>6.454956742</v>
      </c>
      <c r="K324" s="1">
        <f t="shared" si="323"/>
        <v>5.452915776</v>
      </c>
      <c r="L324" s="1">
        <f t="shared" si="323"/>
        <v>2.452951036</v>
      </c>
      <c r="M324" s="1">
        <f t="shared" si="323"/>
        <v>22.25950597</v>
      </c>
      <c r="N324" s="1">
        <f t="shared" si="323"/>
        <v>13.29136805</v>
      </c>
      <c r="O324" s="1">
        <f t="shared" si="323"/>
        <v>11.71843078</v>
      </c>
      <c r="P324" s="1">
        <f t="shared" si="323"/>
        <v>7.667944657</v>
      </c>
      <c r="Q324" s="1">
        <f t="shared" si="323"/>
        <v>13.66050548</v>
      </c>
      <c r="R324" s="1">
        <f t="shared" si="323"/>
        <v>8.352125616</v>
      </c>
      <c r="S324" s="1">
        <f t="shared" si="323"/>
        <v>6.689305375</v>
      </c>
      <c r="T324" s="1">
        <f t="shared" si="323"/>
        <v>3.22432194</v>
      </c>
      <c r="U324" s="1">
        <f t="shared" si="323"/>
        <v>5.23812909</v>
      </c>
    </row>
    <row r="325">
      <c r="A325" s="3">
        <f>IFERROR(__xludf.DUMMYFUNCTION("""COMPUTED_VALUE"""),44244.0)</f>
        <v>44244</v>
      </c>
      <c r="B325" s="1">
        <f t="shared" ref="B325:U325" si="324">IF($A325&gt;0,Megyeinapi!B325/'megyelakosság'!B$2*100000," ")</f>
        <v>14.73457847</v>
      </c>
      <c r="C325" s="1">
        <f t="shared" si="324"/>
        <v>17.82188695</v>
      </c>
      <c r="D325" s="1">
        <f t="shared" si="324"/>
        <v>8.77346903</v>
      </c>
      <c r="E325" s="1">
        <f t="shared" si="324"/>
        <v>13.18548843</v>
      </c>
      <c r="F325" s="1">
        <f t="shared" si="324"/>
        <v>15.08385251</v>
      </c>
      <c r="G325" s="1">
        <f t="shared" si="324"/>
        <v>18.32642118</v>
      </c>
      <c r="H325" s="1">
        <f t="shared" si="324"/>
        <v>12.90005088</v>
      </c>
      <c r="I325" s="1">
        <f t="shared" si="324"/>
        <v>25.36241839</v>
      </c>
      <c r="J325" s="1">
        <f t="shared" si="324"/>
        <v>15.94754019</v>
      </c>
      <c r="K325" s="1">
        <f t="shared" si="324"/>
        <v>15.67713286</v>
      </c>
      <c r="L325" s="1">
        <f t="shared" si="324"/>
        <v>6.268652649</v>
      </c>
      <c r="M325" s="1">
        <f t="shared" si="324"/>
        <v>20.26611738</v>
      </c>
      <c r="N325" s="1">
        <f t="shared" si="324"/>
        <v>53.16547222</v>
      </c>
      <c r="O325" s="1">
        <f t="shared" si="324"/>
        <v>15.95865244</v>
      </c>
      <c r="P325" s="1">
        <f t="shared" si="324"/>
        <v>31.00516753</v>
      </c>
      <c r="Q325" s="1">
        <f t="shared" si="324"/>
        <v>10.74626431</v>
      </c>
      <c r="R325" s="1">
        <f t="shared" si="324"/>
        <v>9.744146552</v>
      </c>
      <c r="S325" s="1">
        <f t="shared" si="324"/>
        <v>10.62419089</v>
      </c>
      <c r="T325" s="1">
        <f t="shared" si="324"/>
        <v>13.77664829</v>
      </c>
      <c r="U325" s="1">
        <f t="shared" si="324"/>
        <v>6.734737401</v>
      </c>
    </row>
    <row r="326">
      <c r="A326" s="3">
        <f>IFERROR(__xludf.DUMMYFUNCTION("""COMPUTED_VALUE"""),44245.0)</f>
        <v>44245</v>
      </c>
      <c r="B326" s="1">
        <f t="shared" ref="B326:U326" si="325">IF($A326&gt;0,Megyeinapi!B326/'megyelakosság'!B$2*100000," ")</f>
        <v>29.27004102</v>
      </c>
      <c r="C326" s="1">
        <f t="shared" si="325"/>
        <v>22.27735868</v>
      </c>
      <c r="D326" s="1">
        <f t="shared" si="325"/>
        <v>17.84947147</v>
      </c>
      <c r="E326" s="1">
        <f t="shared" si="325"/>
        <v>34.37645197</v>
      </c>
      <c r="F326" s="1">
        <f t="shared" si="325"/>
        <v>27.42518638</v>
      </c>
      <c r="G326" s="1">
        <f t="shared" si="325"/>
        <v>35.14656116</v>
      </c>
      <c r="H326" s="1">
        <f t="shared" si="325"/>
        <v>32.01123738</v>
      </c>
      <c r="I326" s="1">
        <f t="shared" si="325"/>
        <v>35.08467877</v>
      </c>
      <c r="J326" s="1">
        <f t="shared" si="325"/>
        <v>29.61686035</v>
      </c>
      <c r="K326" s="1">
        <f t="shared" si="325"/>
        <v>20.7892414</v>
      </c>
      <c r="L326" s="1">
        <f t="shared" si="325"/>
        <v>16.08045679</v>
      </c>
      <c r="M326" s="1">
        <f t="shared" si="325"/>
        <v>45.84793767</v>
      </c>
      <c r="N326" s="1">
        <f t="shared" si="325"/>
        <v>61.67194777</v>
      </c>
      <c r="O326" s="1">
        <f t="shared" si="325"/>
        <v>26.75194395</v>
      </c>
      <c r="P326" s="1">
        <f t="shared" si="325"/>
        <v>61.34355726</v>
      </c>
      <c r="Q326" s="1">
        <f t="shared" si="325"/>
        <v>24.77104993</v>
      </c>
      <c r="R326" s="1">
        <f t="shared" si="325"/>
        <v>41.2966211</v>
      </c>
      <c r="S326" s="1">
        <f t="shared" si="325"/>
        <v>13.7720993</v>
      </c>
      <c r="T326" s="1">
        <f t="shared" si="325"/>
        <v>22.86337375</v>
      </c>
      <c r="U326" s="1">
        <f t="shared" si="325"/>
        <v>10.85041026</v>
      </c>
    </row>
    <row r="327">
      <c r="A327" s="3">
        <f>IFERROR(__xludf.DUMMYFUNCTION("""COMPUTED_VALUE"""),44246.0)</f>
        <v>44246</v>
      </c>
      <c r="B327" s="1">
        <f t="shared" ref="B327:U327" si="326">IF($A327&gt;0,Megyeinapi!B327/'megyelakosság'!B$2*100000," ")</f>
        <v>36.43821433</v>
      </c>
      <c r="C327" s="1">
        <f t="shared" si="326"/>
        <v>26.17589645</v>
      </c>
      <c r="D327" s="1">
        <f t="shared" si="326"/>
        <v>20.87480562</v>
      </c>
      <c r="E327" s="1">
        <f t="shared" si="326"/>
        <v>38.30070448</v>
      </c>
      <c r="F327" s="1">
        <f t="shared" si="326"/>
        <v>32.96735946</v>
      </c>
      <c r="G327" s="1">
        <f t="shared" si="326"/>
        <v>29.87457699</v>
      </c>
      <c r="H327" s="1">
        <f t="shared" si="326"/>
        <v>26.27788143</v>
      </c>
      <c r="I327" s="1">
        <f t="shared" si="326"/>
        <v>39.31174851</v>
      </c>
      <c r="J327" s="1">
        <f t="shared" si="326"/>
        <v>37.97033378</v>
      </c>
      <c r="K327" s="1">
        <f t="shared" si="326"/>
        <v>14.99551838</v>
      </c>
      <c r="L327" s="1">
        <f t="shared" si="326"/>
        <v>10.90200461</v>
      </c>
      <c r="M327" s="1">
        <f t="shared" si="326"/>
        <v>53.15702919</v>
      </c>
      <c r="N327" s="1">
        <f t="shared" si="326"/>
        <v>43.59568722</v>
      </c>
      <c r="O327" s="1">
        <f t="shared" si="326"/>
        <v>28.75641237</v>
      </c>
      <c r="P327" s="1">
        <f t="shared" si="326"/>
        <v>68.34472412</v>
      </c>
      <c r="Q327" s="1">
        <f t="shared" si="326"/>
        <v>28.77813153</v>
      </c>
      <c r="R327" s="1">
        <f t="shared" si="326"/>
        <v>51.04076765</v>
      </c>
      <c r="S327" s="1">
        <f t="shared" si="326"/>
        <v>13.37861075</v>
      </c>
      <c r="T327" s="1">
        <f t="shared" si="326"/>
        <v>19.63905181</v>
      </c>
      <c r="U327" s="1">
        <f t="shared" si="326"/>
        <v>14.21777896</v>
      </c>
    </row>
    <row r="328">
      <c r="A328" s="3">
        <f>IFERROR(__xludf.DUMMYFUNCTION("""COMPUTED_VALUE"""),44247.0)</f>
        <v>44247</v>
      </c>
      <c r="B328" s="1">
        <f t="shared" ref="B328:U328" si="327">IF($A328&gt;0,Megyeinapi!B328/'megyelakosság'!B$2*100000," ")</f>
        <v>26.68153399</v>
      </c>
      <c r="C328" s="1">
        <f t="shared" si="327"/>
        <v>15.3156841</v>
      </c>
      <c r="D328" s="1">
        <f t="shared" si="327"/>
        <v>10.89120293</v>
      </c>
      <c r="E328" s="1">
        <f t="shared" si="327"/>
        <v>30.92310977</v>
      </c>
      <c r="F328" s="1">
        <f t="shared" si="327"/>
        <v>29.25353214</v>
      </c>
      <c r="G328" s="1">
        <f t="shared" si="327"/>
        <v>31.12981131</v>
      </c>
      <c r="H328" s="1">
        <f t="shared" si="327"/>
        <v>37.98348316</v>
      </c>
      <c r="I328" s="1">
        <f t="shared" si="327"/>
        <v>37.62092061</v>
      </c>
      <c r="J328" s="1">
        <f t="shared" si="327"/>
        <v>27.52849199</v>
      </c>
      <c r="K328" s="1">
        <f t="shared" si="327"/>
        <v>21.13004863</v>
      </c>
      <c r="L328" s="1">
        <f t="shared" si="327"/>
        <v>9.811804145</v>
      </c>
      <c r="M328" s="1">
        <f t="shared" si="327"/>
        <v>64.12066646</v>
      </c>
      <c r="N328" s="1">
        <f t="shared" si="327"/>
        <v>54.22878166</v>
      </c>
      <c r="O328" s="1">
        <f t="shared" si="327"/>
        <v>36.38881137</v>
      </c>
      <c r="P328" s="1">
        <f t="shared" si="327"/>
        <v>59.67661277</v>
      </c>
      <c r="Q328" s="1">
        <f t="shared" si="327"/>
        <v>34.97089402</v>
      </c>
      <c r="R328" s="1">
        <f t="shared" si="327"/>
        <v>39.44059319</v>
      </c>
      <c r="S328" s="1">
        <f t="shared" si="327"/>
        <v>15.34605351</v>
      </c>
      <c r="T328" s="1">
        <f t="shared" si="327"/>
        <v>18.17345093</v>
      </c>
      <c r="U328" s="1">
        <f t="shared" si="327"/>
        <v>12.34701857</v>
      </c>
    </row>
    <row r="329">
      <c r="A329" s="3">
        <f>IFERROR(__xludf.DUMMYFUNCTION("""COMPUTED_VALUE"""),44248.0)</f>
        <v>44248</v>
      </c>
      <c r="B329" s="1">
        <f t="shared" ref="B329:U329" si="328">IF($A329&gt;0,Megyeinapi!B329/'megyelakosság'!B$2*100000," ")</f>
        <v>25.48683844</v>
      </c>
      <c r="C329" s="1">
        <f t="shared" si="328"/>
        <v>20.60655678</v>
      </c>
      <c r="D329" s="1">
        <f t="shared" si="328"/>
        <v>13.00893684</v>
      </c>
      <c r="E329" s="1">
        <f t="shared" si="328"/>
        <v>43.95162809</v>
      </c>
      <c r="F329" s="1">
        <f t="shared" si="328"/>
        <v>36.45264356</v>
      </c>
      <c r="G329" s="1">
        <f t="shared" si="328"/>
        <v>25.85782714</v>
      </c>
      <c r="H329" s="1">
        <f t="shared" si="328"/>
        <v>22.93342379</v>
      </c>
      <c r="I329" s="1">
        <f t="shared" si="328"/>
        <v>33.60520437</v>
      </c>
      <c r="J329" s="1">
        <f t="shared" si="328"/>
        <v>27.52849199</v>
      </c>
      <c r="K329" s="1">
        <f t="shared" si="328"/>
        <v>13.97309668</v>
      </c>
      <c r="L329" s="1">
        <f t="shared" si="328"/>
        <v>10.08435426</v>
      </c>
      <c r="M329" s="1">
        <f t="shared" si="328"/>
        <v>45.51570624</v>
      </c>
      <c r="N329" s="1">
        <f t="shared" si="328"/>
        <v>56.35540055</v>
      </c>
      <c r="O329" s="1">
        <f t="shared" si="328"/>
        <v>35.46367209</v>
      </c>
      <c r="P329" s="1">
        <f t="shared" si="328"/>
        <v>43.00716786</v>
      </c>
      <c r="Q329" s="1">
        <f t="shared" si="328"/>
        <v>26.9567308</v>
      </c>
      <c r="R329" s="1">
        <f t="shared" si="328"/>
        <v>23.20034893</v>
      </c>
      <c r="S329" s="1">
        <f t="shared" si="328"/>
        <v>21.64187033</v>
      </c>
      <c r="T329" s="1">
        <f t="shared" si="328"/>
        <v>17.58721058</v>
      </c>
      <c r="U329" s="1">
        <f t="shared" si="328"/>
        <v>8.605497791</v>
      </c>
    </row>
    <row r="330">
      <c r="A330" s="3">
        <f>IFERROR(__xludf.DUMMYFUNCTION("""COMPUTED_VALUE"""),44249.0)</f>
        <v>44249</v>
      </c>
      <c r="B330" s="1">
        <f t="shared" ref="B330:U330" si="329">IF($A330&gt;0,Megyeinapi!B330/'megyelakosság'!B$2*100000," ")</f>
        <v>24.09302696</v>
      </c>
      <c r="C330" s="1">
        <f t="shared" si="329"/>
        <v>11.41714633</v>
      </c>
      <c r="D330" s="1">
        <f t="shared" si="329"/>
        <v>12.40387001</v>
      </c>
      <c r="E330" s="1">
        <f t="shared" si="329"/>
        <v>23.23157485</v>
      </c>
      <c r="F330" s="1">
        <f t="shared" si="329"/>
        <v>35.65274229</v>
      </c>
      <c r="G330" s="1">
        <f t="shared" si="329"/>
        <v>25.35573341</v>
      </c>
      <c r="H330" s="1">
        <f t="shared" si="329"/>
        <v>33.6834662</v>
      </c>
      <c r="I330" s="1">
        <f t="shared" si="329"/>
        <v>42.69340429</v>
      </c>
      <c r="J330" s="1">
        <f t="shared" si="329"/>
        <v>24.11116195</v>
      </c>
      <c r="K330" s="1">
        <f t="shared" si="329"/>
        <v>9.542602609</v>
      </c>
      <c r="L330" s="1">
        <f t="shared" si="329"/>
        <v>9.53925403</v>
      </c>
      <c r="M330" s="1">
        <f t="shared" si="329"/>
        <v>47.84132627</v>
      </c>
      <c r="N330" s="1">
        <f t="shared" si="329"/>
        <v>15.41798694</v>
      </c>
      <c r="O330" s="1">
        <f t="shared" si="329"/>
        <v>34.15305812</v>
      </c>
      <c r="P330" s="1">
        <f t="shared" si="329"/>
        <v>38.67311219</v>
      </c>
      <c r="Q330" s="1">
        <f t="shared" si="329"/>
        <v>17.66758708</v>
      </c>
      <c r="R330" s="1">
        <f t="shared" si="329"/>
        <v>26.91240476</v>
      </c>
      <c r="S330" s="1">
        <f t="shared" si="329"/>
        <v>15.34605351</v>
      </c>
      <c r="T330" s="1">
        <f t="shared" si="329"/>
        <v>16.70785005</v>
      </c>
      <c r="U330" s="1">
        <f t="shared" si="329"/>
        <v>11.59871441</v>
      </c>
    </row>
    <row r="331">
      <c r="A331" s="3">
        <f>IFERROR(__xludf.DUMMYFUNCTION("""COMPUTED_VALUE"""),44250.0)</f>
        <v>44250</v>
      </c>
      <c r="B331" s="1">
        <f t="shared" ref="B331:U331" si="330">IF($A331&gt;0,Megyeinapi!B331/'megyelakosság'!B$2*100000," ")</f>
        <v>14.33634662</v>
      </c>
      <c r="C331" s="1">
        <f t="shared" si="330"/>
        <v>5.012405704</v>
      </c>
      <c r="D331" s="1">
        <f t="shared" si="330"/>
        <v>8.77346903</v>
      </c>
      <c r="E331" s="1">
        <f t="shared" si="330"/>
        <v>3.453342207</v>
      </c>
      <c r="F331" s="1">
        <f t="shared" si="330"/>
        <v>25.59684062</v>
      </c>
      <c r="G331" s="1">
        <f t="shared" si="330"/>
        <v>12.30129641</v>
      </c>
      <c r="H331" s="1">
        <f t="shared" si="330"/>
        <v>10.98893223</v>
      </c>
      <c r="I331" s="1">
        <f t="shared" si="330"/>
        <v>8.242785977</v>
      </c>
      <c r="J331" s="1">
        <f t="shared" si="330"/>
        <v>8.733176769</v>
      </c>
      <c r="K331" s="1">
        <f t="shared" si="330"/>
        <v>15.33632562</v>
      </c>
      <c r="L331" s="1">
        <f t="shared" si="330"/>
        <v>5.723552418</v>
      </c>
      <c r="M331" s="1">
        <f t="shared" si="330"/>
        <v>54.48595492</v>
      </c>
      <c r="N331" s="1">
        <f t="shared" si="330"/>
        <v>27.64604555</v>
      </c>
      <c r="O331" s="1">
        <f t="shared" si="330"/>
        <v>23.82233625</v>
      </c>
      <c r="P331" s="1">
        <f t="shared" si="330"/>
        <v>24.67077846</v>
      </c>
      <c r="Q331" s="1">
        <f t="shared" si="330"/>
        <v>13.84264555</v>
      </c>
      <c r="R331" s="1">
        <f t="shared" si="330"/>
        <v>16.70425123</v>
      </c>
      <c r="S331" s="1">
        <f t="shared" si="330"/>
        <v>14.95256496</v>
      </c>
      <c r="T331" s="1">
        <f t="shared" si="330"/>
        <v>11.1385667</v>
      </c>
      <c r="U331" s="1">
        <f t="shared" si="330"/>
        <v>2.244912467</v>
      </c>
    </row>
    <row r="332">
      <c r="A332" s="3">
        <f>IFERROR(__xludf.DUMMYFUNCTION("""COMPUTED_VALUE"""),44251.0)</f>
        <v>44251</v>
      </c>
      <c r="B332" s="1">
        <f t="shared" ref="B332:U332" si="331">IF($A332&gt;0,Megyeinapi!B332/'megyelakosság'!B$2*100000," ")</f>
        <v>18.9160129</v>
      </c>
      <c r="C332" s="1">
        <f t="shared" si="331"/>
        <v>20.3280898</v>
      </c>
      <c r="D332" s="1">
        <f t="shared" si="331"/>
        <v>10.89120293</v>
      </c>
      <c r="E332" s="1">
        <f t="shared" si="331"/>
        <v>20.72005324</v>
      </c>
      <c r="F332" s="1">
        <f t="shared" si="331"/>
        <v>38.1095819</v>
      </c>
      <c r="G332" s="1">
        <f t="shared" si="331"/>
        <v>17.32223371</v>
      </c>
      <c r="H332" s="1">
        <f t="shared" si="331"/>
        <v>26.27788143</v>
      </c>
      <c r="I332" s="1">
        <f t="shared" si="331"/>
        <v>28.95542766</v>
      </c>
      <c r="J332" s="1">
        <f t="shared" si="331"/>
        <v>32.46463538</v>
      </c>
      <c r="K332" s="1">
        <f t="shared" si="331"/>
        <v>10.90583155</v>
      </c>
      <c r="L332" s="1">
        <f t="shared" si="331"/>
        <v>9.266703915</v>
      </c>
      <c r="M332" s="1">
        <f t="shared" si="331"/>
        <v>53.82149205</v>
      </c>
      <c r="N332" s="1">
        <f t="shared" si="331"/>
        <v>65.92518555</v>
      </c>
      <c r="O332" s="1">
        <f t="shared" si="331"/>
        <v>45.33182433</v>
      </c>
      <c r="P332" s="1">
        <f t="shared" si="331"/>
        <v>43.34055676</v>
      </c>
      <c r="Q332" s="1">
        <f t="shared" si="331"/>
        <v>14.20692569</v>
      </c>
      <c r="R332" s="1">
        <f t="shared" si="331"/>
        <v>22.27233498</v>
      </c>
      <c r="S332" s="1">
        <f t="shared" si="331"/>
        <v>18.10047337</v>
      </c>
      <c r="T332" s="1">
        <f t="shared" si="331"/>
        <v>24.91521499</v>
      </c>
      <c r="U332" s="1">
        <f t="shared" si="331"/>
        <v>14.21777896</v>
      </c>
    </row>
    <row r="333">
      <c r="A333" s="3">
        <f>IFERROR(__xludf.DUMMYFUNCTION("""COMPUTED_VALUE"""),44252.0)</f>
        <v>44252</v>
      </c>
      <c r="B333" s="1">
        <f t="shared" ref="B333:U333" si="332">IF($A333&gt;0,Megyeinapi!B333/'megyelakosság'!B$2*100000," ")</f>
        <v>46.39401059</v>
      </c>
      <c r="C333" s="1">
        <f t="shared" si="332"/>
        <v>32.58063708</v>
      </c>
      <c r="D333" s="1">
        <f t="shared" si="332"/>
        <v>26.6229405</v>
      </c>
      <c r="E333" s="1">
        <f t="shared" si="332"/>
        <v>38.45767458</v>
      </c>
      <c r="F333" s="1">
        <f t="shared" si="332"/>
        <v>48.05121196</v>
      </c>
      <c r="G333" s="1">
        <f t="shared" si="332"/>
        <v>45.94157637</v>
      </c>
      <c r="H333" s="1">
        <f t="shared" si="332"/>
        <v>64.97803408</v>
      </c>
      <c r="I333" s="1">
        <f t="shared" si="332"/>
        <v>50.72483678</v>
      </c>
      <c r="J333" s="1">
        <f t="shared" si="332"/>
        <v>46.13395554</v>
      </c>
      <c r="K333" s="1">
        <f t="shared" si="332"/>
        <v>27.26457888</v>
      </c>
      <c r="L333" s="1">
        <f t="shared" si="332"/>
        <v>13.62750576</v>
      </c>
      <c r="M333" s="1">
        <f t="shared" si="332"/>
        <v>51.16364059</v>
      </c>
      <c r="N333" s="1">
        <f t="shared" si="332"/>
        <v>94.10288582</v>
      </c>
      <c r="O333" s="1">
        <f t="shared" si="332"/>
        <v>57.58991968</v>
      </c>
      <c r="P333" s="1">
        <f t="shared" si="332"/>
        <v>63.01050175</v>
      </c>
      <c r="Q333" s="1">
        <f t="shared" si="332"/>
        <v>36.4280146</v>
      </c>
      <c r="R333" s="1">
        <f t="shared" si="332"/>
        <v>52.43278859</v>
      </c>
      <c r="S333" s="1">
        <f t="shared" si="332"/>
        <v>23.60931309</v>
      </c>
      <c r="T333" s="1">
        <f t="shared" si="332"/>
        <v>28.72577728</v>
      </c>
      <c r="U333" s="1">
        <f t="shared" si="332"/>
        <v>20.57836428</v>
      </c>
    </row>
    <row r="334">
      <c r="A334" s="3">
        <f>IFERROR(__xludf.DUMMYFUNCTION("""COMPUTED_VALUE"""),44253.0)</f>
        <v>44253</v>
      </c>
      <c r="B334" s="1">
        <f t="shared" ref="B334:U334" si="333">IF($A334&gt;0,Megyeinapi!B334/'megyelakosság'!B$2*100000," ")</f>
        <v>38.62848951</v>
      </c>
      <c r="C334" s="1">
        <f t="shared" si="333"/>
        <v>23.94816059</v>
      </c>
      <c r="D334" s="1">
        <f t="shared" si="333"/>
        <v>24.80774001</v>
      </c>
      <c r="E334" s="1">
        <f t="shared" si="333"/>
        <v>63.57289064</v>
      </c>
      <c r="F334" s="1">
        <f t="shared" si="333"/>
        <v>51.53649607</v>
      </c>
      <c r="G334" s="1">
        <f t="shared" si="333"/>
        <v>41.4227328</v>
      </c>
      <c r="H334" s="1">
        <f t="shared" si="333"/>
        <v>58.76689847</v>
      </c>
      <c r="I334" s="1">
        <f t="shared" si="333"/>
        <v>64.6741669</v>
      </c>
      <c r="J334" s="1">
        <f t="shared" si="333"/>
        <v>35.50226208</v>
      </c>
      <c r="K334" s="1">
        <f t="shared" si="333"/>
        <v>34.0807236</v>
      </c>
      <c r="L334" s="1">
        <f t="shared" si="333"/>
        <v>15.80790668</v>
      </c>
      <c r="M334" s="1">
        <f t="shared" si="333"/>
        <v>59.80165783</v>
      </c>
      <c r="N334" s="1">
        <f t="shared" si="333"/>
        <v>94.63454054</v>
      </c>
      <c r="O334" s="1">
        <f t="shared" si="333"/>
        <v>55.35416644</v>
      </c>
      <c r="P334" s="1">
        <f t="shared" si="333"/>
        <v>94.68244707</v>
      </c>
      <c r="Q334" s="1">
        <f t="shared" si="333"/>
        <v>39.88867599</v>
      </c>
      <c r="R334" s="1">
        <f t="shared" si="333"/>
        <v>50.57676067</v>
      </c>
      <c r="S334" s="1">
        <f t="shared" si="333"/>
        <v>37.38141239</v>
      </c>
      <c r="T334" s="1">
        <f t="shared" si="333"/>
        <v>29.89825799</v>
      </c>
      <c r="U334" s="1">
        <f t="shared" si="333"/>
        <v>19.45590805</v>
      </c>
    </row>
    <row r="335">
      <c r="A335" s="3">
        <f>IFERROR(__xludf.DUMMYFUNCTION("""COMPUTED_VALUE"""),44254.0)</f>
        <v>44254</v>
      </c>
      <c r="B335" s="1">
        <f t="shared" ref="B335:U335" si="334">IF($A335&gt;0,Megyeinapi!B335/'megyelakosság'!B$2*100000," ")</f>
        <v>40.61964876</v>
      </c>
      <c r="C335" s="1">
        <f t="shared" si="334"/>
        <v>24.22662757</v>
      </c>
      <c r="D335" s="1">
        <f t="shared" si="334"/>
        <v>26.32040709</v>
      </c>
      <c r="E335" s="1">
        <f t="shared" si="334"/>
        <v>53.05589391</v>
      </c>
      <c r="F335" s="1">
        <f t="shared" si="334"/>
        <v>52.33639734</v>
      </c>
      <c r="G335" s="1">
        <f t="shared" si="334"/>
        <v>47.69890443</v>
      </c>
      <c r="H335" s="1">
        <f t="shared" si="334"/>
        <v>52.55576286</v>
      </c>
      <c r="I335" s="1">
        <f t="shared" si="334"/>
        <v>76.08725517</v>
      </c>
      <c r="J335" s="1">
        <f t="shared" si="334"/>
        <v>37.78048211</v>
      </c>
      <c r="K335" s="1">
        <f t="shared" si="334"/>
        <v>23.17489205</v>
      </c>
      <c r="L335" s="1">
        <f t="shared" si="334"/>
        <v>16.35300691</v>
      </c>
      <c r="M335" s="1">
        <f t="shared" si="334"/>
        <v>81.06446951</v>
      </c>
      <c r="N335" s="1">
        <f t="shared" si="334"/>
        <v>88.7863386</v>
      </c>
      <c r="O335" s="1">
        <f t="shared" si="334"/>
        <v>63.68041989</v>
      </c>
      <c r="P335" s="1">
        <f t="shared" si="334"/>
        <v>95.68261377</v>
      </c>
      <c r="Q335" s="1">
        <f t="shared" si="334"/>
        <v>54.45988183</v>
      </c>
      <c r="R335" s="1">
        <f t="shared" si="334"/>
        <v>55.21683046</v>
      </c>
      <c r="S335" s="1">
        <f t="shared" si="334"/>
        <v>48.00560328</v>
      </c>
      <c r="T335" s="1">
        <f t="shared" si="334"/>
        <v>29.60513781</v>
      </c>
      <c r="U335" s="1">
        <f t="shared" si="334"/>
        <v>20.2042122</v>
      </c>
    </row>
    <row r="336">
      <c r="A336" s="3">
        <f>IFERROR(__xludf.DUMMYFUNCTION("""COMPUTED_VALUE"""),44255.0)</f>
        <v>44255</v>
      </c>
      <c r="B336" s="1">
        <f t="shared" ref="B336:U336" si="335">IF($A336&gt;0,Megyeinapi!B336/'megyelakosság'!B$2*100000," ")</f>
        <v>37.23467803</v>
      </c>
      <c r="C336" s="1">
        <f t="shared" si="335"/>
        <v>19.21422187</v>
      </c>
      <c r="D336" s="1">
        <f t="shared" si="335"/>
        <v>19.36213855</v>
      </c>
      <c r="E336" s="1">
        <f t="shared" si="335"/>
        <v>52.42801351</v>
      </c>
      <c r="F336" s="1">
        <f t="shared" si="335"/>
        <v>52.27926153</v>
      </c>
      <c r="G336" s="1">
        <f t="shared" si="335"/>
        <v>37.90807668</v>
      </c>
      <c r="H336" s="1">
        <f t="shared" si="335"/>
        <v>41.56683062</v>
      </c>
      <c r="I336" s="1">
        <f t="shared" si="335"/>
        <v>75.6645482</v>
      </c>
      <c r="J336" s="1">
        <f t="shared" si="335"/>
        <v>42.33692216</v>
      </c>
      <c r="K336" s="1">
        <f t="shared" si="335"/>
        <v>24.19731376</v>
      </c>
      <c r="L336" s="1">
        <f t="shared" si="335"/>
        <v>11.99220507</v>
      </c>
      <c r="M336" s="1">
        <f t="shared" si="335"/>
        <v>79.07108091</v>
      </c>
      <c r="N336" s="1">
        <f t="shared" si="335"/>
        <v>81.87482721</v>
      </c>
      <c r="O336" s="1">
        <f t="shared" si="335"/>
        <v>54.42902717</v>
      </c>
      <c r="P336" s="1">
        <f t="shared" si="335"/>
        <v>94.68244707</v>
      </c>
      <c r="Q336" s="1">
        <f t="shared" si="335"/>
        <v>37.52085504</v>
      </c>
      <c r="R336" s="1">
        <f t="shared" si="335"/>
        <v>43.61665599</v>
      </c>
      <c r="S336" s="1">
        <f t="shared" si="335"/>
        <v>34.62699253</v>
      </c>
      <c r="T336" s="1">
        <f t="shared" si="335"/>
        <v>21.98401323</v>
      </c>
      <c r="U336" s="1">
        <f t="shared" si="335"/>
        <v>12.72117065</v>
      </c>
    </row>
    <row r="337">
      <c r="A337" s="3">
        <f>IFERROR(__xludf.DUMMYFUNCTION("""COMPUTED_VALUE"""),44256.0)</f>
        <v>44256</v>
      </c>
      <c r="B337" s="1">
        <f t="shared" ref="B337:U337" si="336">IF($A337&gt;0,Megyeinapi!B337/'megyelakosság'!B$2*100000," ")</f>
        <v>30.06650472</v>
      </c>
      <c r="C337" s="1">
        <f t="shared" si="336"/>
        <v>19.77115583</v>
      </c>
      <c r="D337" s="1">
        <f t="shared" si="336"/>
        <v>11.79880318</v>
      </c>
      <c r="E337" s="1">
        <f t="shared" si="336"/>
        <v>36.10312308</v>
      </c>
      <c r="F337" s="1">
        <f t="shared" si="336"/>
        <v>57.13580495</v>
      </c>
      <c r="G337" s="1">
        <f t="shared" si="336"/>
        <v>44.68634205</v>
      </c>
      <c r="H337" s="1">
        <f t="shared" si="336"/>
        <v>50.64464421</v>
      </c>
      <c r="I337" s="1">
        <f t="shared" si="336"/>
        <v>64.88552038</v>
      </c>
      <c r="J337" s="1">
        <f t="shared" si="336"/>
        <v>46.70351055</v>
      </c>
      <c r="K337" s="1">
        <f t="shared" si="336"/>
        <v>24.19731376</v>
      </c>
      <c r="L337" s="1">
        <f t="shared" si="336"/>
        <v>10.35690438</v>
      </c>
      <c r="M337" s="1">
        <f t="shared" si="336"/>
        <v>76.08099802</v>
      </c>
      <c r="N337" s="1">
        <f t="shared" si="336"/>
        <v>34.55755694</v>
      </c>
      <c r="O337" s="1">
        <f t="shared" si="336"/>
        <v>54.81450187</v>
      </c>
      <c r="P337" s="1">
        <f t="shared" si="336"/>
        <v>90.0150025</v>
      </c>
      <c r="Q337" s="1">
        <f t="shared" si="336"/>
        <v>40.25295613</v>
      </c>
      <c r="R337" s="1">
        <f t="shared" si="336"/>
        <v>38.97658621</v>
      </c>
      <c r="S337" s="1">
        <f t="shared" si="336"/>
        <v>18.88745047</v>
      </c>
      <c r="T337" s="1">
        <f t="shared" si="336"/>
        <v>30.48449834</v>
      </c>
      <c r="U337" s="1">
        <f t="shared" si="336"/>
        <v>19.08175597</v>
      </c>
    </row>
    <row r="338">
      <c r="A338" s="3">
        <f>IFERROR(__xludf.DUMMYFUNCTION("""COMPUTED_VALUE"""),44257.0)</f>
        <v>44257</v>
      </c>
      <c r="B338" s="1">
        <f t="shared" ref="B338:U338" si="337">IF($A338&gt;0,Megyeinapi!B338/'megyelakosság'!B$2*100000," ")</f>
        <v>17.52220143</v>
      </c>
      <c r="C338" s="1">
        <f t="shared" si="337"/>
        <v>18.6572879</v>
      </c>
      <c r="D338" s="1">
        <f t="shared" si="337"/>
        <v>10.89120293</v>
      </c>
      <c r="E338" s="1">
        <f t="shared" si="337"/>
        <v>8.633355518</v>
      </c>
      <c r="F338" s="1">
        <f t="shared" si="337"/>
        <v>41.59486601</v>
      </c>
      <c r="G338" s="1">
        <f t="shared" si="337"/>
        <v>21.84107729</v>
      </c>
      <c r="H338" s="1">
        <f t="shared" si="337"/>
        <v>19.35007633</v>
      </c>
      <c r="I338" s="1">
        <f t="shared" si="337"/>
        <v>30.22354858</v>
      </c>
      <c r="J338" s="1">
        <f t="shared" si="337"/>
        <v>21.26338692</v>
      </c>
      <c r="K338" s="1">
        <f t="shared" si="337"/>
        <v>11.24663879</v>
      </c>
      <c r="L338" s="1">
        <f t="shared" si="337"/>
        <v>7.086302994</v>
      </c>
      <c r="M338" s="1">
        <f t="shared" si="337"/>
        <v>68.43967508</v>
      </c>
      <c r="N338" s="1">
        <f t="shared" si="337"/>
        <v>34.55755694</v>
      </c>
      <c r="O338" s="1">
        <f t="shared" si="337"/>
        <v>46.71953324</v>
      </c>
      <c r="P338" s="1">
        <f t="shared" si="337"/>
        <v>45.67427905</v>
      </c>
      <c r="Q338" s="1">
        <f t="shared" si="337"/>
        <v>28.77813153</v>
      </c>
      <c r="R338" s="1">
        <f t="shared" si="337"/>
        <v>17.63226519</v>
      </c>
      <c r="S338" s="1">
        <f t="shared" si="337"/>
        <v>19.28093902</v>
      </c>
      <c r="T338" s="1">
        <f t="shared" si="337"/>
        <v>8.500485114</v>
      </c>
      <c r="U338" s="1">
        <f t="shared" si="337"/>
        <v>7.483041557</v>
      </c>
    </row>
    <row r="339">
      <c r="A339" s="3">
        <f>IFERROR(__xludf.DUMMYFUNCTION("""COMPUTED_VALUE"""),44258.0)</f>
        <v>44258</v>
      </c>
      <c r="B339" s="1">
        <f t="shared" ref="B339:U339" si="338">IF($A339&gt;0,Megyeinapi!B339/'megyelakosság'!B$2*100000," ")</f>
        <v>26.08418621</v>
      </c>
      <c r="C339" s="1">
        <f t="shared" si="338"/>
        <v>25.61896249</v>
      </c>
      <c r="D339" s="1">
        <f t="shared" si="338"/>
        <v>16.3368044</v>
      </c>
      <c r="E339" s="1">
        <f t="shared" si="338"/>
        <v>29.82431906</v>
      </c>
      <c r="F339" s="1">
        <f t="shared" si="338"/>
        <v>52.79348378</v>
      </c>
      <c r="G339" s="1">
        <f t="shared" si="338"/>
        <v>34.1423737</v>
      </c>
      <c r="H339" s="1">
        <f t="shared" si="338"/>
        <v>34.16124586</v>
      </c>
      <c r="I339" s="1">
        <f t="shared" si="338"/>
        <v>45.22964613</v>
      </c>
      <c r="J339" s="1">
        <f t="shared" si="338"/>
        <v>34.93270708</v>
      </c>
      <c r="K339" s="1">
        <f t="shared" si="338"/>
        <v>36.80718149</v>
      </c>
      <c r="L339" s="1">
        <f t="shared" si="338"/>
        <v>10.08435426</v>
      </c>
      <c r="M339" s="1">
        <f t="shared" si="338"/>
        <v>99.00496686</v>
      </c>
      <c r="N339" s="1">
        <f t="shared" si="338"/>
        <v>101.5460519</v>
      </c>
      <c r="O339" s="1">
        <f t="shared" si="338"/>
        <v>57.58991968</v>
      </c>
      <c r="P339" s="1">
        <f t="shared" si="338"/>
        <v>80.68011335</v>
      </c>
      <c r="Q339" s="1">
        <f t="shared" si="338"/>
        <v>34.60661387</v>
      </c>
      <c r="R339" s="1">
        <f t="shared" si="338"/>
        <v>38.97658621</v>
      </c>
      <c r="S339" s="1">
        <f t="shared" si="338"/>
        <v>27.15071005</v>
      </c>
      <c r="T339" s="1">
        <f t="shared" si="338"/>
        <v>41.03682469</v>
      </c>
      <c r="U339" s="1">
        <f t="shared" si="338"/>
        <v>13.84362688</v>
      </c>
    </row>
    <row r="340">
      <c r="A340" s="3">
        <f>IFERROR(__xludf.DUMMYFUNCTION("""COMPUTED_VALUE"""),44259.0)</f>
        <v>44259</v>
      </c>
      <c r="B340" s="1">
        <f t="shared" ref="B340:U340" si="339">IF($A340&gt;0,Megyeinapi!B340/'megyelakosság'!B$2*100000," ")</f>
        <v>59.53566166</v>
      </c>
      <c r="C340" s="1">
        <f t="shared" si="339"/>
        <v>39.82077865</v>
      </c>
      <c r="D340" s="1">
        <f t="shared" si="339"/>
        <v>37.51414344</v>
      </c>
      <c r="E340" s="1">
        <f t="shared" si="339"/>
        <v>55.56741552</v>
      </c>
      <c r="F340" s="1">
        <f t="shared" si="339"/>
        <v>70.96266975</v>
      </c>
      <c r="G340" s="1">
        <f t="shared" si="339"/>
        <v>79.07976261</v>
      </c>
      <c r="H340" s="1">
        <f t="shared" si="339"/>
        <v>80.26698328</v>
      </c>
      <c r="I340" s="1">
        <f t="shared" si="339"/>
        <v>85.80951556</v>
      </c>
      <c r="J340" s="1">
        <f t="shared" si="339"/>
        <v>64.73941909</v>
      </c>
      <c r="K340" s="1">
        <f t="shared" si="339"/>
        <v>33.39910913</v>
      </c>
      <c r="L340" s="1">
        <f t="shared" si="339"/>
        <v>21.80400921</v>
      </c>
      <c r="M340" s="1">
        <f t="shared" si="339"/>
        <v>101.9950498</v>
      </c>
      <c r="N340" s="1">
        <f t="shared" si="339"/>
        <v>110.5841822</v>
      </c>
      <c r="O340" s="1">
        <f t="shared" si="339"/>
        <v>70.15639479</v>
      </c>
      <c r="P340" s="1">
        <f t="shared" si="339"/>
        <v>99.01650275</v>
      </c>
      <c r="Q340" s="1">
        <f t="shared" si="339"/>
        <v>58.83124358</v>
      </c>
      <c r="R340" s="1">
        <f t="shared" si="339"/>
        <v>66.81700493</v>
      </c>
      <c r="S340" s="1">
        <f t="shared" si="339"/>
        <v>46.82513762</v>
      </c>
      <c r="T340" s="1">
        <f t="shared" si="339"/>
        <v>47.48546857</v>
      </c>
      <c r="U340" s="1">
        <f t="shared" si="339"/>
        <v>26.19064545</v>
      </c>
    </row>
    <row r="341">
      <c r="A341" s="3">
        <f>IFERROR(__xludf.DUMMYFUNCTION("""COMPUTED_VALUE"""),44260.0)</f>
        <v>44260</v>
      </c>
      <c r="B341" s="1">
        <f t="shared" ref="B341:U341" si="340">IF($A341&gt;0,Megyeinapi!B341/'megyelakosság'!B$2*100000," ")</f>
        <v>58.34096611</v>
      </c>
      <c r="C341" s="1">
        <f t="shared" si="340"/>
        <v>39.82077865</v>
      </c>
      <c r="D341" s="1">
        <f t="shared" si="340"/>
        <v>35.69894295</v>
      </c>
      <c r="E341" s="1">
        <f t="shared" si="340"/>
        <v>64.20077104</v>
      </c>
      <c r="F341" s="1">
        <f t="shared" si="340"/>
        <v>60.73536066</v>
      </c>
      <c r="G341" s="1">
        <f t="shared" si="340"/>
        <v>65.02113815</v>
      </c>
      <c r="H341" s="1">
        <f t="shared" si="340"/>
        <v>91.49480534</v>
      </c>
      <c r="I341" s="1">
        <f t="shared" si="340"/>
        <v>108.2129851</v>
      </c>
      <c r="J341" s="1">
        <f t="shared" si="340"/>
        <v>83.91443765</v>
      </c>
      <c r="K341" s="1">
        <f t="shared" si="340"/>
        <v>39.53363938</v>
      </c>
      <c r="L341" s="1">
        <f t="shared" si="340"/>
        <v>27.80011175</v>
      </c>
      <c r="M341" s="1">
        <f t="shared" si="340"/>
        <v>67.77521221</v>
      </c>
      <c r="N341" s="1">
        <f t="shared" si="340"/>
        <v>89.31799332</v>
      </c>
      <c r="O341" s="1">
        <f t="shared" si="340"/>
        <v>66.14745795</v>
      </c>
      <c r="P341" s="1">
        <f t="shared" si="340"/>
        <v>136.0226704</v>
      </c>
      <c r="Q341" s="1">
        <f t="shared" si="340"/>
        <v>65.38828621</v>
      </c>
      <c r="R341" s="1">
        <f t="shared" si="340"/>
        <v>61.71292816</v>
      </c>
      <c r="S341" s="1">
        <f t="shared" si="340"/>
        <v>65.31909954</v>
      </c>
      <c r="T341" s="1">
        <f t="shared" si="340"/>
        <v>46.89922821</v>
      </c>
      <c r="U341" s="1">
        <f t="shared" si="340"/>
        <v>27.31310168</v>
      </c>
    </row>
    <row r="342">
      <c r="A342" s="3">
        <f>IFERROR(__xludf.DUMMYFUNCTION("""COMPUTED_VALUE"""),44261.0)</f>
        <v>44261</v>
      </c>
      <c r="B342" s="1">
        <f t="shared" ref="B342:U342" si="341">IF($A342&gt;0,Megyeinapi!B342/'megyelakosság'!B$2*100000," ")</f>
        <v>58.93831389</v>
      </c>
      <c r="C342" s="1">
        <f t="shared" si="341"/>
        <v>48.73172212</v>
      </c>
      <c r="D342" s="1">
        <f t="shared" si="341"/>
        <v>35.69894295</v>
      </c>
      <c r="E342" s="1">
        <f t="shared" si="341"/>
        <v>70.79351525</v>
      </c>
      <c r="F342" s="1">
        <f t="shared" si="341"/>
        <v>77.81896634</v>
      </c>
      <c r="G342" s="1">
        <f t="shared" si="341"/>
        <v>59.24706024</v>
      </c>
      <c r="H342" s="1">
        <f t="shared" si="341"/>
        <v>105.8281952</v>
      </c>
      <c r="I342" s="1">
        <f t="shared" si="341"/>
        <v>103.1405015</v>
      </c>
      <c r="J342" s="1">
        <f t="shared" si="341"/>
        <v>72.33348585</v>
      </c>
      <c r="K342" s="1">
        <f t="shared" si="341"/>
        <v>43.96413345</v>
      </c>
      <c r="L342" s="1">
        <f t="shared" si="341"/>
        <v>23.16675979</v>
      </c>
      <c r="M342" s="1">
        <f t="shared" si="341"/>
        <v>136.2148873</v>
      </c>
      <c r="N342" s="1">
        <f t="shared" si="341"/>
        <v>137.698573</v>
      </c>
      <c r="O342" s="1">
        <f t="shared" si="341"/>
        <v>86.34633205</v>
      </c>
      <c r="P342" s="1">
        <f t="shared" si="341"/>
        <v>129.0215036</v>
      </c>
      <c r="Q342" s="1">
        <f t="shared" si="341"/>
        <v>62.65618511</v>
      </c>
      <c r="R342" s="1">
        <f t="shared" si="341"/>
        <v>78.41717939</v>
      </c>
      <c r="S342" s="1">
        <f t="shared" si="341"/>
        <v>64.92561099</v>
      </c>
      <c r="T342" s="1">
        <f t="shared" si="341"/>
        <v>54.5203528</v>
      </c>
      <c r="U342" s="1">
        <f t="shared" si="341"/>
        <v>24.31988506</v>
      </c>
    </row>
    <row r="343">
      <c r="A343" s="3">
        <f>IFERROR(__xludf.DUMMYFUNCTION("""COMPUTED_VALUE"""),44262.0)</f>
        <v>44262</v>
      </c>
      <c r="B343" s="1">
        <f t="shared" ref="B343:U343" si="342">IF($A343&gt;0,Megyeinapi!B343/'megyelakosság'!B$2*100000," ")</f>
        <v>58.14185019</v>
      </c>
      <c r="C343" s="1">
        <f t="shared" si="342"/>
        <v>38.14997675</v>
      </c>
      <c r="D343" s="1">
        <f t="shared" si="342"/>
        <v>22.69000611</v>
      </c>
      <c r="E343" s="1">
        <f t="shared" si="342"/>
        <v>60.11954843</v>
      </c>
      <c r="F343" s="1">
        <f t="shared" si="342"/>
        <v>68.39155853</v>
      </c>
      <c r="G343" s="1">
        <f t="shared" si="342"/>
        <v>58.74496651</v>
      </c>
      <c r="H343" s="1">
        <f t="shared" si="342"/>
        <v>90.06146635</v>
      </c>
      <c r="I343" s="1">
        <f t="shared" si="342"/>
        <v>92.9955341</v>
      </c>
      <c r="J343" s="1">
        <f t="shared" si="342"/>
        <v>50.50054393</v>
      </c>
      <c r="K343" s="1">
        <f t="shared" si="342"/>
        <v>52.14350711</v>
      </c>
      <c r="L343" s="1">
        <f t="shared" si="342"/>
        <v>19.07850806</v>
      </c>
      <c r="M343" s="1">
        <f t="shared" si="342"/>
        <v>96.67934683</v>
      </c>
      <c r="N343" s="1">
        <f t="shared" si="342"/>
        <v>107.3942539</v>
      </c>
      <c r="O343" s="1">
        <f t="shared" si="342"/>
        <v>69.46254034</v>
      </c>
      <c r="P343" s="1">
        <f t="shared" si="342"/>
        <v>123.0205034</v>
      </c>
      <c r="Q343" s="1">
        <f t="shared" si="342"/>
        <v>58.28482336</v>
      </c>
      <c r="R343" s="1">
        <f t="shared" si="342"/>
        <v>78.41717939</v>
      </c>
      <c r="S343" s="1">
        <f t="shared" si="342"/>
        <v>57.05583996</v>
      </c>
      <c r="T343" s="1">
        <f t="shared" si="342"/>
        <v>36.64002204</v>
      </c>
      <c r="U343" s="1">
        <f t="shared" si="342"/>
        <v>20.57836428</v>
      </c>
    </row>
    <row r="344">
      <c r="A344" s="3">
        <f>IFERROR(__xludf.DUMMYFUNCTION("""COMPUTED_VALUE"""),44263.0)</f>
        <v>44263</v>
      </c>
      <c r="B344" s="1">
        <f t="shared" ref="B344:U344" si="343">IF($A344&gt;0,Megyeinapi!B344/'megyelakosság'!B$2*100000," ")</f>
        <v>23.29656326</v>
      </c>
      <c r="C344" s="1">
        <f t="shared" si="343"/>
        <v>17.82188695</v>
      </c>
      <c r="D344" s="1">
        <f t="shared" si="343"/>
        <v>12.70640342</v>
      </c>
      <c r="E344" s="1">
        <f t="shared" si="343"/>
        <v>34.37645197</v>
      </c>
      <c r="F344" s="1">
        <f t="shared" si="343"/>
        <v>28.22508765</v>
      </c>
      <c r="G344" s="1">
        <f t="shared" si="343"/>
        <v>24.35154595</v>
      </c>
      <c r="H344" s="1">
        <f t="shared" si="343"/>
        <v>18.394517</v>
      </c>
      <c r="I344" s="1">
        <f t="shared" si="343"/>
        <v>50.30212981</v>
      </c>
      <c r="J344" s="1">
        <f t="shared" si="343"/>
        <v>22.78220027</v>
      </c>
      <c r="K344" s="1">
        <f t="shared" si="343"/>
        <v>14.65471115</v>
      </c>
      <c r="L344" s="1">
        <f t="shared" si="343"/>
        <v>14.4451561</v>
      </c>
      <c r="M344" s="1">
        <f t="shared" si="343"/>
        <v>39.53554046</v>
      </c>
      <c r="N344" s="1">
        <f t="shared" si="343"/>
        <v>17.01295111</v>
      </c>
      <c r="O344" s="1">
        <f t="shared" si="343"/>
        <v>32.61115934</v>
      </c>
      <c r="P344" s="1">
        <f t="shared" si="343"/>
        <v>45.67427905</v>
      </c>
      <c r="Q344" s="1">
        <f t="shared" si="343"/>
        <v>31.87451278</v>
      </c>
      <c r="R344" s="1">
        <f t="shared" si="343"/>
        <v>30.16045361</v>
      </c>
      <c r="S344" s="1">
        <f t="shared" si="343"/>
        <v>28.3311757</v>
      </c>
      <c r="T344" s="1">
        <f t="shared" si="343"/>
        <v>20.81153252</v>
      </c>
      <c r="U344" s="1">
        <f t="shared" si="343"/>
        <v>14.21777896</v>
      </c>
    </row>
    <row r="345">
      <c r="A345" s="3">
        <f>IFERROR(__xludf.DUMMYFUNCTION("""COMPUTED_VALUE"""),44264.0)</f>
        <v>44264</v>
      </c>
      <c r="B345" s="1">
        <f t="shared" ref="B345:U345" si="344">IF($A345&gt;0,Megyeinapi!B345/'megyelakosság'!B$2*100000," ")</f>
        <v>44.20373541</v>
      </c>
      <c r="C345" s="1">
        <f t="shared" si="344"/>
        <v>50.95945799</v>
      </c>
      <c r="D345" s="1">
        <f t="shared" si="344"/>
        <v>27.22800733</v>
      </c>
      <c r="E345" s="1">
        <f t="shared" si="344"/>
        <v>21.34793365</v>
      </c>
      <c r="F345" s="1">
        <f t="shared" si="344"/>
        <v>82.90405299</v>
      </c>
      <c r="G345" s="1">
        <f t="shared" si="344"/>
        <v>60.2512477</v>
      </c>
      <c r="H345" s="1">
        <f t="shared" si="344"/>
        <v>74.05584766</v>
      </c>
      <c r="I345" s="1">
        <f t="shared" si="344"/>
        <v>75.87590169</v>
      </c>
      <c r="J345" s="1">
        <f t="shared" si="344"/>
        <v>50.31069226</v>
      </c>
      <c r="K345" s="1">
        <f t="shared" si="344"/>
        <v>39.53363938</v>
      </c>
      <c r="L345" s="1">
        <f t="shared" si="344"/>
        <v>24.25696025</v>
      </c>
      <c r="M345" s="1">
        <f t="shared" si="344"/>
        <v>152.8264589</v>
      </c>
      <c r="N345" s="1">
        <f t="shared" si="344"/>
        <v>60.0769836</v>
      </c>
      <c r="O345" s="1">
        <f t="shared" si="344"/>
        <v>100.2234211</v>
      </c>
      <c r="P345" s="1">
        <f t="shared" si="344"/>
        <v>127.687948</v>
      </c>
      <c r="Q345" s="1">
        <f t="shared" si="344"/>
        <v>62.47404504</v>
      </c>
      <c r="R345" s="1">
        <f t="shared" si="344"/>
        <v>69.6010468</v>
      </c>
      <c r="S345" s="1">
        <f t="shared" si="344"/>
        <v>40.5293208</v>
      </c>
      <c r="T345" s="1">
        <f t="shared" si="344"/>
        <v>37.2262624</v>
      </c>
      <c r="U345" s="1">
        <f t="shared" si="344"/>
        <v>20.2042122</v>
      </c>
    </row>
    <row r="346">
      <c r="A346" s="3">
        <f>IFERROR(__xludf.DUMMYFUNCTION("""COMPUTED_VALUE"""),44265.0)</f>
        <v>44265</v>
      </c>
      <c r="B346" s="1">
        <f t="shared" ref="B346:U346" si="345">IF($A346&gt;0,Megyeinapi!B346/'megyelakosság'!B$2*100000," ")</f>
        <v>39.22583728</v>
      </c>
      <c r="C346" s="1">
        <f t="shared" si="345"/>
        <v>36.75764183</v>
      </c>
      <c r="D346" s="1">
        <f t="shared" si="345"/>
        <v>19.05960513</v>
      </c>
      <c r="E346" s="1">
        <f t="shared" si="345"/>
        <v>36.73100348</v>
      </c>
      <c r="F346" s="1">
        <f t="shared" si="345"/>
        <v>84.56099133</v>
      </c>
      <c r="G346" s="1">
        <f t="shared" si="345"/>
        <v>42.67796712</v>
      </c>
      <c r="H346" s="1">
        <f t="shared" si="345"/>
        <v>40.85016113</v>
      </c>
      <c r="I346" s="1">
        <f t="shared" si="345"/>
        <v>49.87942284</v>
      </c>
      <c r="J346" s="1">
        <f t="shared" si="345"/>
        <v>53.7280223</v>
      </c>
      <c r="K346" s="1">
        <f t="shared" si="345"/>
        <v>50.78027817</v>
      </c>
      <c r="L346" s="1">
        <f t="shared" si="345"/>
        <v>17.44320737</v>
      </c>
      <c r="M346" s="1">
        <f t="shared" si="345"/>
        <v>104.6529012</v>
      </c>
      <c r="N346" s="1">
        <f t="shared" si="345"/>
        <v>93.5712311</v>
      </c>
      <c r="O346" s="1">
        <f t="shared" si="345"/>
        <v>88.96755999</v>
      </c>
      <c r="P346" s="1">
        <f t="shared" si="345"/>
        <v>71.3452242</v>
      </c>
      <c r="Q346" s="1">
        <f t="shared" si="345"/>
        <v>46.08143847</v>
      </c>
      <c r="R346" s="1">
        <f t="shared" si="345"/>
        <v>27.84041872</v>
      </c>
      <c r="S346" s="1">
        <f t="shared" si="345"/>
        <v>36.98792384</v>
      </c>
      <c r="T346" s="1">
        <f t="shared" si="345"/>
        <v>51.88227121</v>
      </c>
      <c r="U346" s="1">
        <f t="shared" si="345"/>
        <v>11.59871441</v>
      </c>
    </row>
    <row r="347">
      <c r="A347" s="3">
        <f>IFERROR(__xludf.DUMMYFUNCTION("""COMPUTED_VALUE"""),44266.0)</f>
        <v>44266</v>
      </c>
      <c r="B347" s="1">
        <f t="shared" ref="B347:U347" si="346">IF($A347&gt;0,Megyeinapi!B347/'megyelakosság'!B$2*100000," ")</f>
        <v>79.84548604</v>
      </c>
      <c r="C347" s="1">
        <f t="shared" si="346"/>
        <v>60.14886845</v>
      </c>
      <c r="D347" s="1">
        <f t="shared" si="346"/>
        <v>43.56481173</v>
      </c>
      <c r="E347" s="1">
        <f t="shared" si="346"/>
        <v>45.8352693</v>
      </c>
      <c r="F347" s="1">
        <f t="shared" si="346"/>
        <v>92.274325</v>
      </c>
      <c r="G347" s="1">
        <f t="shared" si="346"/>
        <v>98.66141811</v>
      </c>
      <c r="H347" s="1">
        <f t="shared" si="346"/>
        <v>108.933763</v>
      </c>
      <c r="I347" s="1">
        <f t="shared" si="346"/>
        <v>137.8024733</v>
      </c>
      <c r="J347" s="1">
        <f t="shared" si="346"/>
        <v>85.62310267</v>
      </c>
      <c r="K347" s="1">
        <f t="shared" si="346"/>
        <v>52.48431435</v>
      </c>
      <c r="L347" s="1">
        <f t="shared" si="346"/>
        <v>33.52366416</v>
      </c>
      <c r="M347" s="1">
        <f t="shared" si="346"/>
        <v>92.36033821</v>
      </c>
      <c r="N347" s="1">
        <f t="shared" si="346"/>
        <v>128.128788</v>
      </c>
      <c r="O347" s="1">
        <f t="shared" si="346"/>
        <v>111.5563772</v>
      </c>
      <c r="P347" s="1">
        <f t="shared" si="346"/>
        <v>121.3535589</v>
      </c>
      <c r="Q347" s="1">
        <f t="shared" si="346"/>
        <v>93.0735773</v>
      </c>
      <c r="R347" s="1">
        <f t="shared" si="346"/>
        <v>61.71292816</v>
      </c>
      <c r="S347" s="1">
        <f t="shared" si="346"/>
        <v>57.84281706</v>
      </c>
      <c r="T347" s="1">
        <f t="shared" si="346"/>
        <v>53.05475192</v>
      </c>
      <c r="U347" s="1">
        <f t="shared" si="346"/>
        <v>42.2791848</v>
      </c>
    </row>
    <row r="348">
      <c r="A348" s="3">
        <f>IFERROR(__xludf.DUMMYFUNCTION("""COMPUTED_VALUE"""),44267.0)</f>
        <v>44267</v>
      </c>
      <c r="B348" s="1">
        <f t="shared" ref="B348:U348" si="347">IF($A348&gt;0,Megyeinapi!B348/'megyelakosság'!B$2*100000," ")</f>
        <v>71.28350125</v>
      </c>
      <c r="C348" s="1">
        <f t="shared" si="347"/>
        <v>55.9718637</v>
      </c>
      <c r="D348" s="1">
        <f t="shared" si="347"/>
        <v>39.02681051</v>
      </c>
      <c r="E348" s="1">
        <f t="shared" si="347"/>
        <v>84.60688408</v>
      </c>
      <c r="F348" s="1">
        <f t="shared" si="347"/>
        <v>108.4437578</v>
      </c>
      <c r="G348" s="1">
        <f t="shared" si="347"/>
        <v>70.04207545</v>
      </c>
      <c r="H348" s="1">
        <f t="shared" si="347"/>
        <v>124.461602</v>
      </c>
      <c r="I348" s="1">
        <f t="shared" si="347"/>
        <v>121.7396083</v>
      </c>
      <c r="J348" s="1">
        <f t="shared" si="347"/>
        <v>82.96517931</v>
      </c>
      <c r="K348" s="1">
        <f t="shared" si="347"/>
        <v>39.87444661</v>
      </c>
      <c r="L348" s="1">
        <f t="shared" si="347"/>
        <v>37.88446601</v>
      </c>
      <c r="M348" s="1">
        <f t="shared" si="347"/>
        <v>118.9388528</v>
      </c>
      <c r="N348" s="1">
        <f t="shared" si="347"/>
        <v>128.128788</v>
      </c>
      <c r="O348" s="1">
        <f t="shared" si="347"/>
        <v>135.918378</v>
      </c>
      <c r="P348" s="1">
        <f t="shared" si="347"/>
        <v>121.6869478</v>
      </c>
      <c r="Q348" s="1">
        <f t="shared" si="347"/>
        <v>81.96303285</v>
      </c>
      <c r="R348" s="1">
        <f t="shared" si="347"/>
        <v>77.48916544</v>
      </c>
      <c r="S348" s="1">
        <f t="shared" si="347"/>
        <v>69.64747361</v>
      </c>
      <c r="T348" s="1">
        <f t="shared" si="347"/>
        <v>61.26211686</v>
      </c>
      <c r="U348" s="1">
        <f t="shared" si="347"/>
        <v>32.55123077</v>
      </c>
    </row>
    <row r="349">
      <c r="A349" s="3">
        <f>IFERROR(__xludf.DUMMYFUNCTION("""COMPUTED_VALUE"""),44268.0)</f>
        <v>44268</v>
      </c>
      <c r="B349" s="1">
        <f t="shared" ref="B349:U349" si="348">IF($A349&gt;0,Megyeinapi!B349/'megyelakosság'!B$2*100000," ")</f>
        <v>80.04460197</v>
      </c>
      <c r="C349" s="1">
        <f t="shared" si="348"/>
        <v>66.55360907</v>
      </c>
      <c r="D349" s="1">
        <f t="shared" si="348"/>
        <v>45.07747881</v>
      </c>
      <c r="E349" s="1">
        <f t="shared" si="348"/>
        <v>91.04265819</v>
      </c>
      <c r="F349" s="1">
        <f t="shared" si="348"/>
        <v>104.2157082</v>
      </c>
      <c r="G349" s="1">
        <f t="shared" si="348"/>
        <v>92.38524648</v>
      </c>
      <c r="H349" s="1">
        <f t="shared" si="348"/>
        <v>129.7171783</v>
      </c>
      <c r="I349" s="1">
        <f t="shared" si="348"/>
        <v>131.4618687</v>
      </c>
      <c r="J349" s="1">
        <f t="shared" si="348"/>
        <v>85.05354766</v>
      </c>
      <c r="K349" s="1">
        <f t="shared" si="348"/>
        <v>67.1390255</v>
      </c>
      <c r="L349" s="1">
        <f t="shared" si="348"/>
        <v>37.61191589</v>
      </c>
      <c r="M349" s="1">
        <f t="shared" si="348"/>
        <v>123.9223243</v>
      </c>
      <c r="N349" s="1">
        <f t="shared" si="348"/>
        <v>149.3949769</v>
      </c>
      <c r="O349" s="1">
        <f t="shared" si="348"/>
        <v>114.9485545</v>
      </c>
      <c r="P349" s="1">
        <f t="shared" si="348"/>
        <v>162.6937823</v>
      </c>
      <c r="Q349" s="1">
        <f t="shared" si="348"/>
        <v>89.24863577</v>
      </c>
      <c r="R349" s="1">
        <f t="shared" si="348"/>
        <v>75.63313752</v>
      </c>
      <c r="S349" s="1">
        <f t="shared" si="348"/>
        <v>97.97864931</v>
      </c>
      <c r="T349" s="1">
        <f t="shared" si="348"/>
        <v>80.02180814</v>
      </c>
      <c r="U349" s="1">
        <f t="shared" si="348"/>
        <v>47.14316181</v>
      </c>
    </row>
    <row r="350">
      <c r="A350" s="3">
        <f>IFERROR(__xludf.DUMMYFUNCTION("""COMPUTED_VALUE"""),44269.0)</f>
        <v>44269</v>
      </c>
      <c r="B350" s="1">
        <f t="shared" ref="B350:U350" si="349">IF($A350&gt;0,Megyeinapi!B350/'megyelakosság'!B$2*100000," ")</f>
        <v>70.8852694</v>
      </c>
      <c r="C350" s="1">
        <f t="shared" si="349"/>
        <v>44.55471737</v>
      </c>
      <c r="D350" s="1">
        <f t="shared" si="349"/>
        <v>35.69894295</v>
      </c>
      <c r="E350" s="1">
        <f t="shared" si="349"/>
        <v>89.15901699</v>
      </c>
      <c r="F350" s="1">
        <f t="shared" si="349"/>
        <v>105.1870169</v>
      </c>
      <c r="G350" s="1">
        <f t="shared" si="349"/>
        <v>69.28893486</v>
      </c>
      <c r="H350" s="1">
        <f t="shared" si="349"/>
        <v>95.7948223</v>
      </c>
      <c r="I350" s="1">
        <f t="shared" si="349"/>
        <v>124.0644966</v>
      </c>
      <c r="J350" s="1">
        <f t="shared" si="349"/>
        <v>71.76393084</v>
      </c>
      <c r="K350" s="1">
        <f t="shared" si="349"/>
        <v>64.75337484</v>
      </c>
      <c r="L350" s="1">
        <f t="shared" si="349"/>
        <v>32.4334637</v>
      </c>
      <c r="M350" s="1">
        <f t="shared" si="349"/>
        <v>193.3586937</v>
      </c>
      <c r="N350" s="1">
        <f t="shared" si="349"/>
        <v>113.2424558</v>
      </c>
      <c r="O350" s="1">
        <f t="shared" si="349"/>
        <v>106.776491</v>
      </c>
      <c r="P350" s="1">
        <f t="shared" si="349"/>
        <v>150.0250042</v>
      </c>
      <c r="Q350" s="1">
        <f t="shared" si="349"/>
        <v>67.93824723</v>
      </c>
      <c r="R350" s="1">
        <f t="shared" si="349"/>
        <v>90.94536782</v>
      </c>
      <c r="S350" s="1">
        <f t="shared" si="349"/>
        <v>113.3247028</v>
      </c>
      <c r="T350" s="1">
        <f t="shared" si="349"/>
        <v>82.07364938</v>
      </c>
      <c r="U350" s="1">
        <f t="shared" si="349"/>
        <v>38.16351194</v>
      </c>
    </row>
    <row r="351">
      <c r="A351" s="3">
        <f>IFERROR(__xludf.DUMMYFUNCTION("""COMPUTED_VALUE"""),44270.0)</f>
        <v>44270</v>
      </c>
      <c r="B351" s="1">
        <f t="shared" ref="B351:U351" si="350">IF($A351&gt;0,Megyeinapi!B351/'megyelakosság'!B$2*100000," ")</f>
        <v>78.84990642</v>
      </c>
      <c r="C351" s="1">
        <f t="shared" si="350"/>
        <v>53.74412783</v>
      </c>
      <c r="D351" s="1">
        <f t="shared" si="350"/>
        <v>33.88374246</v>
      </c>
      <c r="E351" s="1">
        <f t="shared" si="350"/>
        <v>63.41592054</v>
      </c>
      <c r="F351" s="1">
        <f t="shared" si="350"/>
        <v>93.64558432</v>
      </c>
      <c r="G351" s="1">
        <f t="shared" si="350"/>
        <v>77.32243455</v>
      </c>
      <c r="H351" s="1">
        <f t="shared" si="350"/>
        <v>123.0282631</v>
      </c>
      <c r="I351" s="1">
        <f t="shared" si="350"/>
        <v>89.61387832</v>
      </c>
      <c r="J351" s="1">
        <f t="shared" si="350"/>
        <v>65.87852911</v>
      </c>
      <c r="K351" s="1">
        <f t="shared" si="350"/>
        <v>49.41704922</v>
      </c>
      <c r="L351" s="1">
        <f t="shared" si="350"/>
        <v>23.71186002</v>
      </c>
      <c r="M351" s="1">
        <f t="shared" si="350"/>
        <v>112.6264556</v>
      </c>
      <c r="N351" s="1">
        <f t="shared" si="350"/>
        <v>94.10288582</v>
      </c>
      <c r="O351" s="1">
        <f t="shared" si="350"/>
        <v>117.8010673</v>
      </c>
      <c r="P351" s="1">
        <f t="shared" si="350"/>
        <v>78.67977996</v>
      </c>
      <c r="Q351" s="1">
        <f t="shared" si="350"/>
        <v>62.29190497</v>
      </c>
      <c r="R351" s="1">
        <f t="shared" si="350"/>
        <v>61.24892118</v>
      </c>
      <c r="S351" s="1">
        <f t="shared" si="350"/>
        <v>45.25118342</v>
      </c>
      <c r="T351" s="1">
        <f t="shared" si="350"/>
        <v>54.5203528</v>
      </c>
      <c r="U351" s="1">
        <f t="shared" si="350"/>
        <v>30.30631831</v>
      </c>
    </row>
    <row r="352">
      <c r="A352" s="3">
        <f>IFERROR(__xludf.DUMMYFUNCTION("""COMPUTED_VALUE"""),44271.0)</f>
        <v>44271</v>
      </c>
      <c r="B352" s="1">
        <f t="shared" ref="B352:U352" si="351">IF($A352&gt;0,Megyeinapi!B352/'megyelakosság'!B$2*100000," ")</f>
        <v>35.64175063</v>
      </c>
      <c r="C352" s="1">
        <f t="shared" si="351"/>
        <v>37.3145758</v>
      </c>
      <c r="D352" s="1">
        <f t="shared" si="351"/>
        <v>19.96720538</v>
      </c>
      <c r="E352" s="1">
        <f t="shared" si="351"/>
        <v>10.67396682</v>
      </c>
      <c r="F352" s="1">
        <f t="shared" si="351"/>
        <v>55.87881724</v>
      </c>
      <c r="G352" s="1">
        <f t="shared" si="351"/>
        <v>46.4436701</v>
      </c>
      <c r="H352" s="1">
        <f t="shared" si="351"/>
        <v>48.97241539</v>
      </c>
      <c r="I352" s="1">
        <f t="shared" si="351"/>
        <v>51.14754376</v>
      </c>
      <c r="J352" s="1">
        <f t="shared" si="351"/>
        <v>36.07181709</v>
      </c>
      <c r="K352" s="1">
        <f t="shared" si="351"/>
        <v>31.01345848</v>
      </c>
      <c r="L352" s="1">
        <f t="shared" si="351"/>
        <v>31.61581336</v>
      </c>
      <c r="M352" s="1">
        <f t="shared" si="351"/>
        <v>104.3206698</v>
      </c>
      <c r="N352" s="1">
        <f t="shared" si="351"/>
        <v>43.06403249</v>
      </c>
      <c r="O352" s="1">
        <f t="shared" si="351"/>
        <v>67.84354661</v>
      </c>
      <c r="P352" s="1">
        <f t="shared" si="351"/>
        <v>111.0185031</v>
      </c>
      <c r="Q352" s="1">
        <f t="shared" si="351"/>
        <v>51.36350059</v>
      </c>
      <c r="R352" s="1">
        <f t="shared" si="351"/>
        <v>58.92888629</v>
      </c>
      <c r="S352" s="1">
        <f t="shared" si="351"/>
        <v>86.56748132</v>
      </c>
      <c r="T352" s="1">
        <f t="shared" si="351"/>
        <v>44.26114663</v>
      </c>
      <c r="U352" s="1">
        <f t="shared" si="351"/>
        <v>31.42877454</v>
      </c>
    </row>
    <row r="353">
      <c r="A353" s="3">
        <f>IFERROR(__xludf.DUMMYFUNCTION("""COMPUTED_VALUE"""),44272.0)</f>
        <v>44272</v>
      </c>
      <c r="B353" s="1">
        <f t="shared" ref="B353:U353" si="352">IF($A353&gt;0,Megyeinapi!B353/'megyelakosság'!B$2*100000," ")</f>
        <v>32.45589582</v>
      </c>
      <c r="C353" s="1">
        <f t="shared" si="352"/>
        <v>35.08683993</v>
      </c>
      <c r="D353" s="1">
        <f t="shared" si="352"/>
        <v>19.96720538</v>
      </c>
      <c r="E353" s="1">
        <f t="shared" si="352"/>
        <v>35.16130248</v>
      </c>
      <c r="F353" s="1">
        <f t="shared" si="352"/>
        <v>37.59535966</v>
      </c>
      <c r="G353" s="1">
        <f t="shared" si="352"/>
        <v>25.35573341</v>
      </c>
      <c r="H353" s="1">
        <f t="shared" si="352"/>
        <v>44.91128826</v>
      </c>
      <c r="I353" s="1">
        <f t="shared" si="352"/>
        <v>17.96504636</v>
      </c>
      <c r="J353" s="1">
        <f t="shared" si="352"/>
        <v>25.44012363</v>
      </c>
      <c r="K353" s="1">
        <f t="shared" si="352"/>
        <v>44.98655515</v>
      </c>
      <c r="L353" s="1">
        <f t="shared" si="352"/>
        <v>14.99025633</v>
      </c>
      <c r="M353" s="1">
        <f t="shared" si="352"/>
        <v>58.80496354</v>
      </c>
      <c r="N353" s="1">
        <f t="shared" si="352"/>
        <v>63.79856666</v>
      </c>
      <c r="O353" s="1">
        <f t="shared" si="352"/>
        <v>43.94411542</v>
      </c>
      <c r="P353" s="1">
        <f t="shared" si="352"/>
        <v>48.34139023</v>
      </c>
      <c r="Q353" s="1">
        <f t="shared" si="352"/>
        <v>37.88513518</v>
      </c>
      <c r="R353" s="1">
        <f t="shared" si="352"/>
        <v>40.36860714</v>
      </c>
      <c r="S353" s="1">
        <f t="shared" si="352"/>
        <v>38.16838949</v>
      </c>
      <c r="T353" s="1">
        <f t="shared" si="352"/>
        <v>24.62209481</v>
      </c>
      <c r="U353" s="1">
        <f t="shared" si="352"/>
        <v>13.4694748</v>
      </c>
    </row>
    <row r="354">
      <c r="A354" s="3">
        <f>IFERROR(__xludf.DUMMYFUNCTION("""COMPUTED_VALUE"""),44273.0)</f>
        <v>44273</v>
      </c>
      <c r="B354" s="1">
        <f t="shared" ref="B354:U354" si="353">IF($A354&gt;0,Megyeinapi!B354/'megyelakosság'!B$2*100000," ")</f>
        <v>56.94715463</v>
      </c>
      <c r="C354" s="1">
        <f t="shared" si="353"/>
        <v>62.09813733</v>
      </c>
      <c r="D354" s="1">
        <f t="shared" si="353"/>
        <v>29.64827465</v>
      </c>
      <c r="E354" s="1">
        <f t="shared" si="353"/>
        <v>46.3061796</v>
      </c>
      <c r="F354" s="1">
        <f t="shared" si="353"/>
        <v>72.96242292</v>
      </c>
      <c r="G354" s="1">
        <f t="shared" si="353"/>
        <v>61.7575289</v>
      </c>
      <c r="H354" s="1">
        <f t="shared" si="353"/>
        <v>66.88915273</v>
      </c>
      <c r="I354" s="1">
        <f t="shared" si="353"/>
        <v>59.81303671</v>
      </c>
      <c r="J354" s="1">
        <f t="shared" si="353"/>
        <v>71.57407917</v>
      </c>
      <c r="K354" s="1">
        <f t="shared" si="353"/>
        <v>67.82063997</v>
      </c>
      <c r="L354" s="1">
        <f t="shared" si="353"/>
        <v>36.52171543</v>
      </c>
      <c r="M354" s="1">
        <f t="shared" si="353"/>
        <v>86.38017243</v>
      </c>
      <c r="N354" s="1">
        <f t="shared" si="353"/>
        <v>128.6604428</v>
      </c>
      <c r="O354" s="1">
        <f t="shared" si="353"/>
        <v>79.48488245</v>
      </c>
      <c r="P354" s="1">
        <f t="shared" si="353"/>
        <v>152.3587265</v>
      </c>
      <c r="Q354" s="1">
        <f t="shared" si="353"/>
        <v>53.54918146</v>
      </c>
      <c r="R354" s="1">
        <f t="shared" si="353"/>
        <v>39.90460017</v>
      </c>
      <c r="S354" s="1">
        <f t="shared" si="353"/>
        <v>55.87537431</v>
      </c>
      <c r="T354" s="1">
        <f t="shared" si="353"/>
        <v>71.52132303</v>
      </c>
      <c r="U354" s="1">
        <f t="shared" si="353"/>
        <v>17.95929974</v>
      </c>
    </row>
    <row r="355">
      <c r="A355" s="3">
        <f>IFERROR(__xludf.DUMMYFUNCTION("""COMPUTED_VALUE"""),44274.0)</f>
        <v>44274</v>
      </c>
      <c r="B355" s="1">
        <f t="shared" ref="B355:U355" si="354">IF($A355&gt;0,Megyeinapi!B355/'megyelakosság'!B$2*100000," ")</f>
        <v>108.1199474</v>
      </c>
      <c r="C355" s="1">
        <f t="shared" si="354"/>
        <v>79.92002428</v>
      </c>
      <c r="D355" s="1">
        <f t="shared" si="354"/>
        <v>63.83455053</v>
      </c>
      <c r="E355" s="1">
        <f t="shared" si="354"/>
        <v>91.8275087</v>
      </c>
      <c r="F355" s="1">
        <f t="shared" si="354"/>
        <v>116.3856347</v>
      </c>
      <c r="G355" s="1">
        <f t="shared" si="354"/>
        <v>99.91665244</v>
      </c>
      <c r="H355" s="1">
        <f t="shared" si="354"/>
        <v>159.1006276</v>
      </c>
      <c r="I355" s="1">
        <f t="shared" si="354"/>
        <v>144.1430779</v>
      </c>
      <c r="J355" s="1">
        <f t="shared" si="354"/>
        <v>100.0518295</v>
      </c>
      <c r="K355" s="1">
        <f t="shared" si="354"/>
        <v>73.95517022</v>
      </c>
      <c r="L355" s="1">
        <f t="shared" si="354"/>
        <v>55.32767338</v>
      </c>
      <c r="M355" s="1">
        <f t="shared" si="354"/>
        <v>116.9454642</v>
      </c>
      <c r="N355" s="1">
        <f t="shared" si="354"/>
        <v>172.7877847</v>
      </c>
      <c r="O355" s="1">
        <f t="shared" si="354"/>
        <v>137.228992</v>
      </c>
      <c r="P355" s="1">
        <f t="shared" si="354"/>
        <v>180.030005</v>
      </c>
      <c r="Q355" s="1">
        <f t="shared" si="354"/>
        <v>85.42369424</v>
      </c>
      <c r="R355" s="1">
        <f t="shared" si="354"/>
        <v>80.27320731</v>
      </c>
      <c r="S355" s="1">
        <f t="shared" si="354"/>
        <v>101.9135348</v>
      </c>
      <c r="T355" s="1">
        <f t="shared" si="354"/>
        <v>98.78149943</v>
      </c>
      <c r="U355" s="1">
        <f t="shared" si="354"/>
        <v>62.85754908</v>
      </c>
    </row>
    <row r="356">
      <c r="A356" s="3">
        <f>IFERROR(__xludf.DUMMYFUNCTION("""COMPUTED_VALUE"""),44275.0)</f>
        <v>44275</v>
      </c>
      <c r="B356" s="1">
        <f t="shared" ref="B356:U356" si="355">IF($A356&gt;0,Megyeinapi!B356/'megyelakosság'!B$2*100000," ")</f>
        <v>133.6067859</v>
      </c>
      <c r="C356" s="1">
        <f t="shared" si="355"/>
        <v>93.00797251</v>
      </c>
      <c r="D356" s="1">
        <f t="shared" si="355"/>
        <v>75.6333537</v>
      </c>
      <c r="E356" s="1">
        <f t="shared" si="355"/>
        <v>80.21172127</v>
      </c>
      <c r="F356" s="1">
        <f t="shared" si="355"/>
        <v>87.01783094</v>
      </c>
      <c r="G356" s="1">
        <f t="shared" si="355"/>
        <v>133.3058855</v>
      </c>
      <c r="H356" s="1">
        <f t="shared" si="355"/>
        <v>141.4227801</v>
      </c>
      <c r="I356" s="1">
        <f t="shared" si="355"/>
        <v>161.4740638</v>
      </c>
      <c r="J356" s="1">
        <f t="shared" si="355"/>
        <v>122.4543264</v>
      </c>
      <c r="K356" s="1">
        <f t="shared" si="355"/>
        <v>83.83858006</v>
      </c>
      <c r="L356" s="1">
        <f t="shared" si="355"/>
        <v>73.04343086</v>
      </c>
      <c r="M356" s="1">
        <f t="shared" si="355"/>
        <v>138.2082759</v>
      </c>
      <c r="N356" s="1">
        <f t="shared" si="355"/>
        <v>197.2439019</v>
      </c>
      <c r="O356" s="1">
        <f t="shared" si="355"/>
        <v>126.5898904</v>
      </c>
      <c r="P356" s="1">
        <f t="shared" si="355"/>
        <v>197.0328388</v>
      </c>
      <c r="Q356" s="1">
        <f t="shared" si="355"/>
        <v>114.3839658</v>
      </c>
      <c r="R356" s="1">
        <f t="shared" si="355"/>
        <v>94.19341667</v>
      </c>
      <c r="S356" s="1">
        <f t="shared" si="355"/>
        <v>124.3423823</v>
      </c>
      <c r="T356" s="1">
        <f t="shared" si="355"/>
        <v>134.8352811</v>
      </c>
      <c r="U356" s="1">
        <f t="shared" si="355"/>
        <v>63.60585324</v>
      </c>
    </row>
    <row r="357">
      <c r="A357" s="3">
        <f>IFERROR(__xludf.DUMMYFUNCTION("""COMPUTED_VALUE"""),44276.0)</f>
        <v>44276</v>
      </c>
      <c r="B357" s="1">
        <f t="shared" ref="B357:U357" si="356">IF($A357&gt;0,Megyeinapi!B357/'megyelakosság'!B$2*100000," ")</f>
        <v>127.0359603</v>
      </c>
      <c r="C357" s="1">
        <f t="shared" si="356"/>
        <v>77.41382143</v>
      </c>
      <c r="D357" s="1">
        <f t="shared" si="356"/>
        <v>62.01935004</v>
      </c>
      <c r="E357" s="1">
        <f t="shared" si="356"/>
        <v>104.6990569</v>
      </c>
      <c r="F357" s="1">
        <f t="shared" si="356"/>
        <v>129.755413</v>
      </c>
      <c r="G357" s="1">
        <f t="shared" si="356"/>
        <v>105.6907303</v>
      </c>
      <c r="H357" s="1">
        <f t="shared" si="356"/>
        <v>135.9283139</v>
      </c>
      <c r="I357" s="1">
        <f t="shared" si="356"/>
        <v>138.0138267</v>
      </c>
      <c r="J357" s="1">
        <f t="shared" si="356"/>
        <v>69.48571081</v>
      </c>
      <c r="K357" s="1">
        <f t="shared" si="356"/>
        <v>83.49777282</v>
      </c>
      <c r="L357" s="1">
        <f t="shared" si="356"/>
        <v>49.60412096</v>
      </c>
      <c r="M357" s="1">
        <f t="shared" si="356"/>
        <v>112.2942242</v>
      </c>
      <c r="N357" s="1">
        <f t="shared" si="356"/>
        <v>137.1669183</v>
      </c>
      <c r="O357" s="1">
        <f t="shared" si="356"/>
        <v>134.0680995</v>
      </c>
      <c r="P357" s="1">
        <f t="shared" si="356"/>
        <v>138.3563927</v>
      </c>
      <c r="Q357" s="1">
        <f t="shared" si="356"/>
        <v>88.70221555</v>
      </c>
      <c r="R357" s="1">
        <f t="shared" si="356"/>
        <v>103.4735562</v>
      </c>
      <c r="S357" s="1">
        <f t="shared" si="356"/>
        <v>107.028886</v>
      </c>
      <c r="T357" s="1">
        <f t="shared" si="356"/>
        <v>89.69477396</v>
      </c>
      <c r="U357" s="1">
        <f t="shared" si="356"/>
        <v>34.42199116</v>
      </c>
    </row>
    <row r="358">
      <c r="A358" s="3">
        <f>IFERROR(__xludf.DUMMYFUNCTION("""COMPUTED_VALUE"""),44277.0)</f>
        <v>44277</v>
      </c>
      <c r="B358" s="1">
        <f t="shared" ref="B358:U358" si="357">IF($A358&gt;0,Megyeinapi!B358/'megyelakosság'!B$2*100000," ")</f>
        <v>94.58006451</v>
      </c>
      <c r="C358" s="1">
        <f t="shared" si="357"/>
        <v>67.38901002</v>
      </c>
      <c r="D358" s="1">
        <f t="shared" si="357"/>
        <v>53.24588101</v>
      </c>
      <c r="E358" s="1">
        <f t="shared" si="357"/>
        <v>72.20624615</v>
      </c>
      <c r="F358" s="1">
        <f t="shared" si="357"/>
        <v>92.90281885</v>
      </c>
      <c r="G358" s="1">
        <f t="shared" si="357"/>
        <v>73.80777844</v>
      </c>
      <c r="H358" s="1">
        <f t="shared" si="357"/>
        <v>168.1784411</v>
      </c>
      <c r="I358" s="1">
        <f t="shared" si="357"/>
        <v>89.19117134</v>
      </c>
      <c r="J358" s="1">
        <f t="shared" si="357"/>
        <v>86.57236101</v>
      </c>
      <c r="K358" s="1">
        <f t="shared" si="357"/>
        <v>49.41704922</v>
      </c>
      <c r="L358" s="1">
        <f t="shared" si="357"/>
        <v>38.70211635</v>
      </c>
      <c r="M358" s="1">
        <f t="shared" si="357"/>
        <v>201.0000166</v>
      </c>
      <c r="N358" s="1">
        <f t="shared" si="357"/>
        <v>71.24173277</v>
      </c>
      <c r="O358" s="1">
        <f t="shared" si="357"/>
        <v>122.041289</v>
      </c>
      <c r="P358" s="1">
        <f t="shared" si="357"/>
        <v>111.0185031</v>
      </c>
      <c r="Q358" s="1">
        <f t="shared" si="357"/>
        <v>85.78797438</v>
      </c>
      <c r="R358" s="1">
        <f t="shared" si="357"/>
        <v>90.94536782</v>
      </c>
      <c r="S358" s="1">
        <f t="shared" si="357"/>
        <v>56.66235141</v>
      </c>
      <c r="T358" s="1">
        <f t="shared" si="357"/>
        <v>95.55717749</v>
      </c>
      <c r="U358" s="1">
        <f t="shared" si="357"/>
        <v>41.90503272</v>
      </c>
    </row>
    <row r="359">
      <c r="A359" s="3">
        <f>IFERROR(__xludf.DUMMYFUNCTION("""COMPUTED_VALUE"""),44278.0)</f>
        <v>44278</v>
      </c>
      <c r="B359" s="1">
        <f t="shared" ref="B359:U359" si="358">IF($A359&gt;0,Megyeinapi!B359/'megyelakosság'!B$2*100000," ")</f>
        <v>61.32770499</v>
      </c>
      <c r="C359" s="1">
        <f t="shared" si="358"/>
        <v>59.87040147</v>
      </c>
      <c r="D359" s="1">
        <f t="shared" si="358"/>
        <v>34.18627587</v>
      </c>
      <c r="E359" s="1">
        <f t="shared" si="358"/>
        <v>14.59821933</v>
      </c>
      <c r="F359" s="1">
        <f t="shared" si="358"/>
        <v>54.10760729</v>
      </c>
      <c r="G359" s="1">
        <f t="shared" si="358"/>
        <v>40.41854533</v>
      </c>
      <c r="H359" s="1">
        <f t="shared" si="358"/>
        <v>73.81695783</v>
      </c>
      <c r="I359" s="1">
        <f t="shared" si="358"/>
        <v>71.86018544</v>
      </c>
      <c r="J359" s="1">
        <f t="shared" si="358"/>
        <v>39.29929546</v>
      </c>
      <c r="K359" s="1">
        <f t="shared" si="358"/>
        <v>95.08521885</v>
      </c>
      <c r="L359" s="1">
        <f t="shared" si="358"/>
        <v>44.42566877</v>
      </c>
      <c r="M359" s="1">
        <f t="shared" si="358"/>
        <v>54.81818635</v>
      </c>
      <c r="N359" s="1">
        <f t="shared" si="358"/>
        <v>73.36835166</v>
      </c>
      <c r="O359" s="1">
        <f t="shared" si="358"/>
        <v>52.96422332</v>
      </c>
      <c r="P359" s="1">
        <f t="shared" si="358"/>
        <v>76.67944657</v>
      </c>
      <c r="Q359" s="1">
        <f t="shared" si="358"/>
        <v>73.94886964</v>
      </c>
      <c r="R359" s="1">
        <f t="shared" si="358"/>
        <v>64.96097701</v>
      </c>
      <c r="S359" s="1">
        <f t="shared" si="358"/>
        <v>97.58516076</v>
      </c>
      <c r="T359" s="1">
        <f t="shared" si="358"/>
        <v>63.31395809</v>
      </c>
      <c r="U359" s="1">
        <f t="shared" si="358"/>
        <v>43.40164103</v>
      </c>
    </row>
    <row r="360">
      <c r="A360" s="3">
        <f>IFERROR(__xludf.DUMMYFUNCTION("""COMPUTED_VALUE"""),44279.0)</f>
        <v>44279</v>
      </c>
      <c r="B360" s="1">
        <f t="shared" ref="B360:U360" si="359">IF($A360&gt;0,Megyeinapi!B360/'megyelakosság'!B$2*100000," ")</f>
        <v>51.1727928</v>
      </c>
      <c r="C360" s="1">
        <f t="shared" si="359"/>
        <v>55.41492973</v>
      </c>
      <c r="D360" s="1">
        <f t="shared" si="359"/>
        <v>53.85094784</v>
      </c>
      <c r="E360" s="1">
        <f t="shared" si="359"/>
        <v>61.21833913</v>
      </c>
      <c r="F360" s="1">
        <f t="shared" si="359"/>
        <v>95.41679427</v>
      </c>
      <c r="G360" s="1">
        <f t="shared" si="359"/>
        <v>50.96251368</v>
      </c>
      <c r="H360" s="1">
        <f t="shared" si="359"/>
        <v>86.23922905</v>
      </c>
      <c r="I360" s="1">
        <f t="shared" si="359"/>
        <v>51.35889724</v>
      </c>
      <c r="J360" s="1">
        <f t="shared" si="359"/>
        <v>58.66416569</v>
      </c>
      <c r="K360" s="1">
        <f t="shared" si="359"/>
        <v>76.6816281</v>
      </c>
      <c r="L360" s="1">
        <f t="shared" si="359"/>
        <v>34.06876439</v>
      </c>
      <c r="M360" s="1">
        <f t="shared" si="359"/>
        <v>114.2876128</v>
      </c>
      <c r="N360" s="1">
        <f t="shared" si="359"/>
        <v>105.267635</v>
      </c>
      <c r="O360" s="1">
        <f t="shared" si="359"/>
        <v>114.6401748</v>
      </c>
      <c r="P360" s="1">
        <f t="shared" si="359"/>
        <v>99.68328055</v>
      </c>
      <c r="Q360" s="1">
        <f t="shared" si="359"/>
        <v>61.3812046</v>
      </c>
      <c r="R360" s="1">
        <f t="shared" si="359"/>
        <v>76.56115148</v>
      </c>
      <c r="S360" s="1">
        <f t="shared" si="359"/>
        <v>74.76282478</v>
      </c>
      <c r="T360" s="1">
        <f t="shared" si="359"/>
        <v>97.9021389</v>
      </c>
      <c r="U360" s="1">
        <f t="shared" si="359"/>
        <v>27.31310168</v>
      </c>
    </row>
    <row r="361">
      <c r="A361" s="3">
        <f>IFERROR(__xludf.DUMMYFUNCTION("""COMPUTED_VALUE"""),44280.0)</f>
        <v>44280</v>
      </c>
      <c r="B361" s="1">
        <f t="shared" ref="B361:U361" si="360">IF($A361&gt;0,Megyeinapi!B361/'megyelakosság'!B$2*100000," ")</f>
        <v>120.2660189</v>
      </c>
      <c r="C361" s="1">
        <f t="shared" si="360"/>
        <v>71.56601478</v>
      </c>
      <c r="D361" s="1">
        <f t="shared" si="360"/>
        <v>44.77494539</v>
      </c>
      <c r="E361" s="1">
        <f t="shared" si="360"/>
        <v>64.82865144</v>
      </c>
      <c r="F361" s="1">
        <f t="shared" si="360"/>
        <v>85.18948518</v>
      </c>
      <c r="G361" s="1">
        <f t="shared" si="360"/>
        <v>122.5108703</v>
      </c>
      <c r="H361" s="1">
        <f t="shared" si="360"/>
        <v>128.0449495</v>
      </c>
      <c r="I361" s="1">
        <f t="shared" si="360"/>
        <v>119.4147199</v>
      </c>
      <c r="J361" s="1">
        <f t="shared" si="360"/>
        <v>104.0387146</v>
      </c>
      <c r="K361" s="1">
        <f t="shared" si="360"/>
        <v>91.67714649</v>
      </c>
      <c r="L361" s="1">
        <f t="shared" si="360"/>
        <v>66.5022281</v>
      </c>
      <c r="M361" s="1">
        <f t="shared" si="360"/>
        <v>107.6429841</v>
      </c>
      <c r="N361" s="1">
        <f t="shared" si="360"/>
        <v>150.4582864</v>
      </c>
      <c r="O361" s="1">
        <f t="shared" si="360"/>
        <v>109.320624</v>
      </c>
      <c r="P361" s="1">
        <f t="shared" si="360"/>
        <v>171.3618936</v>
      </c>
      <c r="Q361" s="1">
        <f t="shared" si="360"/>
        <v>90.15933614</v>
      </c>
      <c r="R361" s="1">
        <f t="shared" si="360"/>
        <v>87.23331199</v>
      </c>
      <c r="S361" s="1">
        <f t="shared" si="360"/>
        <v>123.9488937</v>
      </c>
      <c r="T361" s="1">
        <f t="shared" si="360"/>
        <v>116.6618302</v>
      </c>
      <c r="U361" s="1">
        <f t="shared" si="360"/>
        <v>52.00713882</v>
      </c>
    </row>
    <row r="362">
      <c r="A362" s="3">
        <f>IFERROR(__xludf.DUMMYFUNCTION("""COMPUTED_VALUE"""),44281.0)</f>
        <v>44281</v>
      </c>
      <c r="B362" s="1">
        <f t="shared" ref="B362:U362" si="361">IF($A362&gt;0,Megyeinapi!B362/'megyelakosság'!B$2*100000," ")</f>
        <v>135.996177</v>
      </c>
      <c r="C362" s="1">
        <f t="shared" si="361"/>
        <v>86.04629792</v>
      </c>
      <c r="D362" s="1">
        <f t="shared" si="361"/>
        <v>79.26375468</v>
      </c>
      <c r="E362" s="1">
        <f t="shared" si="361"/>
        <v>122.5936484</v>
      </c>
      <c r="F362" s="1">
        <f t="shared" si="361"/>
        <v>120.7279559</v>
      </c>
      <c r="G362" s="1">
        <f t="shared" si="361"/>
        <v>129.0380888</v>
      </c>
      <c r="H362" s="1">
        <f t="shared" si="361"/>
        <v>103.4392969</v>
      </c>
      <c r="I362" s="1">
        <f t="shared" si="361"/>
        <v>118.3579525</v>
      </c>
      <c r="J362" s="1">
        <f t="shared" si="361"/>
        <v>111.0632263</v>
      </c>
      <c r="K362" s="1">
        <f t="shared" si="361"/>
        <v>83.49777282</v>
      </c>
      <c r="L362" s="1">
        <f t="shared" si="361"/>
        <v>82.58268489</v>
      </c>
      <c r="M362" s="1">
        <f t="shared" si="361"/>
        <v>103.3239755</v>
      </c>
      <c r="N362" s="1">
        <f t="shared" si="361"/>
        <v>84.0014461</v>
      </c>
      <c r="O362" s="1">
        <f t="shared" si="361"/>
        <v>143.0882074</v>
      </c>
      <c r="P362" s="1">
        <f t="shared" si="361"/>
        <v>109.6849475</v>
      </c>
      <c r="Q362" s="1">
        <f t="shared" si="361"/>
        <v>119.848168</v>
      </c>
      <c r="R362" s="1">
        <f t="shared" si="361"/>
        <v>138.2740796</v>
      </c>
      <c r="S362" s="1">
        <f t="shared" si="361"/>
        <v>147.5582068</v>
      </c>
      <c r="T362" s="1">
        <f t="shared" si="361"/>
        <v>89.40165378</v>
      </c>
      <c r="U362" s="1">
        <f t="shared" si="361"/>
        <v>69.96643856</v>
      </c>
    </row>
    <row r="363">
      <c r="A363" s="3">
        <f>IFERROR(__xludf.DUMMYFUNCTION("""COMPUTED_VALUE"""),44282.0)</f>
        <v>44282</v>
      </c>
      <c r="B363" s="1">
        <f t="shared" ref="B363:U363" si="362">IF($A363&gt;0,Megyeinapi!B363/'megyelakosság'!B$2*100000," ")</f>
        <v>116.8810481</v>
      </c>
      <c r="C363" s="1">
        <f t="shared" si="362"/>
        <v>87.16016585</v>
      </c>
      <c r="D363" s="1">
        <f t="shared" si="362"/>
        <v>64.43961736</v>
      </c>
      <c r="E363" s="1">
        <f t="shared" si="362"/>
        <v>103.6002662</v>
      </c>
      <c r="F363" s="1">
        <f t="shared" si="362"/>
        <v>88.56049768</v>
      </c>
      <c r="G363" s="1">
        <f t="shared" si="362"/>
        <v>88.36849663</v>
      </c>
      <c r="H363" s="1">
        <f t="shared" si="362"/>
        <v>164.117314</v>
      </c>
      <c r="I363" s="1">
        <f t="shared" si="362"/>
        <v>136.3229989</v>
      </c>
      <c r="J363" s="1">
        <f t="shared" si="362"/>
        <v>96.06494446</v>
      </c>
      <c r="K363" s="1">
        <f t="shared" si="362"/>
        <v>98.15248397</v>
      </c>
      <c r="L363" s="1">
        <f t="shared" si="362"/>
        <v>42.24526785</v>
      </c>
      <c r="M363" s="1">
        <f t="shared" si="362"/>
        <v>134.8859616</v>
      </c>
      <c r="N363" s="1">
        <f t="shared" si="362"/>
        <v>136.6352636</v>
      </c>
      <c r="O363" s="1">
        <f t="shared" si="362"/>
        <v>113.0211811</v>
      </c>
      <c r="P363" s="1">
        <f t="shared" si="362"/>
        <v>130.3550592</v>
      </c>
      <c r="Q363" s="1">
        <f t="shared" si="362"/>
        <v>111.8340048</v>
      </c>
      <c r="R363" s="1">
        <f t="shared" si="362"/>
        <v>112.2896888</v>
      </c>
      <c r="S363" s="1">
        <f t="shared" si="362"/>
        <v>96.01120655</v>
      </c>
      <c r="T363" s="1">
        <f t="shared" si="362"/>
        <v>134.2490408</v>
      </c>
      <c r="U363" s="1">
        <f t="shared" si="362"/>
        <v>49.76222635</v>
      </c>
    </row>
    <row r="364">
      <c r="A364" s="3">
        <f>IFERROR(__xludf.DUMMYFUNCTION("""COMPUTED_VALUE"""),44283.0)</f>
        <v>44283</v>
      </c>
      <c r="B364" s="1">
        <f t="shared" ref="B364:U364" si="363">IF($A364&gt;0,Megyeinapi!B364/'megyelakosság'!B$2*100000," ")</f>
        <v>93.18625304</v>
      </c>
      <c r="C364" s="1">
        <f t="shared" si="363"/>
        <v>81.3123592</v>
      </c>
      <c r="D364" s="1">
        <f t="shared" si="363"/>
        <v>66.25481784</v>
      </c>
      <c r="E364" s="1">
        <f t="shared" si="363"/>
        <v>79.26990067</v>
      </c>
      <c r="F364" s="1">
        <f t="shared" si="363"/>
        <v>83.76109006</v>
      </c>
      <c r="G364" s="1">
        <f t="shared" si="363"/>
        <v>76.06720022</v>
      </c>
      <c r="H364" s="1">
        <f t="shared" si="363"/>
        <v>103.9170766</v>
      </c>
      <c r="I364" s="1">
        <f t="shared" si="363"/>
        <v>90.24793878</v>
      </c>
      <c r="J364" s="1">
        <f t="shared" si="363"/>
        <v>85.433251</v>
      </c>
      <c r="K364" s="1">
        <f t="shared" si="363"/>
        <v>127.4619063</v>
      </c>
      <c r="L364" s="1">
        <f t="shared" si="363"/>
        <v>86.67093662</v>
      </c>
      <c r="M364" s="1">
        <f t="shared" si="363"/>
        <v>126.5801758</v>
      </c>
      <c r="N364" s="1">
        <f t="shared" si="363"/>
        <v>116.9640389</v>
      </c>
      <c r="O364" s="1">
        <f t="shared" si="363"/>
        <v>92.1284525</v>
      </c>
      <c r="P364" s="1">
        <f t="shared" si="363"/>
        <v>137.0228371</v>
      </c>
      <c r="Q364" s="1">
        <f t="shared" si="363"/>
        <v>91.0700365</v>
      </c>
      <c r="R364" s="1">
        <f t="shared" si="363"/>
        <v>96.04944458</v>
      </c>
      <c r="S364" s="1">
        <f t="shared" si="363"/>
        <v>149.9191381</v>
      </c>
      <c r="T364" s="1">
        <f t="shared" si="363"/>
        <v>106.1095038</v>
      </c>
      <c r="U364" s="1">
        <f t="shared" si="363"/>
        <v>62.85754908</v>
      </c>
    </row>
    <row r="365">
      <c r="A365" s="3">
        <f>IFERROR(__xludf.DUMMYFUNCTION("""COMPUTED_VALUE"""),44284.0)</f>
        <v>44284</v>
      </c>
      <c r="B365" s="1">
        <f t="shared" ref="B365:U365" si="364">IF($A365&gt;0,Megyeinapi!B365/'megyelakosság'!B$2*100000," ")</f>
        <v>69.292342</v>
      </c>
      <c r="C365" s="1">
        <f t="shared" si="364"/>
        <v>76.02148651</v>
      </c>
      <c r="D365" s="1">
        <f t="shared" si="364"/>
        <v>45.98507905</v>
      </c>
      <c r="E365" s="1">
        <f t="shared" si="364"/>
        <v>48.3467909</v>
      </c>
      <c r="F365" s="1">
        <f t="shared" si="364"/>
        <v>68.1058795</v>
      </c>
      <c r="G365" s="1">
        <f t="shared" si="364"/>
        <v>66.02532561</v>
      </c>
      <c r="H365" s="1">
        <f t="shared" si="364"/>
        <v>120.8782546</v>
      </c>
      <c r="I365" s="1">
        <f t="shared" si="364"/>
        <v>100.1815526</v>
      </c>
      <c r="J365" s="1">
        <f t="shared" si="364"/>
        <v>58.85401736</v>
      </c>
      <c r="K365" s="1">
        <f t="shared" si="364"/>
        <v>58.6188446</v>
      </c>
      <c r="L365" s="1">
        <f t="shared" si="364"/>
        <v>55.05512326</v>
      </c>
      <c r="M365" s="1">
        <f t="shared" si="364"/>
        <v>97.01157827</v>
      </c>
      <c r="N365" s="1">
        <f t="shared" si="364"/>
        <v>70.17842332</v>
      </c>
      <c r="O365" s="1">
        <f t="shared" si="364"/>
        <v>84.49605351</v>
      </c>
      <c r="P365" s="1">
        <f t="shared" si="364"/>
        <v>82.68044674</v>
      </c>
      <c r="Q365" s="1">
        <f t="shared" si="364"/>
        <v>73.03816927</v>
      </c>
      <c r="R365" s="1">
        <f t="shared" si="364"/>
        <v>80.73721429</v>
      </c>
      <c r="S365" s="1">
        <f t="shared" si="364"/>
        <v>123.5554052</v>
      </c>
      <c r="T365" s="1">
        <f t="shared" si="364"/>
        <v>79.43556779</v>
      </c>
      <c r="U365" s="1">
        <f t="shared" si="364"/>
        <v>50.51053051</v>
      </c>
    </row>
    <row r="366">
      <c r="A366" s="3">
        <f>IFERROR(__xludf.DUMMYFUNCTION("""COMPUTED_VALUE"""),44285.0)</f>
        <v>44285</v>
      </c>
      <c r="B366" s="1">
        <f t="shared" ref="B366:U366" si="365">IF($A366&gt;0,Megyeinapi!B366/'megyelakosság'!B$2*100000," ")</f>
        <v>29.86738879</v>
      </c>
      <c r="C366" s="1">
        <f t="shared" si="365"/>
        <v>77.13535445</v>
      </c>
      <c r="D366" s="1">
        <f t="shared" si="365"/>
        <v>32.6736088</v>
      </c>
      <c r="E366" s="1">
        <f t="shared" si="365"/>
        <v>16.16792033</v>
      </c>
      <c r="F366" s="1">
        <f t="shared" si="365"/>
        <v>44.79447108</v>
      </c>
      <c r="G366" s="1">
        <f t="shared" si="365"/>
        <v>18.82851491</v>
      </c>
      <c r="H366" s="1">
        <f t="shared" si="365"/>
        <v>72.38361885</v>
      </c>
      <c r="I366" s="1">
        <f t="shared" si="365"/>
        <v>24.30565096</v>
      </c>
      <c r="J366" s="1">
        <f t="shared" si="365"/>
        <v>35.12255874</v>
      </c>
      <c r="K366" s="1">
        <f t="shared" si="365"/>
        <v>98.15248397</v>
      </c>
      <c r="L366" s="1">
        <f t="shared" si="365"/>
        <v>37.88446601</v>
      </c>
      <c r="M366" s="1">
        <f t="shared" si="365"/>
        <v>62.45950929</v>
      </c>
      <c r="N366" s="1">
        <f t="shared" si="365"/>
        <v>33.4942475</v>
      </c>
      <c r="O366" s="1">
        <f t="shared" si="365"/>
        <v>50.18880551</v>
      </c>
      <c r="P366" s="1">
        <f t="shared" si="365"/>
        <v>56.67611269</v>
      </c>
      <c r="Q366" s="1">
        <f t="shared" si="365"/>
        <v>62.10976489</v>
      </c>
      <c r="R366" s="1">
        <f t="shared" si="365"/>
        <v>69.6010468</v>
      </c>
      <c r="S366" s="1">
        <f t="shared" si="365"/>
        <v>63.35165678</v>
      </c>
      <c r="T366" s="1">
        <f t="shared" si="365"/>
        <v>69.46948179</v>
      </c>
      <c r="U366" s="1">
        <f t="shared" si="365"/>
        <v>45.27240142</v>
      </c>
    </row>
    <row r="367">
      <c r="A367" s="3">
        <f>IFERROR(__xludf.DUMMYFUNCTION("""COMPUTED_VALUE"""),44286.0)</f>
        <v>44286</v>
      </c>
      <c r="B367" s="1">
        <f t="shared" ref="B367:U367" si="366">IF($A367&gt;0,Megyeinapi!B367/'megyelakosság'!B$2*100000," ")</f>
        <v>50.77456095</v>
      </c>
      <c r="C367" s="1">
        <f t="shared" si="366"/>
        <v>93.84337346</v>
      </c>
      <c r="D367" s="1">
        <f t="shared" si="366"/>
        <v>40.53947759</v>
      </c>
      <c r="E367" s="1">
        <f t="shared" si="366"/>
        <v>61.06136903</v>
      </c>
      <c r="F367" s="1">
        <f t="shared" si="366"/>
        <v>67.99160789</v>
      </c>
      <c r="G367" s="1">
        <f t="shared" si="366"/>
        <v>37.40598295</v>
      </c>
      <c r="H367" s="1">
        <f t="shared" si="366"/>
        <v>73.10028834</v>
      </c>
      <c r="I367" s="1">
        <f t="shared" si="366"/>
        <v>49.66806935</v>
      </c>
      <c r="J367" s="1">
        <f t="shared" si="366"/>
        <v>56.38594566</v>
      </c>
      <c r="K367" s="1">
        <f t="shared" si="366"/>
        <v>81.11212217</v>
      </c>
      <c r="L367" s="1">
        <f t="shared" si="366"/>
        <v>49.33157084</v>
      </c>
      <c r="M367" s="1">
        <f t="shared" si="366"/>
        <v>53.15702919</v>
      </c>
      <c r="N367" s="1">
        <f t="shared" si="366"/>
        <v>95.69784999</v>
      </c>
      <c r="O367" s="1">
        <f t="shared" si="366"/>
        <v>100.454706</v>
      </c>
      <c r="P367" s="1">
        <f t="shared" si="366"/>
        <v>117.686281</v>
      </c>
      <c r="Q367" s="1">
        <f t="shared" si="366"/>
        <v>47.35641898</v>
      </c>
      <c r="R367" s="1">
        <f t="shared" si="366"/>
        <v>74.70512357</v>
      </c>
      <c r="S367" s="1">
        <f t="shared" si="366"/>
        <v>76.73026753</v>
      </c>
      <c r="T367" s="1">
        <f t="shared" si="366"/>
        <v>90.57413449</v>
      </c>
      <c r="U367" s="1">
        <f t="shared" si="366"/>
        <v>25.44234129</v>
      </c>
    </row>
    <row r="368">
      <c r="A368" s="3">
        <f>IFERROR(__xludf.DUMMYFUNCTION("""COMPUTED_VALUE"""),44287.0)</f>
        <v>44287</v>
      </c>
      <c r="B368" s="1">
        <f t="shared" ref="B368:U368" si="367">IF($A368&gt;0,Megyeinapi!B368/'megyelakosság'!B$2*100000," ")</f>
        <v>132.2129744</v>
      </c>
      <c r="C368" s="1">
        <f t="shared" si="367"/>
        <v>96.34957631</v>
      </c>
      <c r="D368" s="1">
        <f t="shared" si="367"/>
        <v>70.18775224</v>
      </c>
      <c r="E368" s="1">
        <f t="shared" si="367"/>
        <v>68.59593385</v>
      </c>
      <c r="F368" s="1">
        <f t="shared" si="367"/>
        <v>69.93422526</v>
      </c>
      <c r="G368" s="1">
        <f t="shared" si="367"/>
        <v>146.6113694</v>
      </c>
      <c r="H368" s="1">
        <f t="shared" si="367"/>
        <v>117.2949071</v>
      </c>
      <c r="I368" s="1">
        <f t="shared" si="367"/>
        <v>98.49072475</v>
      </c>
      <c r="J368" s="1">
        <f t="shared" si="367"/>
        <v>93.59687276</v>
      </c>
      <c r="K368" s="1">
        <f t="shared" si="367"/>
        <v>84.1793873</v>
      </c>
      <c r="L368" s="1">
        <f t="shared" si="367"/>
        <v>80.9473842</v>
      </c>
      <c r="M368" s="1">
        <f t="shared" si="367"/>
        <v>87.37686673</v>
      </c>
      <c r="N368" s="1">
        <f t="shared" si="367"/>
        <v>112.1791464</v>
      </c>
      <c r="O368" s="1">
        <f t="shared" si="367"/>
        <v>99.68375656</v>
      </c>
      <c r="P368" s="1">
        <f t="shared" si="367"/>
        <v>148.6914486</v>
      </c>
      <c r="Q368" s="1">
        <f t="shared" si="367"/>
        <v>84.51299387</v>
      </c>
      <c r="R368" s="1">
        <f t="shared" si="367"/>
        <v>109.505647</v>
      </c>
      <c r="S368" s="1">
        <f t="shared" si="367"/>
        <v>109.7833059</v>
      </c>
      <c r="T368" s="1">
        <f t="shared" si="367"/>
        <v>128.0935171</v>
      </c>
      <c r="U368" s="1">
        <f t="shared" si="367"/>
        <v>66.59906986</v>
      </c>
    </row>
    <row r="369">
      <c r="A369" s="3">
        <f>IFERROR(__xludf.DUMMYFUNCTION("""COMPUTED_VALUE"""),44288.0)</f>
        <v>44288</v>
      </c>
      <c r="B369" s="1">
        <f t="shared" ref="B369:U369" si="368">IF($A369&gt;0,Megyeinapi!B369/'megyelakosság'!B$2*100000," ")</f>
        <v>103.5402812</v>
      </c>
      <c r="C369" s="1">
        <f t="shared" si="368"/>
        <v>90.50176966</v>
      </c>
      <c r="D369" s="1">
        <f t="shared" si="368"/>
        <v>56.87628199</v>
      </c>
      <c r="E369" s="1">
        <f t="shared" si="368"/>
        <v>98.26328281</v>
      </c>
      <c r="F369" s="1">
        <f t="shared" si="368"/>
        <v>76.79052186</v>
      </c>
      <c r="G369" s="1">
        <f t="shared" si="368"/>
        <v>74.0588253</v>
      </c>
      <c r="H369" s="1">
        <f t="shared" si="368"/>
        <v>123.7449325</v>
      </c>
      <c r="I369" s="1">
        <f t="shared" si="368"/>
        <v>116.6671246</v>
      </c>
      <c r="J369" s="1">
        <f t="shared" si="368"/>
        <v>93.9765761</v>
      </c>
      <c r="K369" s="1">
        <f t="shared" si="368"/>
        <v>86.56503795</v>
      </c>
      <c r="L369" s="1">
        <f t="shared" si="368"/>
        <v>88.57878742</v>
      </c>
      <c r="M369" s="1">
        <f t="shared" si="368"/>
        <v>101.9950498</v>
      </c>
      <c r="N369" s="1">
        <f t="shared" si="368"/>
        <v>98.3561236</v>
      </c>
      <c r="O369" s="1">
        <f t="shared" si="368"/>
        <v>101.8424149</v>
      </c>
      <c r="P369" s="1">
        <f t="shared" si="368"/>
        <v>104.684114</v>
      </c>
      <c r="Q369" s="1">
        <f t="shared" si="368"/>
        <v>99.26633979</v>
      </c>
      <c r="R369" s="1">
        <f t="shared" si="368"/>
        <v>112.2896888</v>
      </c>
      <c r="S369" s="1">
        <f t="shared" si="368"/>
        <v>79.09119884</v>
      </c>
      <c r="T369" s="1">
        <f t="shared" si="368"/>
        <v>107.5751047</v>
      </c>
      <c r="U369" s="1">
        <f t="shared" si="368"/>
        <v>49.0139222</v>
      </c>
    </row>
    <row r="370">
      <c r="A370" s="3">
        <f>IFERROR(__xludf.DUMMYFUNCTION("""COMPUTED_VALUE"""),44289.0)</f>
        <v>44289</v>
      </c>
      <c r="B370" s="1">
        <f t="shared" ref="B370:U370" si="369">IF($A370&gt;0,Megyeinapi!B370/'megyelakosság'!B$2*100000," ")</f>
        <v>94.77918044</v>
      </c>
      <c r="C370" s="1">
        <f t="shared" si="369"/>
        <v>110.2729255</v>
      </c>
      <c r="D370" s="1">
        <f t="shared" si="369"/>
        <v>62.32188345</v>
      </c>
      <c r="E370" s="1">
        <f t="shared" si="369"/>
        <v>83.19415318</v>
      </c>
      <c r="F370" s="1">
        <f t="shared" si="369"/>
        <v>78.56173181</v>
      </c>
      <c r="G370" s="1">
        <f t="shared" si="369"/>
        <v>82.84546559</v>
      </c>
      <c r="H370" s="1">
        <f t="shared" si="369"/>
        <v>108.2170935</v>
      </c>
      <c r="I370" s="1">
        <f t="shared" si="369"/>
        <v>100.3929061</v>
      </c>
      <c r="J370" s="1">
        <f t="shared" si="369"/>
        <v>82.77532764</v>
      </c>
      <c r="K370" s="1">
        <f t="shared" si="369"/>
        <v>85.54261624</v>
      </c>
      <c r="L370" s="1">
        <f t="shared" si="369"/>
        <v>84.4905357</v>
      </c>
      <c r="M370" s="1">
        <f t="shared" si="369"/>
        <v>100.3338926</v>
      </c>
      <c r="N370" s="1">
        <f t="shared" si="369"/>
        <v>120.6856219</v>
      </c>
      <c r="O370" s="1">
        <f t="shared" si="369"/>
        <v>73.39438225</v>
      </c>
      <c r="P370" s="1">
        <f t="shared" si="369"/>
        <v>104.0173362</v>
      </c>
      <c r="Q370" s="1">
        <f t="shared" si="369"/>
        <v>98.17349935</v>
      </c>
      <c r="R370" s="1">
        <f t="shared" si="369"/>
        <v>78.88118637</v>
      </c>
      <c r="S370" s="1">
        <f t="shared" si="369"/>
        <v>121.1944738</v>
      </c>
      <c r="T370" s="1">
        <f t="shared" si="369"/>
        <v>123.6967144</v>
      </c>
      <c r="U370" s="1">
        <f t="shared" si="369"/>
        <v>62.483397</v>
      </c>
    </row>
    <row r="371">
      <c r="A371" s="3">
        <f>IFERROR(__xludf.DUMMYFUNCTION("""COMPUTED_VALUE"""),44290.0)</f>
        <v>44290</v>
      </c>
      <c r="B371" s="1">
        <f t="shared" ref="B371:U371" si="370">IF($A371&gt;0,Megyeinapi!B371/'megyelakosság'!B$2*100000," ")</f>
        <v>66.9029509</v>
      </c>
      <c r="C371" s="1">
        <f t="shared" si="370"/>
        <v>72.12294874</v>
      </c>
      <c r="D371" s="1">
        <f t="shared" si="370"/>
        <v>50.82561369</v>
      </c>
      <c r="E371" s="1">
        <f t="shared" si="370"/>
        <v>64.35774114</v>
      </c>
      <c r="F371" s="1">
        <f t="shared" si="370"/>
        <v>63.07792867</v>
      </c>
      <c r="G371" s="1">
        <f t="shared" si="370"/>
        <v>56.23449786</v>
      </c>
      <c r="H371" s="1">
        <f t="shared" si="370"/>
        <v>107.2615342</v>
      </c>
      <c r="I371" s="1">
        <f t="shared" si="370"/>
        <v>66.78770176</v>
      </c>
      <c r="J371" s="1">
        <f t="shared" si="370"/>
        <v>70.62482083</v>
      </c>
      <c r="K371" s="1">
        <f t="shared" si="370"/>
        <v>62.02691696</v>
      </c>
      <c r="L371" s="1">
        <f t="shared" si="370"/>
        <v>56.69042395</v>
      </c>
      <c r="M371" s="1">
        <f t="shared" si="370"/>
        <v>84.71901527</v>
      </c>
      <c r="N371" s="1">
        <f t="shared" si="370"/>
        <v>48.38057972</v>
      </c>
      <c r="O371" s="1">
        <f t="shared" si="370"/>
        <v>65.37650856</v>
      </c>
      <c r="P371" s="1">
        <f t="shared" si="370"/>
        <v>66.01100183</v>
      </c>
      <c r="Q371" s="1">
        <f t="shared" si="370"/>
        <v>65.93470643</v>
      </c>
      <c r="R371" s="1">
        <f t="shared" si="370"/>
        <v>87.23331199</v>
      </c>
      <c r="S371" s="1">
        <f t="shared" si="370"/>
        <v>57.84281706</v>
      </c>
      <c r="T371" s="1">
        <f t="shared" si="370"/>
        <v>66.83140021</v>
      </c>
      <c r="U371" s="1">
        <f t="shared" si="370"/>
        <v>82.68760921</v>
      </c>
    </row>
    <row r="372">
      <c r="A372" s="3">
        <f>IFERROR(__xludf.DUMMYFUNCTION("""COMPUTED_VALUE"""),44291.0)</f>
        <v>44291</v>
      </c>
      <c r="B372" s="1">
        <f t="shared" ref="B372:U372" si="371">IF($A372&gt;0,Megyeinapi!B372/'megyelakosság'!B$2*100000," ")</f>
        <v>41.81434431</v>
      </c>
      <c r="C372" s="1">
        <f t="shared" si="371"/>
        <v>52.63025989</v>
      </c>
      <c r="D372" s="1">
        <f t="shared" si="371"/>
        <v>31.16094173</v>
      </c>
      <c r="E372" s="1">
        <f t="shared" si="371"/>
        <v>41.91101679</v>
      </c>
      <c r="F372" s="1">
        <f t="shared" si="371"/>
        <v>34.6242978</v>
      </c>
      <c r="G372" s="1">
        <f t="shared" si="371"/>
        <v>28.87038952</v>
      </c>
      <c r="H372" s="1">
        <f t="shared" si="371"/>
        <v>46.10573742</v>
      </c>
      <c r="I372" s="1">
        <f t="shared" si="371"/>
        <v>19.65587425</v>
      </c>
      <c r="J372" s="1">
        <f t="shared" si="371"/>
        <v>38.91959212</v>
      </c>
      <c r="K372" s="1">
        <f t="shared" si="371"/>
        <v>73.27355574</v>
      </c>
      <c r="L372" s="1">
        <f t="shared" si="371"/>
        <v>26.70991128</v>
      </c>
      <c r="M372" s="1">
        <f t="shared" si="371"/>
        <v>34.8843004</v>
      </c>
      <c r="N372" s="1">
        <f t="shared" si="371"/>
        <v>15.94964166</v>
      </c>
      <c r="O372" s="1">
        <f t="shared" si="371"/>
        <v>42.71059639</v>
      </c>
      <c r="P372" s="1">
        <f t="shared" si="371"/>
        <v>33.67227871</v>
      </c>
      <c r="Q372" s="1">
        <f t="shared" si="371"/>
        <v>44.44217781</v>
      </c>
      <c r="R372" s="1">
        <f t="shared" si="371"/>
        <v>59.85690025</v>
      </c>
      <c r="S372" s="1">
        <f t="shared" si="371"/>
        <v>48.39909183</v>
      </c>
      <c r="T372" s="1">
        <f t="shared" si="371"/>
        <v>63.02083791</v>
      </c>
      <c r="U372" s="1">
        <f t="shared" si="371"/>
        <v>29.55801415</v>
      </c>
    </row>
    <row r="373">
      <c r="A373" s="3">
        <f>IFERROR(__xludf.DUMMYFUNCTION("""COMPUTED_VALUE"""),44292.0)</f>
        <v>44292</v>
      </c>
      <c r="B373" s="1">
        <f t="shared" ref="B373:U373" si="372">IF($A373&gt;0,Megyeinapi!B373/'megyelakosság'!B$2*100000," ")</f>
        <v>23.29656326</v>
      </c>
      <c r="C373" s="1">
        <f t="shared" si="372"/>
        <v>49.84559006</v>
      </c>
      <c r="D373" s="1">
        <f t="shared" si="372"/>
        <v>8.77346903</v>
      </c>
      <c r="E373" s="1">
        <f t="shared" si="372"/>
        <v>20.09217284</v>
      </c>
      <c r="F373" s="1">
        <f t="shared" si="372"/>
        <v>15.42666734</v>
      </c>
      <c r="G373" s="1">
        <f t="shared" si="372"/>
        <v>25.60678027</v>
      </c>
      <c r="H373" s="1">
        <f t="shared" si="372"/>
        <v>14.5722797</v>
      </c>
      <c r="I373" s="1">
        <f t="shared" si="372"/>
        <v>6.974665058</v>
      </c>
      <c r="J373" s="1">
        <f t="shared" si="372"/>
        <v>14.0490235</v>
      </c>
      <c r="K373" s="1">
        <f t="shared" si="372"/>
        <v>14.31390391</v>
      </c>
      <c r="L373" s="1">
        <f t="shared" si="372"/>
        <v>19.62360829</v>
      </c>
      <c r="M373" s="1">
        <f t="shared" si="372"/>
        <v>12.62479443</v>
      </c>
      <c r="N373" s="1">
        <f t="shared" si="372"/>
        <v>26.05108139</v>
      </c>
      <c r="O373" s="1">
        <f t="shared" si="372"/>
        <v>22.28043747</v>
      </c>
      <c r="P373" s="1">
        <f t="shared" si="372"/>
        <v>11.66861144</v>
      </c>
      <c r="Q373" s="1">
        <f t="shared" si="372"/>
        <v>23.31392934</v>
      </c>
      <c r="R373" s="1">
        <f t="shared" si="372"/>
        <v>30.16045361</v>
      </c>
      <c r="S373" s="1">
        <f t="shared" si="372"/>
        <v>28.72466426</v>
      </c>
      <c r="T373" s="1">
        <f t="shared" si="372"/>
        <v>21.1046527</v>
      </c>
      <c r="U373" s="1">
        <f t="shared" si="372"/>
        <v>12.72117065</v>
      </c>
    </row>
    <row r="374">
      <c r="A374" s="3">
        <f>IFERROR(__xludf.DUMMYFUNCTION("""COMPUTED_VALUE"""),44293.0)</f>
        <v>44293</v>
      </c>
      <c r="B374" s="1">
        <f t="shared" ref="B374:U374" si="373">IF($A374&gt;0,Megyeinapi!B374/'megyelakosság'!B$2*100000," ")</f>
        <v>26.28330214</v>
      </c>
      <c r="C374" s="1">
        <f t="shared" si="373"/>
        <v>30.07443422</v>
      </c>
      <c r="D374" s="1">
        <f t="shared" si="373"/>
        <v>12.70640342</v>
      </c>
      <c r="E374" s="1">
        <f t="shared" si="373"/>
        <v>16.63883064</v>
      </c>
      <c r="F374" s="1">
        <f t="shared" si="373"/>
        <v>16.28370441</v>
      </c>
      <c r="G374" s="1">
        <f t="shared" si="373"/>
        <v>14.56071819</v>
      </c>
      <c r="H374" s="1">
        <f t="shared" si="373"/>
        <v>21.26119497</v>
      </c>
      <c r="I374" s="1">
        <f t="shared" si="373"/>
        <v>12.04714874</v>
      </c>
      <c r="J374" s="1">
        <f t="shared" si="373"/>
        <v>20.31412857</v>
      </c>
      <c r="K374" s="1">
        <f t="shared" si="373"/>
        <v>39.53363938</v>
      </c>
      <c r="L374" s="1">
        <f t="shared" si="373"/>
        <v>14.99025633</v>
      </c>
      <c r="M374" s="1">
        <f t="shared" si="373"/>
        <v>10.96363727</v>
      </c>
      <c r="N374" s="1">
        <f t="shared" si="373"/>
        <v>19.13957</v>
      </c>
      <c r="O374" s="1">
        <f t="shared" si="373"/>
        <v>17.80893099</v>
      </c>
      <c r="P374" s="1">
        <f t="shared" si="373"/>
        <v>34.33905651</v>
      </c>
      <c r="Q374" s="1">
        <f t="shared" si="373"/>
        <v>23.67820949</v>
      </c>
      <c r="R374" s="1">
        <f t="shared" si="373"/>
        <v>15.3122303</v>
      </c>
      <c r="S374" s="1">
        <f t="shared" si="373"/>
        <v>40.5293208</v>
      </c>
      <c r="T374" s="1">
        <f t="shared" si="373"/>
        <v>23.74273428</v>
      </c>
      <c r="U374" s="1">
        <f t="shared" si="373"/>
        <v>10.47625818</v>
      </c>
    </row>
    <row r="375">
      <c r="A375" s="3">
        <f>IFERROR(__xludf.DUMMYFUNCTION("""COMPUTED_VALUE"""),44294.0)</f>
        <v>44294</v>
      </c>
      <c r="B375" s="1">
        <f t="shared" ref="B375:U375" si="374">IF($A375&gt;0,Megyeinapi!B375/'megyelakosság'!B$2*100000," ")</f>
        <v>41.61522839</v>
      </c>
      <c r="C375" s="1">
        <f t="shared" si="374"/>
        <v>54.30106179</v>
      </c>
      <c r="D375" s="1">
        <f t="shared" si="374"/>
        <v>35.69894295</v>
      </c>
      <c r="E375" s="1">
        <f t="shared" si="374"/>
        <v>47.0910301</v>
      </c>
      <c r="F375" s="1">
        <f t="shared" si="374"/>
        <v>40.85210054</v>
      </c>
      <c r="G375" s="1">
        <f t="shared" si="374"/>
        <v>41.67377966</v>
      </c>
      <c r="H375" s="1">
        <f t="shared" si="374"/>
        <v>49.92797472</v>
      </c>
      <c r="I375" s="1">
        <f t="shared" si="374"/>
        <v>30.85760904</v>
      </c>
      <c r="J375" s="1">
        <f t="shared" si="374"/>
        <v>53.7280223</v>
      </c>
      <c r="K375" s="1">
        <f t="shared" si="374"/>
        <v>58.6188446</v>
      </c>
      <c r="L375" s="1">
        <f t="shared" si="374"/>
        <v>43.33546831</v>
      </c>
      <c r="M375" s="1">
        <f t="shared" si="374"/>
        <v>34.8843004</v>
      </c>
      <c r="N375" s="1">
        <f t="shared" si="374"/>
        <v>131.3187164</v>
      </c>
      <c r="O375" s="1">
        <f t="shared" si="374"/>
        <v>46.71953324</v>
      </c>
      <c r="P375" s="1">
        <f t="shared" si="374"/>
        <v>98.68311385</v>
      </c>
      <c r="Q375" s="1">
        <f t="shared" si="374"/>
        <v>42.43863701</v>
      </c>
      <c r="R375" s="1">
        <f t="shared" si="374"/>
        <v>41.2966211</v>
      </c>
      <c r="S375" s="1">
        <f t="shared" si="374"/>
        <v>66.4995652</v>
      </c>
      <c r="T375" s="1">
        <f t="shared" si="374"/>
        <v>90.28101431</v>
      </c>
      <c r="U375" s="1">
        <f t="shared" si="374"/>
        <v>33.29953493</v>
      </c>
    </row>
    <row r="376">
      <c r="A376" s="3">
        <f>IFERROR(__xludf.DUMMYFUNCTION("""COMPUTED_VALUE"""),44295.0)</f>
        <v>44295</v>
      </c>
      <c r="B376" s="1">
        <f t="shared" ref="B376:U376" si="375">IF($A376&gt;0,Megyeinapi!B376/'megyelakosság'!B$2*100000," ")</f>
        <v>91.19509378</v>
      </c>
      <c r="C376" s="1">
        <f t="shared" si="375"/>
        <v>74.62915159</v>
      </c>
      <c r="D376" s="1">
        <f t="shared" si="375"/>
        <v>58.38894906</v>
      </c>
      <c r="E376" s="1">
        <f t="shared" si="375"/>
        <v>63.10198033</v>
      </c>
      <c r="F376" s="1">
        <f t="shared" si="375"/>
        <v>61.82094096</v>
      </c>
      <c r="G376" s="1">
        <f t="shared" si="375"/>
        <v>98.15932438</v>
      </c>
      <c r="H376" s="1">
        <f t="shared" si="375"/>
        <v>84.56700024</v>
      </c>
      <c r="I376" s="1">
        <f t="shared" si="375"/>
        <v>84.33004115</v>
      </c>
      <c r="J376" s="1">
        <f t="shared" si="375"/>
        <v>81.44636595</v>
      </c>
      <c r="K376" s="1">
        <f t="shared" si="375"/>
        <v>81.79373664</v>
      </c>
      <c r="L376" s="1">
        <f t="shared" si="375"/>
        <v>76.58658236</v>
      </c>
      <c r="M376" s="1">
        <f t="shared" si="375"/>
        <v>54.81818635</v>
      </c>
      <c r="N376" s="1">
        <f t="shared" si="375"/>
        <v>112.7108011</v>
      </c>
      <c r="O376" s="1">
        <f t="shared" si="375"/>
        <v>75.32175573</v>
      </c>
      <c r="P376" s="1">
        <f t="shared" si="375"/>
        <v>119.6866144</v>
      </c>
      <c r="Q376" s="1">
        <f t="shared" si="375"/>
        <v>69.39536781</v>
      </c>
      <c r="R376" s="1">
        <f t="shared" si="375"/>
        <v>75.63313752</v>
      </c>
      <c r="S376" s="1">
        <f t="shared" si="375"/>
        <v>68.46700795</v>
      </c>
      <c r="T376" s="1">
        <f t="shared" si="375"/>
        <v>70.34884232</v>
      </c>
      <c r="U376" s="1">
        <f t="shared" si="375"/>
        <v>58.74187622</v>
      </c>
    </row>
    <row r="377">
      <c r="A377" s="3">
        <f>IFERROR(__xludf.DUMMYFUNCTION("""COMPUTED_VALUE"""),44296.0)</f>
        <v>44296</v>
      </c>
      <c r="B377" s="1">
        <f t="shared" ref="B377:U377" si="376">IF($A377&gt;0,Megyeinapi!B377/'megyelakosság'!B$2*100000," ")</f>
        <v>95.57564414</v>
      </c>
      <c r="C377" s="1">
        <f t="shared" si="376"/>
        <v>98.85577916</v>
      </c>
      <c r="D377" s="1">
        <f t="shared" si="376"/>
        <v>61.11174979</v>
      </c>
      <c r="E377" s="1">
        <f t="shared" si="376"/>
        <v>72.67715646</v>
      </c>
      <c r="F377" s="1">
        <f t="shared" si="376"/>
        <v>52.10785412</v>
      </c>
      <c r="G377" s="1">
        <f t="shared" si="376"/>
        <v>99.16351184</v>
      </c>
      <c r="H377" s="1">
        <f t="shared" si="376"/>
        <v>106.3059749</v>
      </c>
      <c r="I377" s="1">
        <f t="shared" si="376"/>
        <v>101.4496736</v>
      </c>
      <c r="J377" s="1">
        <f t="shared" si="376"/>
        <v>88.4708777</v>
      </c>
      <c r="K377" s="1">
        <f t="shared" si="376"/>
        <v>89.97311031</v>
      </c>
      <c r="L377" s="1">
        <f t="shared" si="376"/>
        <v>89.941538</v>
      </c>
      <c r="M377" s="1">
        <f t="shared" si="376"/>
        <v>60.79835213</v>
      </c>
      <c r="N377" s="1">
        <f t="shared" si="376"/>
        <v>87.19137443</v>
      </c>
      <c r="O377" s="1">
        <f t="shared" si="376"/>
        <v>68.92287576</v>
      </c>
      <c r="P377" s="1">
        <f t="shared" si="376"/>
        <v>92.01533589</v>
      </c>
      <c r="Q377" s="1">
        <f t="shared" si="376"/>
        <v>93.98427767</v>
      </c>
      <c r="R377" s="1">
        <f t="shared" si="376"/>
        <v>103.0095493</v>
      </c>
      <c r="S377" s="1">
        <f t="shared" si="376"/>
        <v>127.8837792</v>
      </c>
      <c r="T377" s="1">
        <f t="shared" si="376"/>
        <v>148.0256891</v>
      </c>
      <c r="U377" s="1">
        <f t="shared" si="376"/>
        <v>65.8507657</v>
      </c>
    </row>
    <row r="378">
      <c r="A378" s="3">
        <f>IFERROR(__xludf.DUMMYFUNCTION("""COMPUTED_VALUE"""),44297.0)</f>
        <v>44297</v>
      </c>
      <c r="B378" s="1">
        <f t="shared" ref="B378:U378" si="377">IF($A378&gt;0,Megyeinapi!B378/'megyelakosság'!B$2*100000," ")</f>
        <v>67.6994146</v>
      </c>
      <c r="C378" s="1">
        <f t="shared" si="377"/>
        <v>71.84448176</v>
      </c>
      <c r="D378" s="1">
        <f t="shared" si="377"/>
        <v>56.27121516</v>
      </c>
      <c r="E378" s="1">
        <f t="shared" si="377"/>
        <v>67.02623284</v>
      </c>
      <c r="F378" s="1">
        <f t="shared" si="377"/>
        <v>49.5938787</v>
      </c>
      <c r="G378" s="1">
        <f t="shared" si="377"/>
        <v>62.00857576</v>
      </c>
      <c r="H378" s="1">
        <f t="shared" si="377"/>
        <v>54.70577134</v>
      </c>
      <c r="I378" s="1">
        <f t="shared" si="377"/>
        <v>74.39642728</v>
      </c>
      <c r="J378" s="1">
        <f t="shared" si="377"/>
        <v>65.49882577</v>
      </c>
      <c r="K378" s="1">
        <f t="shared" si="377"/>
        <v>94.40360438</v>
      </c>
      <c r="L378" s="1">
        <f t="shared" si="377"/>
        <v>65.13947752</v>
      </c>
      <c r="M378" s="1">
        <f t="shared" si="377"/>
        <v>51.82810346</v>
      </c>
      <c r="N378" s="1">
        <f t="shared" si="377"/>
        <v>80.27986305</v>
      </c>
      <c r="O378" s="1">
        <f t="shared" si="377"/>
        <v>58.12958426</v>
      </c>
      <c r="P378" s="1">
        <f t="shared" si="377"/>
        <v>61.34355726</v>
      </c>
      <c r="Q378" s="1">
        <f t="shared" si="377"/>
        <v>71.76318876</v>
      </c>
      <c r="R378" s="1">
        <f t="shared" si="377"/>
        <v>69.6010468</v>
      </c>
      <c r="S378" s="1">
        <f t="shared" si="377"/>
        <v>95.22422945</v>
      </c>
      <c r="T378" s="1">
        <f t="shared" si="377"/>
        <v>78.26308708</v>
      </c>
      <c r="U378" s="1">
        <f t="shared" si="377"/>
        <v>86.05497791</v>
      </c>
    </row>
    <row r="379">
      <c r="A379" s="3">
        <f>IFERROR(__xludf.DUMMYFUNCTION("""COMPUTED_VALUE"""),44298.0)</f>
        <v>44298</v>
      </c>
      <c r="B379" s="1">
        <f t="shared" ref="B379:U379" si="378">IF($A379&gt;0,Megyeinapi!B379/'megyelakosság'!B$2*100000," ")</f>
        <v>59.93389351</v>
      </c>
      <c r="C379" s="1">
        <f t="shared" si="378"/>
        <v>79.08462333</v>
      </c>
      <c r="D379" s="1">
        <f t="shared" si="378"/>
        <v>38.11921027</v>
      </c>
      <c r="E379" s="1">
        <f t="shared" si="378"/>
        <v>45.364359</v>
      </c>
      <c r="F379" s="1">
        <f t="shared" si="378"/>
        <v>38.50953254</v>
      </c>
      <c r="G379" s="1">
        <f t="shared" si="378"/>
        <v>43.93320145</v>
      </c>
      <c r="H379" s="1">
        <f t="shared" si="378"/>
        <v>94.60037315</v>
      </c>
      <c r="I379" s="1">
        <f t="shared" si="378"/>
        <v>53.68378559</v>
      </c>
      <c r="J379" s="1">
        <f t="shared" si="378"/>
        <v>47.65276889</v>
      </c>
      <c r="K379" s="1">
        <f t="shared" si="378"/>
        <v>65.43498932</v>
      </c>
      <c r="L379" s="1">
        <f t="shared" si="378"/>
        <v>61.59632602</v>
      </c>
      <c r="M379" s="1">
        <f t="shared" si="378"/>
        <v>61.462815</v>
      </c>
      <c r="N379" s="1">
        <f t="shared" si="378"/>
        <v>17.01295111</v>
      </c>
      <c r="O379" s="1">
        <f t="shared" si="378"/>
        <v>58.05248932</v>
      </c>
      <c r="P379" s="1">
        <f t="shared" si="378"/>
        <v>42.34039007</v>
      </c>
      <c r="Q379" s="1">
        <f t="shared" si="378"/>
        <v>51.54564066</v>
      </c>
      <c r="R379" s="1">
        <f t="shared" si="378"/>
        <v>44.54466995</v>
      </c>
      <c r="S379" s="1">
        <f t="shared" si="378"/>
        <v>32.65954977</v>
      </c>
      <c r="T379" s="1">
        <f t="shared" si="378"/>
        <v>75.91812567</v>
      </c>
      <c r="U379" s="1">
        <f t="shared" si="378"/>
        <v>34.04783908</v>
      </c>
    </row>
    <row r="380">
      <c r="A380" s="3">
        <f>IFERROR(__xludf.DUMMYFUNCTION("""COMPUTED_VALUE"""),44299.0)</f>
        <v>44299</v>
      </c>
      <c r="B380" s="1">
        <f t="shared" ref="B380:U380" si="379">IF($A380&gt;0,Megyeinapi!B380/'megyelakosság'!B$2*100000," ")</f>
        <v>31.4603162</v>
      </c>
      <c r="C380" s="1">
        <f t="shared" si="379"/>
        <v>59.87040147</v>
      </c>
      <c r="D380" s="1">
        <f t="shared" si="379"/>
        <v>36.30400978</v>
      </c>
      <c r="E380" s="1">
        <f t="shared" si="379"/>
        <v>12.40063793</v>
      </c>
      <c r="F380" s="1">
        <f t="shared" si="379"/>
        <v>23.36854423</v>
      </c>
      <c r="G380" s="1">
        <f t="shared" si="379"/>
        <v>27.36410833</v>
      </c>
      <c r="H380" s="1">
        <f t="shared" si="379"/>
        <v>32.72790687</v>
      </c>
      <c r="I380" s="1">
        <f t="shared" si="379"/>
        <v>7.397372031</v>
      </c>
      <c r="J380" s="1">
        <f t="shared" si="379"/>
        <v>19.93442523</v>
      </c>
      <c r="K380" s="1">
        <f t="shared" si="379"/>
        <v>28.96861506</v>
      </c>
      <c r="L380" s="1">
        <f t="shared" si="379"/>
        <v>28.61776209</v>
      </c>
      <c r="M380" s="1">
        <f t="shared" si="379"/>
        <v>13.95372016</v>
      </c>
      <c r="N380" s="1">
        <f t="shared" si="379"/>
        <v>40.93741361</v>
      </c>
      <c r="O380" s="1">
        <f t="shared" si="379"/>
        <v>30.52959598</v>
      </c>
      <c r="P380" s="1">
        <f t="shared" si="379"/>
        <v>27.33788965</v>
      </c>
      <c r="Q380" s="1">
        <f t="shared" si="379"/>
        <v>33.51377343</v>
      </c>
      <c r="R380" s="1">
        <f t="shared" si="379"/>
        <v>20.88031404</v>
      </c>
      <c r="S380" s="1">
        <f t="shared" si="379"/>
        <v>83.41957291</v>
      </c>
      <c r="T380" s="1">
        <f t="shared" si="379"/>
        <v>41.62306504</v>
      </c>
      <c r="U380" s="1">
        <f t="shared" si="379"/>
        <v>37.41520779</v>
      </c>
    </row>
    <row r="381">
      <c r="A381" s="3">
        <f>IFERROR(__xludf.DUMMYFUNCTION("""COMPUTED_VALUE"""),44300.0)</f>
        <v>44300</v>
      </c>
      <c r="B381" s="1">
        <f t="shared" ref="B381:U381" si="380">IF($A381&gt;0,Megyeinapi!B381/'megyelakosság'!B$2*100000," ")</f>
        <v>27.87622954</v>
      </c>
      <c r="C381" s="1">
        <f t="shared" si="380"/>
        <v>60.9842694</v>
      </c>
      <c r="D381" s="1">
        <f t="shared" si="380"/>
        <v>39.63187734</v>
      </c>
      <c r="E381" s="1">
        <f t="shared" si="380"/>
        <v>38.30070448</v>
      </c>
      <c r="F381" s="1">
        <f t="shared" si="380"/>
        <v>28.91071731</v>
      </c>
      <c r="G381" s="1">
        <f t="shared" si="380"/>
        <v>28.87038952</v>
      </c>
      <c r="H381" s="1">
        <f t="shared" si="380"/>
        <v>33.6834662</v>
      </c>
      <c r="I381" s="1">
        <f t="shared" si="380"/>
        <v>22.82617655</v>
      </c>
      <c r="J381" s="1">
        <f t="shared" si="380"/>
        <v>38.35003712</v>
      </c>
      <c r="K381" s="1">
        <f t="shared" si="380"/>
        <v>67.82063997</v>
      </c>
      <c r="L381" s="1">
        <f t="shared" si="380"/>
        <v>34.34131451</v>
      </c>
      <c r="M381" s="1">
        <f t="shared" si="380"/>
        <v>22.92396884</v>
      </c>
      <c r="N381" s="1">
        <f t="shared" si="380"/>
        <v>64.8618761</v>
      </c>
      <c r="O381" s="1">
        <f t="shared" si="380"/>
        <v>38.77875448</v>
      </c>
      <c r="P381" s="1">
        <f t="shared" si="380"/>
        <v>35.3392232</v>
      </c>
      <c r="Q381" s="1">
        <f t="shared" si="380"/>
        <v>32.42093299</v>
      </c>
      <c r="R381" s="1">
        <f t="shared" si="380"/>
        <v>27.37641174</v>
      </c>
      <c r="S381" s="1">
        <f t="shared" si="380"/>
        <v>52.33397734</v>
      </c>
      <c r="T381" s="1">
        <f t="shared" si="380"/>
        <v>68.29700109</v>
      </c>
      <c r="U381" s="1">
        <f t="shared" si="380"/>
        <v>23.5715809</v>
      </c>
    </row>
    <row r="382">
      <c r="A382" s="3">
        <f>IFERROR(__xludf.DUMMYFUNCTION("""COMPUTED_VALUE"""),44301.0)</f>
        <v>44301</v>
      </c>
      <c r="B382" s="1">
        <f t="shared" ref="B382:U382" si="381">IF($A382&gt;0,Megyeinapi!B382/'megyelakosság'!B$2*100000," ")</f>
        <v>64.31444387</v>
      </c>
      <c r="C382" s="1">
        <f t="shared" si="381"/>
        <v>69.89521287</v>
      </c>
      <c r="D382" s="1">
        <f t="shared" si="381"/>
        <v>41.14454441</v>
      </c>
      <c r="E382" s="1">
        <f t="shared" si="381"/>
        <v>51.95710321</v>
      </c>
      <c r="F382" s="1">
        <f t="shared" si="381"/>
        <v>40.22360669</v>
      </c>
      <c r="G382" s="1">
        <f t="shared" si="381"/>
        <v>70.54416919</v>
      </c>
      <c r="H382" s="1">
        <f t="shared" si="381"/>
        <v>63.54469509</v>
      </c>
      <c r="I382" s="1">
        <f t="shared" si="381"/>
        <v>58.54491579</v>
      </c>
      <c r="J382" s="1">
        <f t="shared" si="381"/>
        <v>54.10772563</v>
      </c>
      <c r="K382" s="1">
        <f t="shared" si="381"/>
        <v>51.80269987</v>
      </c>
      <c r="L382" s="1">
        <f t="shared" si="381"/>
        <v>50.69432142</v>
      </c>
      <c r="M382" s="1">
        <f t="shared" si="381"/>
        <v>46.51240054</v>
      </c>
      <c r="N382" s="1">
        <f t="shared" si="381"/>
        <v>96.22950471</v>
      </c>
      <c r="O382" s="1">
        <f t="shared" si="381"/>
        <v>53.42679296</v>
      </c>
      <c r="P382" s="1">
        <f t="shared" si="381"/>
        <v>55.67594599</v>
      </c>
      <c r="Q382" s="1">
        <f t="shared" si="381"/>
        <v>58.83124358</v>
      </c>
      <c r="R382" s="1">
        <f t="shared" si="381"/>
        <v>44.08066297</v>
      </c>
      <c r="S382" s="1">
        <f t="shared" si="381"/>
        <v>60.20374837</v>
      </c>
      <c r="T382" s="1">
        <f t="shared" si="381"/>
        <v>69.46948179</v>
      </c>
      <c r="U382" s="1">
        <f t="shared" si="381"/>
        <v>47.14316181</v>
      </c>
    </row>
    <row r="383">
      <c r="A383" s="3">
        <f>IFERROR(__xludf.DUMMYFUNCTION("""COMPUTED_VALUE"""),44302.0)</f>
        <v>44302</v>
      </c>
      <c r="B383" s="1">
        <f t="shared" ref="B383:U383" si="382">IF($A383&gt;0,Megyeinapi!B383/'megyelakosság'!B$2*100000," ")</f>
        <v>57.34538648</v>
      </c>
      <c r="C383" s="1">
        <f t="shared" si="382"/>
        <v>74.07221763</v>
      </c>
      <c r="D383" s="1">
        <f t="shared" si="382"/>
        <v>50.22054686</v>
      </c>
      <c r="E383" s="1">
        <f t="shared" si="382"/>
        <v>57.29408662</v>
      </c>
      <c r="F383" s="1">
        <f t="shared" si="382"/>
        <v>37.13827322</v>
      </c>
      <c r="G383" s="1">
        <f t="shared" si="382"/>
        <v>50.20937309</v>
      </c>
      <c r="H383" s="1">
        <f t="shared" si="382"/>
        <v>52.31687303</v>
      </c>
      <c r="I383" s="1">
        <f t="shared" si="382"/>
        <v>49.24536238</v>
      </c>
      <c r="J383" s="1">
        <f t="shared" si="382"/>
        <v>50.69039559</v>
      </c>
      <c r="K383" s="1">
        <f t="shared" si="382"/>
        <v>70.54709786</v>
      </c>
      <c r="L383" s="1">
        <f t="shared" si="382"/>
        <v>76.31403224</v>
      </c>
      <c r="M383" s="1">
        <f t="shared" si="382"/>
        <v>41.19669762</v>
      </c>
      <c r="N383" s="1">
        <f t="shared" si="382"/>
        <v>76.55827999</v>
      </c>
      <c r="O383" s="1">
        <f t="shared" si="382"/>
        <v>44.63796987</v>
      </c>
      <c r="P383" s="1">
        <f t="shared" si="382"/>
        <v>56.34272379</v>
      </c>
      <c r="Q383" s="1">
        <f t="shared" si="382"/>
        <v>63.93116562</v>
      </c>
      <c r="R383" s="1">
        <f t="shared" si="382"/>
        <v>55.68083744</v>
      </c>
      <c r="S383" s="1">
        <f t="shared" si="382"/>
        <v>59.02328272</v>
      </c>
      <c r="T383" s="1">
        <f t="shared" si="382"/>
        <v>73.86628444</v>
      </c>
      <c r="U383" s="1">
        <f t="shared" si="382"/>
        <v>69.59228648</v>
      </c>
    </row>
    <row r="384">
      <c r="A384" s="3">
        <f>IFERROR(__xludf.DUMMYFUNCTION("""COMPUTED_VALUE"""),44303.0)</f>
        <v>44303</v>
      </c>
      <c r="B384" s="1">
        <f t="shared" ref="B384:U384" si="383">IF($A384&gt;0,Megyeinapi!B384/'megyelakosság'!B$2*100000," ")</f>
        <v>44.00461949</v>
      </c>
      <c r="C384" s="1">
        <f t="shared" si="383"/>
        <v>53.46566084</v>
      </c>
      <c r="D384" s="1">
        <f t="shared" si="383"/>
        <v>40.842011</v>
      </c>
      <c r="E384" s="1">
        <f t="shared" si="383"/>
        <v>50.23043211</v>
      </c>
      <c r="F384" s="1">
        <f t="shared" si="383"/>
        <v>39.88079186</v>
      </c>
      <c r="G384" s="1">
        <f t="shared" si="383"/>
        <v>41.17168593</v>
      </c>
      <c r="H384" s="1">
        <f t="shared" si="383"/>
        <v>51.12242387</v>
      </c>
      <c r="I384" s="1">
        <f t="shared" si="383"/>
        <v>37.40956713</v>
      </c>
      <c r="J384" s="1">
        <f t="shared" si="383"/>
        <v>46.13395554</v>
      </c>
      <c r="K384" s="1">
        <f t="shared" si="383"/>
        <v>50.78027817</v>
      </c>
      <c r="L384" s="1">
        <f t="shared" si="383"/>
        <v>49.60412096</v>
      </c>
      <c r="M384" s="1">
        <f t="shared" si="383"/>
        <v>40.20000332</v>
      </c>
      <c r="N384" s="1">
        <f t="shared" si="383"/>
        <v>45.19065138</v>
      </c>
      <c r="O384" s="1">
        <f t="shared" si="383"/>
        <v>57.89829944</v>
      </c>
      <c r="P384" s="1">
        <f t="shared" si="383"/>
        <v>37.67294549</v>
      </c>
      <c r="Q384" s="1">
        <f t="shared" si="383"/>
        <v>42.98505723</v>
      </c>
      <c r="R384" s="1">
        <f t="shared" si="383"/>
        <v>47.32871182</v>
      </c>
      <c r="S384" s="1">
        <f t="shared" si="383"/>
        <v>63.35165678</v>
      </c>
      <c r="T384" s="1">
        <f t="shared" si="383"/>
        <v>64.19331862</v>
      </c>
      <c r="U384" s="1">
        <f t="shared" si="383"/>
        <v>45.27240142</v>
      </c>
    </row>
    <row r="385">
      <c r="A385" s="3">
        <f>IFERROR(__xludf.DUMMYFUNCTION("""COMPUTED_VALUE"""),44304.0)</f>
        <v>44304</v>
      </c>
      <c r="B385" s="1">
        <f t="shared" ref="B385:U385" si="384">IF($A385&gt;0,Megyeinapi!B385/'megyelakosság'!B$2*100000," ")</f>
        <v>40.02230098</v>
      </c>
      <c r="C385" s="1">
        <f t="shared" si="384"/>
        <v>57.36419861</v>
      </c>
      <c r="D385" s="1">
        <f t="shared" si="384"/>
        <v>36.00147636</v>
      </c>
      <c r="E385" s="1">
        <f t="shared" si="384"/>
        <v>42.22495699</v>
      </c>
      <c r="F385" s="1">
        <f t="shared" si="384"/>
        <v>28.56790248</v>
      </c>
      <c r="G385" s="1">
        <f t="shared" si="384"/>
        <v>30.37667072</v>
      </c>
      <c r="H385" s="1">
        <f t="shared" si="384"/>
        <v>40.85016113</v>
      </c>
      <c r="I385" s="1">
        <f t="shared" si="384"/>
        <v>36.56415318</v>
      </c>
      <c r="J385" s="1">
        <f t="shared" si="384"/>
        <v>41.38766382</v>
      </c>
      <c r="K385" s="1">
        <f t="shared" si="384"/>
        <v>56.57400118</v>
      </c>
      <c r="L385" s="1">
        <f t="shared" si="384"/>
        <v>41.70016762</v>
      </c>
      <c r="M385" s="1">
        <f t="shared" si="384"/>
        <v>24.25289457</v>
      </c>
      <c r="N385" s="1">
        <f t="shared" si="384"/>
        <v>33.4942475</v>
      </c>
      <c r="O385" s="1">
        <f t="shared" si="384"/>
        <v>38.31618485</v>
      </c>
      <c r="P385" s="1">
        <f t="shared" si="384"/>
        <v>37.00616769</v>
      </c>
      <c r="Q385" s="1">
        <f t="shared" si="384"/>
        <v>42.98505723</v>
      </c>
      <c r="R385" s="1">
        <f t="shared" si="384"/>
        <v>31.55247455</v>
      </c>
      <c r="S385" s="1">
        <f t="shared" si="384"/>
        <v>26.36373295</v>
      </c>
      <c r="T385" s="1">
        <f t="shared" si="384"/>
        <v>59.79651597</v>
      </c>
      <c r="U385" s="1">
        <f t="shared" si="384"/>
        <v>33.67368701</v>
      </c>
    </row>
    <row r="386">
      <c r="A386" s="3">
        <f>IFERROR(__xludf.DUMMYFUNCTION("""COMPUTED_VALUE"""),44305.0)</f>
        <v>44305</v>
      </c>
      <c r="B386" s="1">
        <f t="shared" ref="B386:U386" si="385">IF($A386&gt;0,Megyeinapi!B386/'megyelakosság'!B$2*100000," ")</f>
        <v>32.85412767</v>
      </c>
      <c r="C386" s="1">
        <f t="shared" si="385"/>
        <v>52.35179291</v>
      </c>
      <c r="D386" s="1">
        <f t="shared" si="385"/>
        <v>19.05960513</v>
      </c>
      <c r="E386" s="1">
        <f t="shared" si="385"/>
        <v>24.01642535</v>
      </c>
      <c r="F386" s="1">
        <f t="shared" si="385"/>
        <v>16.85506246</v>
      </c>
      <c r="G386" s="1">
        <f t="shared" si="385"/>
        <v>31.88295191</v>
      </c>
      <c r="H386" s="1">
        <f t="shared" si="385"/>
        <v>35.11680518</v>
      </c>
      <c r="I386" s="1">
        <f t="shared" si="385"/>
        <v>30.0121951</v>
      </c>
      <c r="J386" s="1">
        <f t="shared" si="385"/>
        <v>27.14878865</v>
      </c>
      <c r="K386" s="1">
        <f t="shared" si="385"/>
        <v>19.42601245</v>
      </c>
      <c r="L386" s="1">
        <f t="shared" si="385"/>
        <v>35.15896485</v>
      </c>
      <c r="M386" s="1">
        <f t="shared" si="385"/>
        <v>28.90413462</v>
      </c>
      <c r="N386" s="1">
        <f t="shared" si="385"/>
        <v>10.10143972</v>
      </c>
      <c r="O386" s="1">
        <f t="shared" si="385"/>
        <v>21.89496277</v>
      </c>
      <c r="P386" s="1">
        <f t="shared" si="385"/>
        <v>26.67111185</v>
      </c>
      <c r="Q386" s="1">
        <f t="shared" si="385"/>
        <v>36.24587453</v>
      </c>
      <c r="R386" s="1">
        <f t="shared" si="385"/>
        <v>21.808328</v>
      </c>
      <c r="S386" s="1">
        <f t="shared" si="385"/>
        <v>41.3162979</v>
      </c>
      <c r="T386" s="1">
        <f t="shared" si="385"/>
        <v>49.5373098</v>
      </c>
      <c r="U386" s="1">
        <f t="shared" si="385"/>
        <v>30.30631831</v>
      </c>
    </row>
    <row r="387">
      <c r="A387" s="3">
        <f>IFERROR(__xludf.DUMMYFUNCTION("""COMPUTED_VALUE"""),44306.0)</f>
        <v>44306</v>
      </c>
      <c r="B387" s="1">
        <f t="shared" ref="B387:U387" si="386">IF($A387&gt;0,Megyeinapi!B387/'megyelakosság'!B$2*100000," ")</f>
        <v>15.13281032</v>
      </c>
      <c r="C387" s="1">
        <f t="shared" si="386"/>
        <v>43.71931642</v>
      </c>
      <c r="D387" s="1">
        <f t="shared" si="386"/>
        <v>16.03427099</v>
      </c>
      <c r="E387" s="1">
        <f t="shared" si="386"/>
        <v>6.749714314</v>
      </c>
      <c r="F387" s="1">
        <f t="shared" si="386"/>
        <v>11.02721036</v>
      </c>
      <c r="G387" s="1">
        <f t="shared" si="386"/>
        <v>13.55653073</v>
      </c>
      <c r="H387" s="1">
        <f t="shared" si="386"/>
        <v>16.96117801</v>
      </c>
      <c r="I387" s="1">
        <f t="shared" si="386"/>
        <v>6.974665058</v>
      </c>
      <c r="J387" s="1">
        <f t="shared" si="386"/>
        <v>15.37798518</v>
      </c>
      <c r="K387" s="1">
        <f t="shared" si="386"/>
        <v>46.00897686</v>
      </c>
      <c r="L387" s="1">
        <f t="shared" si="386"/>
        <v>28.34521198</v>
      </c>
      <c r="M387" s="1">
        <f t="shared" si="386"/>
        <v>6.312397216</v>
      </c>
      <c r="N387" s="1">
        <f t="shared" si="386"/>
        <v>20.73453416</v>
      </c>
      <c r="O387" s="1">
        <f t="shared" si="386"/>
        <v>13.49161438</v>
      </c>
      <c r="P387" s="1">
        <f t="shared" si="386"/>
        <v>16.66944491</v>
      </c>
      <c r="Q387" s="1">
        <f t="shared" si="386"/>
        <v>19.30684774</v>
      </c>
      <c r="R387" s="1">
        <f t="shared" si="386"/>
        <v>22.73634195</v>
      </c>
      <c r="S387" s="1">
        <f t="shared" si="386"/>
        <v>23.60931309</v>
      </c>
      <c r="T387" s="1">
        <f t="shared" si="386"/>
        <v>24.62209481</v>
      </c>
      <c r="U387" s="1">
        <f t="shared" si="386"/>
        <v>23.5715809</v>
      </c>
    </row>
    <row r="388">
      <c r="A388" s="3">
        <f>IFERROR(__xludf.DUMMYFUNCTION("""COMPUTED_VALUE"""),44307.0)</f>
        <v>44307</v>
      </c>
      <c r="B388" s="1">
        <f t="shared" ref="B388:U388" si="387">IF($A388&gt;0,Megyeinapi!B388/'megyelakosság'!B$2*100000," ")</f>
        <v>19.11512883</v>
      </c>
      <c r="C388" s="1">
        <f t="shared" si="387"/>
        <v>43.44084944</v>
      </c>
      <c r="D388" s="1">
        <f t="shared" si="387"/>
        <v>26.92547392</v>
      </c>
      <c r="E388" s="1">
        <f t="shared" si="387"/>
        <v>30.76613967</v>
      </c>
      <c r="F388" s="1">
        <f t="shared" si="387"/>
        <v>18.5120008</v>
      </c>
      <c r="G388" s="1">
        <f t="shared" si="387"/>
        <v>21.59003043</v>
      </c>
      <c r="H388" s="1">
        <f t="shared" si="387"/>
        <v>19.82785599</v>
      </c>
      <c r="I388" s="1">
        <f t="shared" si="387"/>
        <v>14.79474406</v>
      </c>
      <c r="J388" s="1">
        <f t="shared" si="387"/>
        <v>34.74285541</v>
      </c>
      <c r="K388" s="1">
        <f t="shared" si="387"/>
        <v>41.91929003</v>
      </c>
      <c r="L388" s="1">
        <f t="shared" si="387"/>
        <v>31.07071313</v>
      </c>
      <c r="M388" s="1">
        <f t="shared" si="387"/>
        <v>20.59834881</v>
      </c>
      <c r="N388" s="1">
        <f t="shared" si="387"/>
        <v>39.34244944</v>
      </c>
      <c r="O388" s="1">
        <f t="shared" si="387"/>
        <v>22.58881722</v>
      </c>
      <c r="P388" s="1">
        <f t="shared" si="387"/>
        <v>35.3392232</v>
      </c>
      <c r="Q388" s="1">
        <f t="shared" si="387"/>
        <v>18.76042752</v>
      </c>
      <c r="R388" s="1">
        <f t="shared" si="387"/>
        <v>15.77623727</v>
      </c>
      <c r="S388" s="1">
        <f t="shared" si="387"/>
        <v>26.7572215</v>
      </c>
      <c r="T388" s="1">
        <f t="shared" si="387"/>
        <v>58.33091509</v>
      </c>
      <c r="U388" s="1">
        <f t="shared" si="387"/>
        <v>25.44234129</v>
      </c>
    </row>
    <row r="389">
      <c r="A389" s="3">
        <f>IFERROR(__xludf.DUMMYFUNCTION("""COMPUTED_VALUE"""),44308.0)</f>
        <v>44308</v>
      </c>
      <c r="B389" s="1">
        <f t="shared" ref="B389:U389" si="388">IF($A389&gt;0,Megyeinapi!B389/'megyelakosság'!B$2*100000," ")</f>
        <v>49.5798654</v>
      </c>
      <c r="C389" s="1">
        <f t="shared" si="388"/>
        <v>45.39011832</v>
      </c>
      <c r="D389" s="1">
        <f t="shared" si="388"/>
        <v>36.60654319</v>
      </c>
      <c r="E389" s="1">
        <f t="shared" si="388"/>
        <v>40.34131579</v>
      </c>
      <c r="F389" s="1">
        <f t="shared" si="388"/>
        <v>24.51126032</v>
      </c>
      <c r="G389" s="1">
        <f t="shared" si="388"/>
        <v>48.95413876</v>
      </c>
      <c r="H389" s="1">
        <f t="shared" si="388"/>
        <v>49.92797472</v>
      </c>
      <c r="I389" s="1">
        <f t="shared" si="388"/>
        <v>36.14144621</v>
      </c>
      <c r="J389" s="1">
        <f t="shared" si="388"/>
        <v>39.86885047</v>
      </c>
      <c r="K389" s="1">
        <f t="shared" si="388"/>
        <v>47.37220581</v>
      </c>
      <c r="L389" s="1">
        <f t="shared" si="388"/>
        <v>40.06486693</v>
      </c>
      <c r="M389" s="1">
        <f t="shared" si="388"/>
        <v>26.24628316</v>
      </c>
      <c r="N389" s="1">
        <f t="shared" si="388"/>
        <v>52.10216277</v>
      </c>
      <c r="O389" s="1">
        <f t="shared" si="388"/>
        <v>32.9195391</v>
      </c>
      <c r="P389" s="1">
        <f t="shared" si="388"/>
        <v>38.33972329</v>
      </c>
      <c r="Q389" s="1">
        <f t="shared" si="388"/>
        <v>34.24233372</v>
      </c>
      <c r="R389" s="1">
        <f t="shared" si="388"/>
        <v>31.55247455</v>
      </c>
      <c r="S389" s="1">
        <f t="shared" si="388"/>
        <v>35.02048108</v>
      </c>
      <c r="T389" s="1">
        <f t="shared" si="388"/>
        <v>52.17539139</v>
      </c>
      <c r="U389" s="1">
        <f t="shared" si="388"/>
        <v>28.06140584</v>
      </c>
    </row>
    <row r="390">
      <c r="A390" s="3">
        <f>IFERROR(__xludf.DUMMYFUNCTION("""COMPUTED_VALUE"""),44309.0)</f>
        <v>44309</v>
      </c>
      <c r="B390" s="1">
        <f t="shared" ref="B390:U390" si="389">IF($A390&gt;0,Megyeinapi!B390/'megyelakosság'!B$2*100000," ")</f>
        <v>42.21257616</v>
      </c>
      <c r="C390" s="1">
        <f t="shared" si="389"/>
        <v>42.60544849</v>
      </c>
      <c r="D390" s="1">
        <f t="shared" si="389"/>
        <v>36.90907661</v>
      </c>
      <c r="E390" s="1">
        <f t="shared" si="389"/>
        <v>41.12616629</v>
      </c>
      <c r="F390" s="1">
        <f t="shared" si="389"/>
        <v>27.59659379</v>
      </c>
      <c r="G390" s="1">
        <f t="shared" si="389"/>
        <v>35.14656116</v>
      </c>
      <c r="H390" s="1">
        <f t="shared" si="389"/>
        <v>31.77234755</v>
      </c>
      <c r="I390" s="1">
        <f t="shared" si="389"/>
        <v>34.23926483</v>
      </c>
      <c r="J390" s="1">
        <f t="shared" si="389"/>
        <v>23.1619036</v>
      </c>
      <c r="K390" s="1">
        <f t="shared" si="389"/>
        <v>41.23767556</v>
      </c>
      <c r="L390" s="1">
        <f t="shared" si="389"/>
        <v>43.88056854</v>
      </c>
      <c r="M390" s="1">
        <f t="shared" si="389"/>
        <v>25.5818203</v>
      </c>
      <c r="N390" s="1">
        <f t="shared" si="389"/>
        <v>38.27914</v>
      </c>
      <c r="O390" s="1">
        <f t="shared" si="389"/>
        <v>33.15082391</v>
      </c>
      <c r="P390" s="1">
        <f t="shared" si="389"/>
        <v>28.33805634</v>
      </c>
      <c r="Q390" s="1">
        <f t="shared" si="389"/>
        <v>40.98151643</v>
      </c>
      <c r="R390" s="1">
        <f t="shared" si="389"/>
        <v>28.3044257</v>
      </c>
      <c r="S390" s="1">
        <f t="shared" si="389"/>
        <v>36.20094673</v>
      </c>
      <c r="T390" s="1">
        <f t="shared" si="389"/>
        <v>51.29603086</v>
      </c>
      <c r="U390" s="1">
        <f t="shared" si="389"/>
        <v>52.00713882</v>
      </c>
    </row>
    <row r="391">
      <c r="A391" s="3">
        <f>IFERROR(__xludf.DUMMYFUNCTION("""COMPUTED_VALUE"""),44310.0)</f>
        <v>44310</v>
      </c>
      <c r="B391" s="1">
        <f t="shared" ref="B391:U391" si="390">IF($A391&gt;0,Megyeinapi!B391/'megyelakosság'!B$2*100000," ")</f>
        <v>28.47357732</v>
      </c>
      <c r="C391" s="1">
        <f t="shared" si="390"/>
        <v>41.77004753</v>
      </c>
      <c r="D391" s="1">
        <f t="shared" si="390"/>
        <v>30.85840831</v>
      </c>
      <c r="E391" s="1">
        <f t="shared" si="390"/>
        <v>35.16130248</v>
      </c>
      <c r="F391" s="1">
        <f t="shared" si="390"/>
        <v>18.91195144</v>
      </c>
      <c r="G391" s="1">
        <f t="shared" si="390"/>
        <v>31.63190504</v>
      </c>
      <c r="H391" s="1">
        <f t="shared" si="390"/>
        <v>28.90566957</v>
      </c>
      <c r="I391" s="1">
        <f t="shared" si="390"/>
        <v>27.26459977</v>
      </c>
      <c r="J391" s="1">
        <f t="shared" si="390"/>
        <v>28.098047</v>
      </c>
      <c r="K391" s="1">
        <f t="shared" si="390"/>
        <v>34.0807236</v>
      </c>
      <c r="L391" s="1">
        <f t="shared" si="390"/>
        <v>35.70406508</v>
      </c>
      <c r="M391" s="1">
        <f t="shared" si="390"/>
        <v>25.5818203</v>
      </c>
      <c r="N391" s="1">
        <f t="shared" si="390"/>
        <v>39.87410416</v>
      </c>
      <c r="O391" s="1">
        <f t="shared" si="390"/>
        <v>24.36200083</v>
      </c>
      <c r="P391" s="1">
        <f t="shared" si="390"/>
        <v>28.33805634</v>
      </c>
      <c r="Q391" s="1">
        <f t="shared" si="390"/>
        <v>27.13887088</v>
      </c>
      <c r="R391" s="1">
        <f t="shared" si="390"/>
        <v>25.98439081</v>
      </c>
      <c r="S391" s="1">
        <f t="shared" si="390"/>
        <v>34.23350398</v>
      </c>
      <c r="T391" s="1">
        <f t="shared" si="390"/>
        <v>47.48546857</v>
      </c>
      <c r="U391" s="1">
        <f t="shared" si="390"/>
        <v>31.42877454</v>
      </c>
    </row>
    <row r="392">
      <c r="A392" s="3">
        <f>IFERROR(__xludf.DUMMYFUNCTION("""COMPUTED_VALUE"""),44311.0)</f>
        <v>44311</v>
      </c>
      <c r="B392" s="1">
        <f t="shared" ref="B392:U392" si="391">IF($A392&gt;0,Megyeinapi!B392/'megyelakosság'!B$2*100000," ")</f>
        <v>25.28772251</v>
      </c>
      <c r="C392" s="1">
        <f t="shared" si="391"/>
        <v>38.70691072</v>
      </c>
      <c r="D392" s="1">
        <f t="shared" si="391"/>
        <v>22.08493928</v>
      </c>
      <c r="E392" s="1">
        <f t="shared" si="391"/>
        <v>32.33584067</v>
      </c>
      <c r="F392" s="1">
        <f t="shared" si="391"/>
        <v>19.5975811</v>
      </c>
      <c r="G392" s="1">
        <f t="shared" si="391"/>
        <v>24.10049908</v>
      </c>
      <c r="H392" s="1">
        <f t="shared" si="391"/>
        <v>28.90566957</v>
      </c>
      <c r="I392" s="1">
        <f t="shared" si="391"/>
        <v>18.59910682</v>
      </c>
      <c r="J392" s="1">
        <f t="shared" si="391"/>
        <v>23.73145861</v>
      </c>
      <c r="K392" s="1">
        <f t="shared" si="391"/>
        <v>34.42153084</v>
      </c>
      <c r="L392" s="1">
        <f t="shared" si="391"/>
        <v>27.80011175</v>
      </c>
      <c r="M392" s="1">
        <f t="shared" si="391"/>
        <v>12.95702586</v>
      </c>
      <c r="N392" s="1">
        <f t="shared" si="391"/>
        <v>30.30431916</v>
      </c>
      <c r="O392" s="1">
        <f t="shared" si="391"/>
        <v>22.82010204</v>
      </c>
      <c r="P392" s="1">
        <f t="shared" si="391"/>
        <v>15.66927821</v>
      </c>
      <c r="Q392" s="1">
        <f t="shared" si="391"/>
        <v>15.29976613</v>
      </c>
      <c r="R392" s="1">
        <f t="shared" si="391"/>
        <v>17.63226519</v>
      </c>
      <c r="S392" s="1">
        <f t="shared" si="391"/>
        <v>25.9702444</v>
      </c>
      <c r="T392" s="1">
        <f t="shared" si="391"/>
        <v>34.29506063</v>
      </c>
      <c r="U392" s="1">
        <f t="shared" si="391"/>
        <v>23.5715809</v>
      </c>
    </row>
    <row r="393">
      <c r="A393" s="3">
        <f>IFERROR(__xludf.DUMMYFUNCTION("""COMPUTED_VALUE"""),44312.0)</f>
        <v>44312</v>
      </c>
      <c r="B393" s="1">
        <f t="shared" ref="B393:U393" si="392">IF($A393&gt;0,Megyeinapi!B393/'megyelakosság'!B$2*100000," ")</f>
        <v>23.49567918</v>
      </c>
      <c r="C393" s="1">
        <f t="shared" si="392"/>
        <v>26.73283042</v>
      </c>
      <c r="D393" s="1">
        <f t="shared" si="392"/>
        <v>23.90013977</v>
      </c>
      <c r="E393" s="1">
        <f t="shared" si="392"/>
        <v>19.30732234</v>
      </c>
      <c r="F393" s="1">
        <f t="shared" si="392"/>
        <v>15.88375378</v>
      </c>
      <c r="G393" s="1">
        <f t="shared" si="392"/>
        <v>17.32223371</v>
      </c>
      <c r="H393" s="1">
        <f t="shared" si="392"/>
        <v>34.16124586</v>
      </c>
      <c r="I393" s="1">
        <f t="shared" si="392"/>
        <v>24.30565096</v>
      </c>
      <c r="J393" s="1">
        <f t="shared" si="392"/>
        <v>15.18813351</v>
      </c>
      <c r="K393" s="1">
        <f t="shared" si="392"/>
        <v>17.72197627</v>
      </c>
      <c r="L393" s="1">
        <f t="shared" si="392"/>
        <v>22.34910944</v>
      </c>
      <c r="M393" s="1">
        <f t="shared" si="392"/>
        <v>9.966942972</v>
      </c>
      <c r="N393" s="1">
        <f t="shared" si="392"/>
        <v>10.10143972</v>
      </c>
      <c r="O393" s="1">
        <f t="shared" si="392"/>
        <v>20.66144374</v>
      </c>
      <c r="P393" s="1">
        <f t="shared" si="392"/>
        <v>14.33572262</v>
      </c>
      <c r="Q393" s="1">
        <f t="shared" si="392"/>
        <v>19.67112788</v>
      </c>
      <c r="R393" s="1">
        <f t="shared" si="392"/>
        <v>19.02428613</v>
      </c>
      <c r="S393" s="1">
        <f t="shared" si="392"/>
        <v>18.49396192</v>
      </c>
      <c r="T393" s="1">
        <f t="shared" si="392"/>
        <v>31.36385887</v>
      </c>
      <c r="U393" s="1">
        <f t="shared" si="392"/>
        <v>14.21777896</v>
      </c>
    </row>
    <row r="394">
      <c r="A394" s="3">
        <f>IFERROR(__xludf.DUMMYFUNCTION("""COMPUTED_VALUE"""),44313.0)</f>
        <v>44313</v>
      </c>
      <c r="B394" s="1">
        <f t="shared" ref="B394:U394" si="393">IF($A394&gt;0,Megyeinapi!B394/'megyelakosság'!B$2*100000," ")</f>
        <v>11.34960774</v>
      </c>
      <c r="C394" s="1">
        <f t="shared" si="393"/>
        <v>26.73283042</v>
      </c>
      <c r="D394" s="1">
        <f t="shared" si="393"/>
        <v>12.10133659</v>
      </c>
      <c r="E394" s="1">
        <f t="shared" si="393"/>
        <v>8.162445217</v>
      </c>
      <c r="F394" s="1">
        <f t="shared" si="393"/>
        <v>7.027704009</v>
      </c>
      <c r="G394" s="1">
        <f t="shared" si="393"/>
        <v>11.29710894</v>
      </c>
      <c r="H394" s="1">
        <f t="shared" si="393"/>
        <v>14.33338987</v>
      </c>
      <c r="I394" s="1">
        <f t="shared" si="393"/>
        <v>5.917897625</v>
      </c>
      <c r="J394" s="1">
        <f t="shared" si="393"/>
        <v>8.5433251</v>
      </c>
      <c r="K394" s="1">
        <f t="shared" si="393"/>
        <v>7.497759192</v>
      </c>
      <c r="L394" s="1">
        <f t="shared" si="393"/>
        <v>15.80790668</v>
      </c>
      <c r="M394" s="1">
        <f t="shared" si="393"/>
        <v>14.61818303</v>
      </c>
      <c r="N394" s="1">
        <f t="shared" si="393"/>
        <v>24.98777194</v>
      </c>
      <c r="O394" s="1">
        <f t="shared" si="393"/>
        <v>13.49161438</v>
      </c>
      <c r="P394" s="1">
        <f t="shared" si="393"/>
        <v>11.00183364</v>
      </c>
      <c r="Q394" s="1">
        <f t="shared" si="393"/>
        <v>13.84264555</v>
      </c>
      <c r="R394" s="1">
        <f t="shared" si="393"/>
        <v>14.38421634</v>
      </c>
      <c r="S394" s="1">
        <f t="shared" si="393"/>
        <v>29.90512991</v>
      </c>
      <c r="T394" s="1">
        <f t="shared" si="393"/>
        <v>20.22529217</v>
      </c>
      <c r="U394" s="1">
        <f t="shared" si="393"/>
        <v>28.43555792</v>
      </c>
    </row>
    <row r="395">
      <c r="A395" s="3">
        <f>IFERROR(__xludf.DUMMYFUNCTION("""COMPUTED_VALUE"""),44314.0)</f>
        <v>44314</v>
      </c>
      <c r="B395" s="1">
        <f t="shared" ref="B395:U395" si="394">IF($A395&gt;0,Megyeinapi!B395/'megyelakosság'!B$2*100000," ")</f>
        <v>13.14165107</v>
      </c>
      <c r="C395" s="1">
        <f t="shared" si="394"/>
        <v>27.84669836</v>
      </c>
      <c r="D395" s="1">
        <f t="shared" si="394"/>
        <v>13.91653708</v>
      </c>
      <c r="E395" s="1">
        <f t="shared" si="394"/>
        <v>15.22609973</v>
      </c>
      <c r="F395" s="1">
        <f t="shared" si="394"/>
        <v>13.42691416</v>
      </c>
      <c r="G395" s="1">
        <f t="shared" si="394"/>
        <v>16.06699939</v>
      </c>
      <c r="H395" s="1">
        <f t="shared" si="394"/>
        <v>17.91673734</v>
      </c>
      <c r="I395" s="1">
        <f t="shared" si="394"/>
        <v>10.56767433</v>
      </c>
      <c r="J395" s="1">
        <f t="shared" si="394"/>
        <v>19.5547219</v>
      </c>
      <c r="K395" s="1">
        <f t="shared" si="394"/>
        <v>37.48879596</v>
      </c>
      <c r="L395" s="1">
        <f t="shared" si="394"/>
        <v>25.61971082</v>
      </c>
      <c r="M395" s="1">
        <f t="shared" si="394"/>
        <v>7.973554378</v>
      </c>
      <c r="N395" s="1">
        <f t="shared" si="394"/>
        <v>27.64604555</v>
      </c>
      <c r="O395" s="1">
        <f t="shared" si="394"/>
        <v>18.88826014</v>
      </c>
      <c r="P395" s="1">
        <f t="shared" si="394"/>
        <v>15.33588931</v>
      </c>
      <c r="Q395" s="1">
        <f t="shared" si="394"/>
        <v>10.01770402</v>
      </c>
      <c r="R395" s="1">
        <f t="shared" si="394"/>
        <v>12.06418145</v>
      </c>
      <c r="S395" s="1">
        <f t="shared" si="394"/>
        <v>19.28093902</v>
      </c>
      <c r="T395" s="1">
        <f t="shared" si="394"/>
        <v>31.07073869</v>
      </c>
      <c r="U395" s="1">
        <f t="shared" si="394"/>
        <v>18.33345181</v>
      </c>
    </row>
    <row r="396">
      <c r="A396" s="3">
        <f>IFERROR(__xludf.DUMMYFUNCTION("""COMPUTED_VALUE"""),44315.0)</f>
        <v>44315</v>
      </c>
      <c r="B396" s="1">
        <f t="shared" ref="B396:U396" si="395">IF($A396&gt;0,Megyeinapi!B396/'megyelakosság'!B$2*100000," ")</f>
        <v>31.26120027</v>
      </c>
      <c r="C396" s="1">
        <f t="shared" si="395"/>
        <v>35.6437739</v>
      </c>
      <c r="D396" s="1">
        <f t="shared" si="395"/>
        <v>29.34574124</v>
      </c>
      <c r="E396" s="1">
        <f t="shared" si="395"/>
        <v>29.51037886</v>
      </c>
      <c r="F396" s="1">
        <f t="shared" si="395"/>
        <v>16.34084022</v>
      </c>
      <c r="G396" s="1">
        <f t="shared" si="395"/>
        <v>33.3892331</v>
      </c>
      <c r="H396" s="1">
        <f t="shared" si="395"/>
        <v>34.16124586</v>
      </c>
      <c r="I396" s="1">
        <f t="shared" si="395"/>
        <v>22.82617655</v>
      </c>
      <c r="J396" s="1">
        <f t="shared" si="395"/>
        <v>25.06042029</v>
      </c>
      <c r="K396" s="1">
        <f t="shared" si="395"/>
        <v>33.73991637</v>
      </c>
      <c r="L396" s="1">
        <f t="shared" si="395"/>
        <v>33.52366416</v>
      </c>
      <c r="M396" s="1">
        <f t="shared" si="395"/>
        <v>18.60496022</v>
      </c>
      <c r="N396" s="1">
        <f t="shared" si="395"/>
        <v>41.46906833</v>
      </c>
      <c r="O396" s="1">
        <f t="shared" si="395"/>
        <v>29.37317189</v>
      </c>
      <c r="P396" s="1">
        <f t="shared" si="395"/>
        <v>21.00350058</v>
      </c>
      <c r="Q396" s="1">
        <f t="shared" si="395"/>
        <v>15.84618635</v>
      </c>
      <c r="R396" s="1">
        <f t="shared" si="395"/>
        <v>22.73634195</v>
      </c>
      <c r="S396" s="1">
        <f t="shared" si="395"/>
        <v>28.3311757</v>
      </c>
      <c r="T396" s="1">
        <f t="shared" si="395"/>
        <v>37.2262624</v>
      </c>
      <c r="U396" s="1">
        <f t="shared" si="395"/>
        <v>28.80970999</v>
      </c>
    </row>
    <row r="397">
      <c r="A397" s="3">
        <f>IFERROR(__xludf.DUMMYFUNCTION("""COMPUTED_VALUE"""),44316.0)</f>
        <v>44316</v>
      </c>
      <c r="B397" s="1">
        <f t="shared" ref="B397:U397" si="396">IF($A397&gt;0,Megyeinapi!B397/'megyelakosság'!B$2*100000," ")</f>
        <v>28.87180917</v>
      </c>
      <c r="C397" s="1">
        <f t="shared" si="396"/>
        <v>29.51750026</v>
      </c>
      <c r="D397" s="1">
        <f t="shared" si="396"/>
        <v>28.74067441</v>
      </c>
      <c r="E397" s="1">
        <f t="shared" si="396"/>
        <v>26.52794696</v>
      </c>
      <c r="F397" s="1">
        <f t="shared" si="396"/>
        <v>17.99777856</v>
      </c>
      <c r="G397" s="1">
        <f t="shared" si="396"/>
        <v>21.84107729</v>
      </c>
      <c r="H397" s="1">
        <f t="shared" si="396"/>
        <v>28.90566957</v>
      </c>
      <c r="I397" s="1">
        <f t="shared" si="396"/>
        <v>24.51700444</v>
      </c>
      <c r="J397" s="1">
        <f t="shared" si="396"/>
        <v>20.50398024</v>
      </c>
      <c r="K397" s="1">
        <f t="shared" si="396"/>
        <v>29.3094223</v>
      </c>
      <c r="L397" s="1">
        <f t="shared" si="396"/>
        <v>35.9766152</v>
      </c>
      <c r="M397" s="1">
        <f t="shared" si="396"/>
        <v>16.27934019</v>
      </c>
      <c r="N397" s="1">
        <f t="shared" si="396"/>
        <v>30.30431916</v>
      </c>
      <c r="O397" s="1">
        <f t="shared" si="396"/>
        <v>21.74077289</v>
      </c>
      <c r="P397" s="1">
        <f t="shared" si="396"/>
        <v>16.33605601</v>
      </c>
      <c r="Q397" s="1">
        <f t="shared" si="396"/>
        <v>18.03186723</v>
      </c>
      <c r="R397" s="1">
        <f t="shared" si="396"/>
        <v>29.69644663</v>
      </c>
      <c r="S397" s="1">
        <f t="shared" si="396"/>
        <v>25.9702444</v>
      </c>
      <c r="T397" s="1">
        <f t="shared" si="396"/>
        <v>36.93314222</v>
      </c>
      <c r="U397" s="1">
        <f t="shared" si="396"/>
        <v>34.79614324</v>
      </c>
    </row>
    <row r="398">
      <c r="A398" s="3">
        <f>IFERROR(__xludf.DUMMYFUNCTION("""COMPUTED_VALUE"""),44317.0)</f>
        <v>44317</v>
      </c>
      <c r="B398" s="1">
        <f t="shared" ref="B398:U398" si="397">IF($A398&gt;0,Megyeinapi!B398/'megyelakosság'!B$2*100000," ")</f>
        <v>20.90717216</v>
      </c>
      <c r="C398" s="1">
        <f t="shared" si="397"/>
        <v>32.58063708</v>
      </c>
      <c r="D398" s="1">
        <f t="shared" si="397"/>
        <v>19.36213855</v>
      </c>
      <c r="E398" s="1">
        <f t="shared" si="397"/>
        <v>21.34793365</v>
      </c>
      <c r="F398" s="1">
        <f t="shared" si="397"/>
        <v>14.9695809</v>
      </c>
      <c r="G398" s="1">
        <f t="shared" si="397"/>
        <v>19.07956177</v>
      </c>
      <c r="H398" s="1">
        <f t="shared" si="397"/>
        <v>16.96117801</v>
      </c>
      <c r="I398" s="1">
        <f t="shared" si="397"/>
        <v>20.92399517</v>
      </c>
      <c r="J398" s="1">
        <f t="shared" si="397"/>
        <v>16.51709519</v>
      </c>
      <c r="K398" s="1">
        <f t="shared" si="397"/>
        <v>23.17489205</v>
      </c>
      <c r="L398" s="1">
        <f t="shared" si="397"/>
        <v>35.43151497</v>
      </c>
      <c r="M398" s="1">
        <f t="shared" si="397"/>
        <v>8.970248675</v>
      </c>
      <c r="N398" s="1">
        <f t="shared" si="397"/>
        <v>19.13957</v>
      </c>
      <c r="O398" s="1">
        <f t="shared" si="397"/>
        <v>19.89049435</v>
      </c>
      <c r="P398" s="1">
        <f t="shared" si="397"/>
        <v>11.00183364</v>
      </c>
      <c r="Q398" s="1">
        <f t="shared" si="397"/>
        <v>13.66050548</v>
      </c>
      <c r="R398" s="1">
        <f t="shared" si="397"/>
        <v>29.69644663</v>
      </c>
      <c r="S398" s="1">
        <f t="shared" si="397"/>
        <v>24.39629019</v>
      </c>
      <c r="T398" s="1">
        <f t="shared" si="397"/>
        <v>33.70882028</v>
      </c>
      <c r="U398" s="1">
        <f t="shared" si="397"/>
        <v>24.69403714</v>
      </c>
    </row>
    <row r="399">
      <c r="A399" s="3">
        <f>IFERROR(__xludf.DUMMYFUNCTION("""COMPUTED_VALUE"""),44318.0)</f>
        <v>44318</v>
      </c>
      <c r="B399" s="1">
        <f t="shared" ref="B399:U399" si="398">IF($A399&gt;0,Megyeinapi!B399/'megyelakosság'!B$2*100000," ")</f>
        <v>20.50894031</v>
      </c>
      <c r="C399" s="1">
        <f t="shared" si="398"/>
        <v>27.01129741</v>
      </c>
      <c r="D399" s="1">
        <f t="shared" si="398"/>
        <v>17.54693806</v>
      </c>
      <c r="E399" s="1">
        <f t="shared" si="398"/>
        <v>19.77823264</v>
      </c>
      <c r="F399" s="1">
        <f t="shared" si="398"/>
        <v>11.37002519</v>
      </c>
      <c r="G399" s="1">
        <f t="shared" si="398"/>
        <v>16.06699939</v>
      </c>
      <c r="H399" s="1">
        <f t="shared" si="398"/>
        <v>16.00561869</v>
      </c>
      <c r="I399" s="1">
        <f t="shared" si="398"/>
        <v>12.89256268</v>
      </c>
      <c r="J399" s="1">
        <f t="shared" si="398"/>
        <v>14.6185785</v>
      </c>
      <c r="K399" s="1">
        <f t="shared" si="398"/>
        <v>17.38116904</v>
      </c>
      <c r="L399" s="1">
        <f t="shared" si="398"/>
        <v>23.71186002</v>
      </c>
      <c r="M399" s="1">
        <f t="shared" si="398"/>
        <v>14.28595159</v>
      </c>
      <c r="N399" s="1">
        <f t="shared" si="398"/>
        <v>13.29136805</v>
      </c>
      <c r="O399" s="1">
        <f t="shared" si="398"/>
        <v>14.72513341</v>
      </c>
      <c r="P399" s="1">
        <f t="shared" si="398"/>
        <v>19.66994499</v>
      </c>
      <c r="Q399" s="1">
        <f t="shared" si="398"/>
        <v>11.65696467</v>
      </c>
      <c r="R399" s="1">
        <f t="shared" si="398"/>
        <v>15.77623727</v>
      </c>
      <c r="S399" s="1">
        <f t="shared" si="398"/>
        <v>24.00280164</v>
      </c>
      <c r="T399" s="1">
        <f t="shared" si="398"/>
        <v>25.20833517</v>
      </c>
      <c r="U399" s="1">
        <f t="shared" si="398"/>
        <v>14.96608311</v>
      </c>
    </row>
    <row r="400">
      <c r="A400" s="3">
        <f>IFERROR(__xludf.DUMMYFUNCTION("""COMPUTED_VALUE"""),44319.0)</f>
        <v>44319</v>
      </c>
      <c r="B400" s="1">
        <f t="shared" ref="B400:U400" si="399">IF($A400&gt;0,Megyeinapi!B400/'megyelakosság'!B$2*100000," ")</f>
        <v>16.5266218</v>
      </c>
      <c r="C400" s="1">
        <f t="shared" si="399"/>
        <v>14.75875013</v>
      </c>
      <c r="D400" s="1">
        <f t="shared" si="399"/>
        <v>12.70640342</v>
      </c>
      <c r="E400" s="1">
        <f t="shared" si="399"/>
        <v>11.61578742</v>
      </c>
      <c r="F400" s="1">
        <f t="shared" si="399"/>
        <v>8.398963328</v>
      </c>
      <c r="G400" s="1">
        <f t="shared" si="399"/>
        <v>12.55234327</v>
      </c>
      <c r="H400" s="1">
        <f t="shared" si="399"/>
        <v>11.94449156</v>
      </c>
      <c r="I400" s="1">
        <f t="shared" si="399"/>
        <v>17.96504636</v>
      </c>
      <c r="J400" s="1">
        <f t="shared" si="399"/>
        <v>11.5809518</v>
      </c>
      <c r="K400" s="1">
        <f t="shared" si="399"/>
        <v>9.883409845</v>
      </c>
      <c r="L400" s="1">
        <f t="shared" si="399"/>
        <v>16.08045679</v>
      </c>
      <c r="M400" s="1">
        <f t="shared" si="399"/>
        <v>12.62479443</v>
      </c>
      <c r="N400" s="1">
        <f t="shared" si="399"/>
        <v>5.316547222</v>
      </c>
      <c r="O400" s="1">
        <f t="shared" si="399"/>
        <v>13.49161438</v>
      </c>
      <c r="P400" s="1">
        <f t="shared" si="399"/>
        <v>9.334889148</v>
      </c>
      <c r="Q400" s="1">
        <f t="shared" si="399"/>
        <v>14.20692569</v>
      </c>
      <c r="R400" s="1">
        <f t="shared" si="399"/>
        <v>12.06418145</v>
      </c>
      <c r="S400" s="1">
        <f t="shared" si="399"/>
        <v>10.23070234</v>
      </c>
      <c r="T400" s="1">
        <f t="shared" si="399"/>
        <v>17.00097023</v>
      </c>
      <c r="U400" s="1">
        <f t="shared" si="399"/>
        <v>17.58514766</v>
      </c>
    </row>
    <row r="401">
      <c r="A401" s="3">
        <f>IFERROR(__xludf.DUMMYFUNCTION("""COMPUTED_VALUE"""),44320.0)</f>
        <v>44320</v>
      </c>
      <c r="B401" s="1">
        <f t="shared" ref="B401:U401" si="400">IF($A401&gt;0,Megyeinapi!B401/'megyelakosság'!B$2*100000," ")</f>
        <v>8.761100713</v>
      </c>
      <c r="C401" s="1">
        <f t="shared" si="400"/>
        <v>15.3156841</v>
      </c>
      <c r="D401" s="1">
        <f t="shared" si="400"/>
        <v>11.79880318</v>
      </c>
      <c r="E401" s="1">
        <f t="shared" si="400"/>
        <v>5.023043211</v>
      </c>
      <c r="F401" s="1">
        <f t="shared" si="400"/>
        <v>4.399456981</v>
      </c>
      <c r="G401" s="1">
        <f t="shared" si="400"/>
        <v>5.020937309</v>
      </c>
      <c r="H401" s="1">
        <f t="shared" si="400"/>
        <v>6.688915273</v>
      </c>
      <c r="I401" s="1">
        <f t="shared" si="400"/>
        <v>3.170302299</v>
      </c>
      <c r="J401" s="1">
        <f t="shared" si="400"/>
        <v>6.075253405</v>
      </c>
      <c r="K401" s="1">
        <f t="shared" si="400"/>
        <v>15.67713286</v>
      </c>
      <c r="L401" s="1">
        <f t="shared" si="400"/>
        <v>16.89810714</v>
      </c>
      <c r="M401" s="1">
        <f t="shared" si="400"/>
        <v>2.657851459</v>
      </c>
      <c r="N401" s="1">
        <f t="shared" si="400"/>
        <v>18.07626055</v>
      </c>
      <c r="O401" s="1">
        <f t="shared" si="400"/>
        <v>6.244690086</v>
      </c>
      <c r="P401" s="1">
        <f t="shared" si="400"/>
        <v>6.334389065</v>
      </c>
      <c r="Q401" s="1">
        <f t="shared" si="400"/>
        <v>7.103462847</v>
      </c>
      <c r="R401" s="1">
        <f t="shared" si="400"/>
        <v>6.496097701</v>
      </c>
      <c r="S401" s="1">
        <f t="shared" si="400"/>
        <v>9.050236683</v>
      </c>
      <c r="T401" s="1">
        <f t="shared" si="400"/>
        <v>9.966085996</v>
      </c>
      <c r="U401" s="1">
        <f t="shared" si="400"/>
        <v>8.979649868</v>
      </c>
    </row>
    <row r="402">
      <c r="A402" s="3">
        <f>IFERROR(__xludf.DUMMYFUNCTION("""COMPUTED_VALUE"""),44321.0)</f>
        <v>44321</v>
      </c>
      <c r="B402" s="1">
        <f t="shared" ref="B402:U402" si="401">IF($A402&gt;0,Megyeinapi!B402/'megyelakosság'!B$2*100000," ")</f>
        <v>10.15491219</v>
      </c>
      <c r="C402" s="1">
        <f t="shared" si="401"/>
        <v>17.54341996</v>
      </c>
      <c r="D402" s="1">
        <f t="shared" si="401"/>
        <v>8.77346903</v>
      </c>
      <c r="E402" s="1">
        <f t="shared" si="401"/>
        <v>14.59821933</v>
      </c>
      <c r="F402" s="1">
        <f t="shared" si="401"/>
        <v>8.741778158</v>
      </c>
      <c r="G402" s="1">
        <f t="shared" si="401"/>
        <v>10.79501521</v>
      </c>
      <c r="H402" s="1">
        <f t="shared" si="401"/>
        <v>13.85561021</v>
      </c>
      <c r="I402" s="1">
        <f t="shared" si="401"/>
        <v>15.42880452</v>
      </c>
      <c r="J402" s="1">
        <f t="shared" si="401"/>
        <v>13.47946849</v>
      </c>
      <c r="K402" s="1">
        <f t="shared" si="401"/>
        <v>14.31390391</v>
      </c>
      <c r="L402" s="1">
        <f t="shared" si="401"/>
        <v>19.07850806</v>
      </c>
      <c r="M402" s="1">
        <f t="shared" si="401"/>
        <v>3.654545757</v>
      </c>
      <c r="N402" s="1">
        <f t="shared" si="401"/>
        <v>14.3546775</v>
      </c>
      <c r="O402" s="1">
        <f t="shared" si="401"/>
        <v>7.940778751</v>
      </c>
      <c r="P402" s="1">
        <f t="shared" si="401"/>
        <v>9.668278046</v>
      </c>
      <c r="Q402" s="1">
        <f t="shared" si="401"/>
        <v>6.921322774</v>
      </c>
      <c r="R402" s="1">
        <f t="shared" si="401"/>
        <v>7.888118637</v>
      </c>
      <c r="S402" s="1">
        <f t="shared" si="401"/>
        <v>16.52651916</v>
      </c>
      <c r="T402" s="1">
        <f t="shared" si="401"/>
        <v>21.39777287</v>
      </c>
      <c r="U402" s="1">
        <f t="shared" si="401"/>
        <v>16.46269143</v>
      </c>
    </row>
    <row r="403">
      <c r="A403" s="3">
        <f>IFERROR(__xludf.DUMMYFUNCTION("""COMPUTED_VALUE"""),44322.0)</f>
        <v>44322</v>
      </c>
      <c r="B403" s="1">
        <f t="shared" ref="B403:U403" si="402">IF($A403&gt;0,Megyeinapi!B403/'megyelakosság'!B$2*100000," ")</f>
        <v>19.91159253</v>
      </c>
      <c r="C403" s="1">
        <f t="shared" si="402"/>
        <v>24.22662757</v>
      </c>
      <c r="D403" s="1">
        <f t="shared" si="402"/>
        <v>16.63933781</v>
      </c>
      <c r="E403" s="1">
        <f t="shared" si="402"/>
        <v>23.38854495</v>
      </c>
      <c r="F403" s="1">
        <f t="shared" si="402"/>
        <v>10.51298811</v>
      </c>
      <c r="G403" s="1">
        <f t="shared" si="402"/>
        <v>17.57328058</v>
      </c>
      <c r="H403" s="1">
        <f t="shared" si="402"/>
        <v>22.69453396</v>
      </c>
      <c r="I403" s="1">
        <f t="shared" si="402"/>
        <v>13.52662314</v>
      </c>
      <c r="J403" s="1">
        <f t="shared" si="402"/>
        <v>17.65620521</v>
      </c>
      <c r="K403" s="1">
        <f t="shared" si="402"/>
        <v>20.44843416</v>
      </c>
      <c r="L403" s="1">
        <f t="shared" si="402"/>
        <v>25.34716071</v>
      </c>
      <c r="M403" s="1">
        <f t="shared" si="402"/>
        <v>6.976860081</v>
      </c>
      <c r="N403" s="1">
        <f t="shared" si="402"/>
        <v>25.51942666</v>
      </c>
      <c r="O403" s="1">
        <f t="shared" si="402"/>
        <v>19.04245002</v>
      </c>
      <c r="P403" s="1">
        <f t="shared" si="402"/>
        <v>10.66844474</v>
      </c>
      <c r="Q403" s="1">
        <f t="shared" si="402"/>
        <v>12.02124482</v>
      </c>
      <c r="R403" s="1">
        <f t="shared" si="402"/>
        <v>11.13616749</v>
      </c>
      <c r="S403" s="1">
        <f t="shared" si="402"/>
        <v>13.7720993</v>
      </c>
      <c r="T403" s="1">
        <f t="shared" si="402"/>
        <v>28.13953693</v>
      </c>
      <c r="U403" s="1">
        <f t="shared" si="402"/>
        <v>22.82327675</v>
      </c>
    </row>
    <row r="404">
      <c r="A404" s="3">
        <f>IFERROR(__xludf.DUMMYFUNCTION("""COMPUTED_VALUE"""),44323.0)</f>
        <v>44323</v>
      </c>
      <c r="B404" s="1">
        <f t="shared" ref="B404:U404" si="403">IF($A404&gt;0,Megyeinapi!B404/'megyelakosság'!B$2*100000," ")</f>
        <v>22.69921548</v>
      </c>
      <c r="C404" s="1">
        <f t="shared" si="403"/>
        <v>20.04962282</v>
      </c>
      <c r="D404" s="1">
        <f t="shared" si="403"/>
        <v>22.08493928</v>
      </c>
      <c r="E404" s="1">
        <f t="shared" si="403"/>
        <v>22.28975425</v>
      </c>
      <c r="F404" s="1">
        <f t="shared" si="403"/>
        <v>10.22730909</v>
      </c>
      <c r="G404" s="1">
        <f t="shared" si="403"/>
        <v>13.55653073</v>
      </c>
      <c r="H404" s="1">
        <f t="shared" si="403"/>
        <v>16.72228818</v>
      </c>
      <c r="I404" s="1">
        <f t="shared" si="403"/>
        <v>12.89256268</v>
      </c>
      <c r="J404" s="1">
        <f t="shared" si="403"/>
        <v>16.32724352</v>
      </c>
      <c r="K404" s="1">
        <f t="shared" si="403"/>
        <v>19.08520522</v>
      </c>
      <c r="L404" s="1">
        <f t="shared" si="403"/>
        <v>24.80206048</v>
      </c>
      <c r="M404" s="1">
        <f t="shared" si="403"/>
        <v>8.970248675</v>
      </c>
      <c r="N404" s="1">
        <f t="shared" si="403"/>
        <v>15.94964166</v>
      </c>
      <c r="O404" s="1">
        <f t="shared" si="403"/>
        <v>13.87708908</v>
      </c>
      <c r="P404" s="1">
        <f t="shared" si="403"/>
        <v>9.668278046</v>
      </c>
      <c r="Q404" s="1">
        <f t="shared" si="403"/>
        <v>12.93194518</v>
      </c>
      <c r="R404" s="1">
        <f t="shared" si="403"/>
        <v>15.77623727</v>
      </c>
      <c r="S404" s="1">
        <f t="shared" si="403"/>
        <v>22.42884743</v>
      </c>
      <c r="T404" s="1">
        <f t="shared" si="403"/>
        <v>19.05281146</v>
      </c>
      <c r="U404" s="1">
        <f t="shared" si="403"/>
        <v>18.70760389</v>
      </c>
    </row>
    <row r="405">
      <c r="A405" s="3">
        <f>IFERROR(__xludf.DUMMYFUNCTION("""COMPUTED_VALUE"""),44324.0)</f>
        <v>44324</v>
      </c>
      <c r="B405" s="1">
        <f t="shared" ref="B405:U405" si="404">IF($A405&gt;0,Megyeinapi!B405/'megyelakosság'!B$2*100000," ")</f>
        <v>17.3230855</v>
      </c>
      <c r="C405" s="1">
        <f t="shared" si="404"/>
        <v>16.70801901</v>
      </c>
      <c r="D405" s="1">
        <f t="shared" si="404"/>
        <v>9.983602689</v>
      </c>
      <c r="E405" s="1">
        <f t="shared" si="404"/>
        <v>16.79580074</v>
      </c>
      <c r="F405" s="1">
        <f t="shared" si="404"/>
        <v>11.5414326</v>
      </c>
      <c r="G405" s="1">
        <f t="shared" si="404"/>
        <v>12.30129641</v>
      </c>
      <c r="H405" s="1">
        <f t="shared" si="404"/>
        <v>9.794483078</v>
      </c>
      <c r="I405" s="1">
        <f t="shared" si="404"/>
        <v>21.98076261</v>
      </c>
      <c r="J405" s="1">
        <f t="shared" si="404"/>
        <v>9.492583445</v>
      </c>
      <c r="K405" s="1">
        <f t="shared" si="404"/>
        <v>14.65471115</v>
      </c>
      <c r="L405" s="1">
        <f t="shared" si="404"/>
        <v>23.16675979</v>
      </c>
      <c r="M405" s="1">
        <f t="shared" si="404"/>
        <v>11.62810013</v>
      </c>
      <c r="N405" s="1">
        <f t="shared" si="404"/>
        <v>16.48129639</v>
      </c>
      <c r="O405" s="1">
        <f t="shared" si="404"/>
        <v>13.49161438</v>
      </c>
      <c r="P405" s="1">
        <f t="shared" si="404"/>
        <v>9.668278046</v>
      </c>
      <c r="Q405" s="1">
        <f t="shared" si="404"/>
        <v>9.471283796</v>
      </c>
      <c r="R405" s="1">
        <f t="shared" si="404"/>
        <v>12.9921954</v>
      </c>
      <c r="S405" s="1">
        <f t="shared" si="404"/>
        <v>16.13303061</v>
      </c>
      <c r="T405" s="1">
        <f t="shared" si="404"/>
        <v>19.93217199</v>
      </c>
      <c r="U405" s="1">
        <f t="shared" si="404"/>
        <v>20.95251636</v>
      </c>
    </row>
    <row r="406">
      <c r="A406" s="3">
        <f>IFERROR(__xludf.DUMMYFUNCTION("""COMPUTED_VALUE"""),44325.0)</f>
        <v>44325</v>
      </c>
      <c r="B406" s="1">
        <f t="shared" ref="B406:U406" si="405">IF($A406&gt;0,Megyeinapi!B406/'megyelakosság'!B$2*100000," ")</f>
        <v>9.159332563</v>
      </c>
      <c r="C406" s="1">
        <f t="shared" si="405"/>
        <v>11.41714633</v>
      </c>
      <c r="D406" s="1">
        <f t="shared" si="405"/>
        <v>8.470935615</v>
      </c>
      <c r="E406" s="1">
        <f t="shared" si="405"/>
        <v>19.93520274</v>
      </c>
      <c r="F406" s="1">
        <f t="shared" si="405"/>
        <v>7.256247229</v>
      </c>
      <c r="G406" s="1">
        <f t="shared" si="405"/>
        <v>5.271984174</v>
      </c>
      <c r="H406" s="1">
        <f t="shared" si="405"/>
        <v>11.4667119</v>
      </c>
      <c r="I406" s="1">
        <f t="shared" si="405"/>
        <v>31.06896253</v>
      </c>
      <c r="J406" s="1">
        <f t="shared" si="405"/>
        <v>8.163621762</v>
      </c>
      <c r="K406" s="1">
        <f t="shared" si="405"/>
        <v>14.99551838</v>
      </c>
      <c r="L406" s="1">
        <f t="shared" si="405"/>
        <v>17.44320737</v>
      </c>
      <c r="M406" s="1">
        <f t="shared" si="405"/>
        <v>10.96363727</v>
      </c>
      <c r="N406" s="1">
        <f t="shared" si="405"/>
        <v>10.63309444</v>
      </c>
      <c r="O406" s="1">
        <f t="shared" si="405"/>
        <v>10.09943705</v>
      </c>
      <c r="P406" s="1">
        <f t="shared" si="405"/>
        <v>6.667777963</v>
      </c>
      <c r="Q406" s="1">
        <f t="shared" si="405"/>
        <v>9.289143723</v>
      </c>
      <c r="R406" s="1">
        <f t="shared" si="405"/>
        <v>9.744146552</v>
      </c>
      <c r="S406" s="1">
        <f t="shared" si="405"/>
        <v>12.9851222</v>
      </c>
      <c r="T406" s="1">
        <f t="shared" si="405"/>
        <v>17.58721058</v>
      </c>
      <c r="U406" s="1">
        <f t="shared" si="405"/>
        <v>14.96608311</v>
      </c>
    </row>
    <row r="407">
      <c r="A407" s="3">
        <f>IFERROR(__xludf.DUMMYFUNCTION("""COMPUTED_VALUE"""),44326.0)</f>
        <v>44326</v>
      </c>
      <c r="B407" s="1">
        <f t="shared" ref="B407:U407" si="406">IF($A407&gt;0,Megyeinapi!B407/'megyelakosság'!B$2*100000," ")</f>
        <v>6.969057385</v>
      </c>
      <c r="C407" s="1">
        <f t="shared" si="406"/>
        <v>5.012405704</v>
      </c>
      <c r="D407" s="1">
        <f t="shared" si="406"/>
        <v>10.89120293</v>
      </c>
      <c r="E407" s="1">
        <f t="shared" si="406"/>
        <v>11.14487712</v>
      </c>
      <c r="F407" s="1">
        <f t="shared" si="406"/>
        <v>3.599555712</v>
      </c>
      <c r="G407" s="1">
        <f t="shared" si="406"/>
        <v>6.778265367</v>
      </c>
      <c r="H407" s="1">
        <f t="shared" si="406"/>
        <v>7.166694935</v>
      </c>
      <c r="I407" s="1">
        <f t="shared" si="406"/>
        <v>11.20173479</v>
      </c>
      <c r="J407" s="1">
        <f t="shared" si="406"/>
        <v>3.986885047</v>
      </c>
      <c r="K407" s="1">
        <f t="shared" si="406"/>
        <v>5.452915776</v>
      </c>
      <c r="L407" s="1">
        <f t="shared" si="406"/>
        <v>10.90200461</v>
      </c>
      <c r="M407" s="1">
        <f t="shared" si="406"/>
        <v>6.644628648</v>
      </c>
      <c r="N407" s="1">
        <f t="shared" si="406"/>
        <v>9.569784999</v>
      </c>
      <c r="O407" s="1">
        <f t="shared" si="406"/>
        <v>5.627930571</v>
      </c>
      <c r="P407" s="1">
        <f t="shared" si="406"/>
        <v>7.001166861</v>
      </c>
      <c r="Q407" s="1">
        <f t="shared" si="406"/>
        <v>5.828482336</v>
      </c>
      <c r="R407" s="1">
        <f t="shared" si="406"/>
        <v>5.568083744</v>
      </c>
      <c r="S407" s="1">
        <f t="shared" si="406"/>
        <v>9.050236683</v>
      </c>
      <c r="T407" s="1">
        <f t="shared" si="406"/>
        <v>9.379845643</v>
      </c>
      <c r="U407" s="1">
        <f t="shared" si="406"/>
        <v>13.4694748</v>
      </c>
    </row>
    <row r="408">
      <c r="A408" s="3">
        <f>IFERROR(__xludf.DUMMYFUNCTION("""COMPUTED_VALUE"""),44327.0)</f>
        <v>44327</v>
      </c>
      <c r="B408" s="1">
        <f t="shared" ref="B408:U408" si="407">IF($A408&gt;0,Megyeinapi!B408/'megyelakosság'!B$2*100000," ")</f>
        <v>4.579666282</v>
      </c>
      <c r="C408" s="1">
        <f t="shared" si="407"/>
        <v>4.455471737</v>
      </c>
      <c r="D408" s="1">
        <f t="shared" si="407"/>
        <v>6.655735126</v>
      </c>
      <c r="E408" s="1">
        <f t="shared" si="407"/>
        <v>3.139402007</v>
      </c>
      <c r="F408" s="1">
        <f t="shared" si="407"/>
        <v>3.028197662</v>
      </c>
      <c r="G408" s="1">
        <f t="shared" si="407"/>
        <v>8.78664029</v>
      </c>
      <c r="H408" s="1">
        <f t="shared" si="407"/>
        <v>4.777796624</v>
      </c>
      <c r="I408" s="1">
        <f t="shared" si="407"/>
        <v>3.593009272</v>
      </c>
      <c r="J408" s="1">
        <f t="shared" si="407"/>
        <v>2.278220027</v>
      </c>
      <c r="K408" s="1">
        <f t="shared" si="407"/>
        <v>3.748879596</v>
      </c>
      <c r="L408" s="1">
        <f t="shared" si="407"/>
        <v>10.62945449</v>
      </c>
      <c r="M408" s="1">
        <f t="shared" si="407"/>
        <v>7.309091513</v>
      </c>
      <c r="N408" s="1">
        <f t="shared" si="407"/>
        <v>3.721583055</v>
      </c>
      <c r="O408" s="1">
        <f t="shared" si="407"/>
        <v>7.401114176</v>
      </c>
      <c r="P408" s="1">
        <f t="shared" si="407"/>
        <v>3.333888981</v>
      </c>
      <c r="Q408" s="1">
        <f t="shared" si="407"/>
        <v>3.096381241</v>
      </c>
      <c r="R408" s="1">
        <f t="shared" si="407"/>
        <v>6.032090723</v>
      </c>
      <c r="S408" s="1">
        <f t="shared" si="407"/>
        <v>3.147908412</v>
      </c>
      <c r="T408" s="1">
        <f t="shared" si="407"/>
        <v>9.086725467</v>
      </c>
      <c r="U408" s="1">
        <f t="shared" si="407"/>
        <v>7.857193635</v>
      </c>
    </row>
    <row r="409">
      <c r="A409" s="3">
        <f>IFERROR(__xludf.DUMMYFUNCTION("""COMPUTED_VALUE"""),44328.0)</f>
        <v>44328</v>
      </c>
      <c r="B409" s="1">
        <f t="shared" ref="B409:U409" si="408">IF($A409&gt;0,Megyeinapi!B409/'megyelakosság'!B$2*100000," ")</f>
        <v>7.367289236</v>
      </c>
      <c r="C409" s="1">
        <f t="shared" si="408"/>
        <v>12.53101426</v>
      </c>
      <c r="D409" s="1">
        <f t="shared" si="408"/>
        <v>6.050668296</v>
      </c>
      <c r="E409" s="1">
        <f t="shared" si="408"/>
        <v>14.12730903</v>
      </c>
      <c r="F409" s="1">
        <f t="shared" si="408"/>
        <v>7.656197864</v>
      </c>
      <c r="G409" s="1">
        <f t="shared" si="408"/>
        <v>7.531405963</v>
      </c>
      <c r="H409" s="1">
        <f t="shared" si="408"/>
        <v>9.794483078</v>
      </c>
      <c r="I409" s="1">
        <f t="shared" si="408"/>
        <v>9.93361387</v>
      </c>
      <c r="J409" s="1">
        <f t="shared" si="408"/>
        <v>7.214363418</v>
      </c>
      <c r="K409" s="1">
        <f t="shared" si="408"/>
        <v>13.2914822</v>
      </c>
      <c r="L409" s="1">
        <f t="shared" si="408"/>
        <v>10.08435426</v>
      </c>
      <c r="M409" s="1">
        <f t="shared" si="408"/>
        <v>14.95041446</v>
      </c>
      <c r="N409" s="1">
        <f t="shared" si="408"/>
        <v>14.88633222</v>
      </c>
      <c r="O409" s="1">
        <f t="shared" si="408"/>
        <v>8.943012963</v>
      </c>
      <c r="P409" s="1">
        <f t="shared" si="408"/>
        <v>8.334722454</v>
      </c>
      <c r="Q409" s="1">
        <f t="shared" si="408"/>
        <v>3.096381241</v>
      </c>
      <c r="R409" s="1">
        <f t="shared" si="408"/>
        <v>11.60017447</v>
      </c>
      <c r="S409" s="1">
        <f t="shared" si="408"/>
        <v>7.476282478</v>
      </c>
      <c r="T409" s="1">
        <f t="shared" si="408"/>
        <v>16.70785005</v>
      </c>
      <c r="U409" s="1">
        <f t="shared" si="408"/>
        <v>5.612281168</v>
      </c>
    </row>
    <row r="410">
      <c r="A410" s="3">
        <f>IFERROR(__xludf.DUMMYFUNCTION("""COMPUTED_VALUE"""),44329.0)</f>
        <v>44329</v>
      </c>
      <c r="B410" s="1">
        <f t="shared" ref="B410:U410" si="409">IF($A410&gt;0,Megyeinapi!B410/'megyelakosság'!B$2*100000," ")</f>
        <v>12.74341922</v>
      </c>
      <c r="C410" s="1">
        <f t="shared" si="409"/>
        <v>24.78356154</v>
      </c>
      <c r="D410" s="1">
        <f t="shared" si="409"/>
        <v>11.79880318</v>
      </c>
      <c r="E410" s="1">
        <f t="shared" si="409"/>
        <v>20.56308314</v>
      </c>
      <c r="F410" s="1">
        <f t="shared" si="409"/>
        <v>10.11303748</v>
      </c>
      <c r="G410" s="1">
        <f t="shared" si="409"/>
        <v>19.07956177</v>
      </c>
      <c r="H410" s="1">
        <f t="shared" si="409"/>
        <v>12.90005088</v>
      </c>
      <c r="I410" s="1">
        <f t="shared" si="409"/>
        <v>22.40346958</v>
      </c>
      <c r="J410" s="1">
        <f t="shared" si="409"/>
        <v>13.28961682</v>
      </c>
      <c r="K410" s="1">
        <f t="shared" si="409"/>
        <v>16.69955456</v>
      </c>
      <c r="L410" s="1">
        <f t="shared" si="409"/>
        <v>16.89810714</v>
      </c>
      <c r="M410" s="1">
        <f t="shared" si="409"/>
        <v>14.95041446</v>
      </c>
      <c r="N410" s="1">
        <f t="shared" si="409"/>
        <v>15.94964166</v>
      </c>
      <c r="O410" s="1">
        <f t="shared" si="409"/>
        <v>15.11060811</v>
      </c>
      <c r="P410" s="1">
        <f t="shared" si="409"/>
        <v>6.334389065</v>
      </c>
      <c r="Q410" s="1">
        <f t="shared" si="409"/>
        <v>9.289143723</v>
      </c>
      <c r="R410" s="1">
        <f t="shared" si="409"/>
        <v>8.352125616</v>
      </c>
      <c r="S410" s="1">
        <f t="shared" si="409"/>
        <v>11.01767944</v>
      </c>
      <c r="T410" s="1">
        <f t="shared" si="409"/>
        <v>24.32897464</v>
      </c>
      <c r="U410" s="1">
        <f t="shared" si="409"/>
        <v>10.85041026</v>
      </c>
    </row>
    <row r="411">
      <c r="A411" s="3">
        <f>IFERROR(__xludf.DUMMYFUNCTION("""COMPUTED_VALUE"""),44330.0)</f>
        <v>44330</v>
      </c>
      <c r="B411" s="1">
        <f t="shared" ref="B411:U411" si="410">IF($A411&gt;0,Megyeinapi!B411/'megyelakosság'!B$2*100000," ")</f>
        <v>8.362868862</v>
      </c>
      <c r="C411" s="1">
        <f t="shared" si="410"/>
        <v>22.55582567</v>
      </c>
      <c r="D411" s="1">
        <f t="shared" si="410"/>
        <v>9.378535859</v>
      </c>
      <c r="E411" s="1">
        <f t="shared" si="410"/>
        <v>19.77823264</v>
      </c>
      <c r="F411" s="1">
        <f t="shared" si="410"/>
        <v>7.884741083</v>
      </c>
      <c r="G411" s="1">
        <f t="shared" si="410"/>
        <v>5.774077905</v>
      </c>
      <c r="H411" s="1">
        <f t="shared" si="410"/>
        <v>7.883364429</v>
      </c>
      <c r="I411" s="1">
        <f t="shared" si="410"/>
        <v>21.34670215</v>
      </c>
      <c r="J411" s="1">
        <f t="shared" si="410"/>
        <v>7.214363418</v>
      </c>
      <c r="K411" s="1">
        <f t="shared" si="410"/>
        <v>17.0403618</v>
      </c>
      <c r="L411" s="1">
        <f t="shared" si="410"/>
        <v>19.07850806</v>
      </c>
      <c r="M411" s="1">
        <f t="shared" si="410"/>
        <v>12.95702586</v>
      </c>
      <c r="N411" s="1">
        <f t="shared" si="410"/>
        <v>9.569784999</v>
      </c>
      <c r="O411" s="1">
        <f t="shared" si="410"/>
        <v>12.18100041</v>
      </c>
      <c r="P411" s="1">
        <f t="shared" si="410"/>
        <v>4.000666778</v>
      </c>
      <c r="Q411" s="1">
        <f t="shared" si="410"/>
        <v>10.74626431</v>
      </c>
      <c r="R411" s="1">
        <f t="shared" si="410"/>
        <v>15.3122303</v>
      </c>
      <c r="S411" s="1">
        <f t="shared" si="410"/>
        <v>15.73954206</v>
      </c>
      <c r="T411" s="1">
        <f t="shared" si="410"/>
        <v>19.05281146</v>
      </c>
      <c r="U411" s="1">
        <f t="shared" si="410"/>
        <v>12.34701857</v>
      </c>
    </row>
    <row r="412">
      <c r="A412" s="3">
        <f>IFERROR(__xludf.DUMMYFUNCTION("""COMPUTED_VALUE"""),44331.0)</f>
        <v>44331</v>
      </c>
      <c r="B412" s="1">
        <f t="shared" ref="B412:U412" si="411">IF($A412&gt;0,Megyeinapi!B412/'megyelakosság'!B$2*100000," ")</f>
        <v>7.964637012</v>
      </c>
      <c r="C412" s="1">
        <f t="shared" si="411"/>
        <v>18.6572879</v>
      </c>
      <c r="D412" s="1">
        <f t="shared" si="411"/>
        <v>7.865868785</v>
      </c>
      <c r="E412" s="1">
        <f t="shared" si="411"/>
        <v>14.91215953</v>
      </c>
      <c r="F412" s="1">
        <f t="shared" si="411"/>
        <v>10.68439553</v>
      </c>
      <c r="G412" s="1">
        <f t="shared" si="411"/>
        <v>7.280359097</v>
      </c>
      <c r="H412" s="1">
        <f t="shared" si="411"/>
        <v>10.51115257</v>
      </c>
      <c r="I412" s="1">
        <f t="shared" si="411"/>
        <v>9.29955341</v>
      </c>
      <c r="J412" s="1">
        <f t="shared" si="411"/>
        <v>7.404215087</v>
      </c>
      <c r="K412" s="1">
        <f t="shared" si="411"/>
        <v>8.179373664</v>
      </c>
      <c r="L412" s="1">
        <f t="shared" si="411"/>
        <v>10.62945449</v>
      </c>
      <c r="M412" s="1">
        <f t="shared" si="411"/>
        <v>12.95702586</v>
      </c>
      <c r="N412" s="1">
        <f t="shared" si="411"/>
        <v>7.44316611</v>
      </c>
      <c r="O412" s="1">
        <f t="shared" si="411"/>
        <v>12.72066499</v>
      </c>
      <c r="P412" s="1">
        <f t="shared" si="411"/>
        <v>7.001166861</v>
      </c>
      <c r="Q412" s="1">
        <f t="shared" si="411"/>
        <v>5.828482336</v>
      </c>
      <c r="R412" s="1">
        <f t="shared" si="411"/>
        <v>11.13616749</v>
      </c>
      <c r="S412" s="1">
        <f t="shared" si="411"/>
        <v>9.837213786</v>
      </c>
      <c r="T412" s="1">
        <f t="shared" si="411"/>
        <v>18.75969129</v>
      </c>
      <c r="U412" s="1">
        <f t="shared" si="411"/>
        <v>7.857193635</v>
      </c>
    </row>
    <row r="413">
      <c r="A413" s="3">
        <f>IFERROR(__xludf.DUMMYFUNCTION("""COMPUTED_VALUE"""),44332.0)</f>
        <v>44332</v>
      </c>
      <c r="B413" s="1">
        <f t="shared" ref="B413:U413" si="412">IF($A413&gt;0,Megyeinapi!B413/'megyelakosság'!B$2*100000," ")</f>
        <v>5.774361833</v>
      </c>
      <c r="C413" s="1">
        <f t="shared" si="412"/>
        <v>11.13867934</v>
      </c>
      <c r="D413" s="1">
        <f t="shared" si="412"/>
        <v>7.260801956</v>
      </c>
      <c r="E413" s="1">
        <f t="shared" si="412"/>
        <v>11.30184722</v>
      </c>
      <c r="F413" s="1">
        <f t="shared" si="412"/>
        <v>4.799407616</v>
      </c>
      <c r="G413" s="1">
        <f t="shared" si="412"/>
        <v>5.774077905</v>
      </c>
      <c r="H413" s="1">
        <f t="shared" si="412"/>
        <v>3.105567805</v>
      </c>
      <c r="I413" s="1">
        <f t="shared" si="412"/>
        <v>6.763311571</v>
      </c>
      <c r="J413" s="1">
        <f t="shared" si="412"/>
        <v>6.265105073</v>
      </c>
      <c r="K413" s="1">
        <f t="shared" si="412"/>
        <v>8.179373664</v>
      </c>
      <c r="L413" s="1">
        <f t="shared" si="412"/>
        <v>14.17260599</v>
      </c>
      <c r="M413" s="1">
        <f t="shared" si="412"/>
        <v>3.986777189</v>
      </c>
      <c r="N413" s="1">
        <f t="shared" si="412"/>
        <v>13.82302278</v>
      </c>
      <c r="O413" s="1">
        <f t="shared" si="412"/>
        <v>7.015639479</v>
      </c>
      <c r="P413" s="1">
        <f t="shared" si="412"/>
        <v>8.668111352</v>
      </c>
      <c r="Q413" s="1">
        <f t="shared" si="412"/>
        <v>6.921322774</v>
      </c>
      <c r="R413" s="1">
        <f t="shared" si="412"/>
        <v>6.96010468</v>
      </c>
      <c r="S413" s="1">
        <f t="shared" si="412"/>
        <v>10.62419089</v>
      </c>
      <c r="T413" s="1">
        <f t="shared" si="412"/>
        <v>11.72480705</v>
      </c>
      <c r="U413" s="1">
        <f t="shared" si="412"/>
        <v>6.360585324</v>
      </c>
    </row>
    <row r="414">
      <c r="A414" s="3">
        <f>IFERROR(__xludf.DUMMYFUNCTION("""COMPUTED_VALUE"""),44333.0)</f>
        <v>44333</v>
      </c>
      <c r="B414" s="1">
        <f t="shared" ref="B414:U414" si="413">IF($A414&gt;0,Megyeinapi!B414/'megyelakosság'!B$2*100000," ")</f>
        <v>3.783202581</v>
      </c>
      <c r="C414" s="1">
        <f t="shared" si="413"/>
        <v>5.569339671</v>
      </c>
      <c r="D414" s="1">
        <f t="shared" si="413"/>
        <v>4.538001222</v>
      </c>
      <c r="E414" s="1">
        <f t="shared" si="413"/>
        <v>6.278804013</v>
      </c>
      <c r="F414" s="1">
        <f t="shared" si="413"/>
        <v>2.399703808</v>
      </c>
      <c r="G414" s="1">
        <f t="shared" si="413"/>
        <v>5.020937309</v>
      </c>
      <c r="H414" s="1">
        <f t="shared" si="413"/>
        <v>3.822237299</v>
      </c>
      <c r="I414" s="1">
        <f t="shared" si="413"/>
        <v>3.593009272</v>
      </c>
      <c r="J414" s="1">
        <f t="shared" si="413"/>
        <v>3.986885047</v>
      </c>
      <c r="K414" s="1">
        <f t="shared" si="413"/>
        <v>3.40807236</v>
      </c>
      <c r="L414" s="1">
        <f t="shared" si="413"/>
        <v>16.08045679</v>
      </c>
      <c r="M414" s="1">
        <f t="shared" si="413"/>
        <v>2.325620027</v>
      </c>
      <c r="N414" s="1">
        <f t="shared" si="413"/>
        <v>0</v>
      </c>
      <c r="O414" s="1">
        <f t="shared" si="413"/>
        <v>3.315082391</v>
      </c>
      <c r="P414" s="1">
        <f t="shared" si="413"/>
        <v>3.66727788</v>
      </c>
      <c r="Q414" s="1">
        <f t="shared" si="413"/>
        <v>5.646342263</v>
      </c>
      <c r="R414" s="1">
        <f t="shared" si="413"/>
        <v>3.248048851</v>
      </c>
      <c r="S414" s="1">
        <f t="shared" si="413"/>
        <v>5.50883972</v>
      </c>
      <c r="T414" s="1">
        <f t="shared" si="413"/>
        <v>4.689922821</v>
      </c>
      <c r="U414" s="1">
        <f t="shared" si="413"/>
        <v>6.734737401</v>
      </c>
    </row>
    <row r="415">
      <c r="A415" s="3">
        <f>IFERROR(__xludf.DUMMYFUNCTION("""COMPUTED_VALUE"""),44334.0)</f>
        <v>44334</v>
      </c>
      <c r="B415" s="1">
        <f t="shared" ref="B415:U415" si="414">IF($A415&gt;0,Megyeinapi!B415/'megyelakosság'!B$2*100000," ")</f>
        <v>1.792043328</v>
      </c>
      <c r="C415" s="1">
        <f t="shared" si="414"/>
        <v>5.290872688</v>
      </c>
      <c r="D415" s="1">
        <f t="shared" si="414"/>
        <v>3.630400978</v>
      </c>
      <c r="E415" s="1">
        <f t="shared" si="414"/>
        <v>3.610312308</v>
      </c>
      <c r="F415" s="1">
        <f t="shared" si="414"/>
        <v>3.199605077</v>
      </c>
      <c r="G415" s="1">
        <f t="shared" si="414"/>
        <v>1.506281193</v>
      </c>
      <c r="H415" s="1">
        <f t="shared" si="414"/>
        <v>2.388898312</v>
      </c>
      <c r="I415" s="1">
        <f t="shared" si="414"/>
        <v>3.804362759</v>
      </c>
      <c r="J415" s="1">
        <f t="shared" si="414"/>
        <v>3.227478371</v>
      </c>
      <c r="K415" s="1">
        <f t="shared" si="414"/>
        <v>8.5201809</v>
      </c>
      <c r="L415" s="1">
        <f t="shared" si="414"/>
        <v>4.633351958</v>
      </c>
      <c r="M415" s="1">
        <f t="shared" si="414"/>
        <v>5.980165783</v>
      </c>
      <c r="N415" s="1">
        <f t="shared" si="414"/>
        <v>2.658273611</v>
      </c>
      <c r="O415" s="1">
        <f t="shared" si="414"/>
        <v>4.702791299</v>
      </c>
      <c r="P415" s="1">
        <f t="shared" si="414"/>
        <v>2.000333389</v>
      </c>
      <c r="Q415" s="1">
        <f t="shared" si="414"/>
        <v>2.732101095</v>
      </c>
      <c r="R415" s="1">
        <f t="shared" si="414"/>
        <v>6.032090723</v>
      </c>
      <c r="S415" s="1">
        <f t="shared" si="414"/>
        <v>5.115351169</v>
      </c>
      <c r="T415" s="1">
        <f t="shared" si="414"/>
        <v>6.155523703</v>
      </c>
      <c r="U415" s="1">
        <f t="shared" si="414"/>
        <v>6.734737401</v>
      </c>
    </row>
    <row r="416">
      <c r="A416" s="3">
        <f>IFERROR(__xludf.DUMMYFUNCTION("""COMPUTED_VALUE"""),44335.0)</f>
        <v>44335</v>
      </c>
      <c r="B416" s="1">
        <f t="shared" ref="B416:U416" si="415">IF($A416&gt;0,Megyeinapi!B416/'megyelakosság'!B$2*100000," ")</f>
        <v>8.561984788</v>
      </c>
      <c r="C416" s="1">
        <f t="shared" si="415"/>
        <v>10.58174538</v>
      </c>
      <c r="D416" s="1">
        <f t="shared" si="415"/>
        <v>5.748134881</v>
      </c>
      <c r="E416" s="1">
        <f t="shared" si="415"/>
        <v>8.947295719</v>
      </c>
      <c r="F416" s="1">
        <f t="shared" si="415"/>
        <v>5.370765665</v>
      </c>
      <c r="G416" s="1">
        <f t="shared" si="415"/>
        <v>5.020937309</v>
      </c>
      <c r="H416" s="1">
        <f t="shared" si="415"/>
        <v>4.300016961</v>
      </c>
      <c r="I416" s="1">
        <f t="shared" si="415"/>
        <v>6.763311571</v>
      </c>
      <c r="J416" s="1">
        <f t="shared" si="415"/>
        <v>5.315846729</v>
      </c>
      <c r="K416" s="1">
        <f t="shared" si="415"/>
        <v>10.56502432</v>
      </c>
      <c r="L416" s="1">
        <f t="shared" si="415"/>
        <v>4.360801842</v>
      </c>
      <c r="M416" s="1">
        <f t="shared" si="415"/>
        <v>5.647934351</v>
      </c>
      <c r="N416" s="1">
        <f t="shared" si="415"/>
        <v>10.63309444</v>
      </c>
      <c r="O416" s="1">
        <f t="shared" si="415"/>
        <v>6.475974904</v>
      </c>
      <c r="P416" s="1">
        <f t="shared" si="415"/>
        <v>2.333722287</v>
      </c>
      <c r="Q416" s="1">
        <f t="shared" si="415"/>
        <v>3.278521314</v>
      </c>
      <c r="R416" s="1">
        <f t="shared" si="415"/>
        <v>5.568083744</v>
      </c>
      <c r="S416" s="1">
        <f t="shared" si="415"/>
        <v>6.295816823</v>
      </c>
      <c r="T416" s="1">
        <f t="shared" si="415"/>
        <v>12.01792723</v>
      </c>
      <c r="U416" s="1">
        <f t="shared" si="415"/>
        <v>8.231345713</v>
      </c>
    </row>
    <row r="417">
      <c r="A417" s="3">
        <f>IFERROR(__xludf.DUMMYFUNCTION("""COMPUTED_VALUE"""),44336.0)</f>
        <v>44336</v>
      </c>
      <c r="B417" s="1">
        <f t="shared" ref="B417:U417" si="416">IF($A417&gt;0,Megyeinapi!B417/'megyelakosság'!B$2*100000," ")</f>
        <v>8.163752937</v>
      </c>
      <c r="C417" s="1">
        <f t="shared" si="416"/>
        <v>14.48028315</v>
      </c>
      <c r="D417" s="1">
        <f t="shared" si="416"/>
        <v>7.260801956</v>
      </c>
      <c r="E417" s="1">
        <f t="shared" si="416"/>
        <v>10.67396682</v>
      </c>
      <c r="F417" s="1">
        <f t="shared" si="416"/>
        <v>6.11353113</v>
      </c>
      <c r="G417" s="1">
        <f t="shared" si="416"/>
        <v>5.020937309</v>
      </c>
      <c r="H417" s="1">
        <f t="shared" si="416"/>
        <v>7.166694935</v>
      </c>
      <c r="I417" s="1">
        <f t="shared" si="416"/>
        <v>10.9903813</v>
      </c>
      <c r="J417" s="1">
        <f t="shared" si="416"/>
        <v>7.404215087</v>
      </c>
      <c r="K417" s="1">
        <f t="shared" si="416"/>
        <v>8.860988137</v>
      </c>
      <c r="L417" s="1">
        <f t="shared" si="416"/>
        <v>15.26280645</v>
      </c>
      <c r="M417" s="1">
        <f t="shared" si="416"/>
        <v>8.638017243</v>
      </c>
      <c r="N417" s="1">
        <f t="shared" si="416"/>
        <v>6.911511388</v>
      </c>
      <c r="O417" s="1">
        <f t="shared" si="416"/>
        <v>6.861449601</v>
      </c>
      <c r="P417" s="1">
        <f t="shared" si="416"/>
        <v>2.667111185</v>
      </c>
      <c r="Q417" s="1">
        <f t="shared" si="416"/>
        <v>4.189221679</v>
      </c>
      <c r="R417" s="1">
        <f t="shared" si="416"/>
        <v>8.816132595</v>
      </c>
      <c r="S417" s="1">
        <f t="shared" si="416"/>
        <v>10.23070234</v>
      </c>
      <c r="T417" s="1">
        <f t="shared" si="416"/>
        <v>13.19040794</v>
      </c>
      <c r="U417" s="1">
        <f t="shared" si="416"/>
        <v>5.986433246</v>
      </c>
    </row>
    <row r="418">
      <c r="A418" s="3">
        <f>IFERROR(__xludf.DUMMYFUNCTION("""COMPUTED_VALUE"""),44337.0)</f>
        <v>44337</v>
      </c>
      <c r="B418" s="1">
        <f t="shared" ref="B418:U418" si="417">IF($A418&gt;0,Megyeinapi!B418/'megyelakosság'!B$2*100000," ")</f>
        <v>6.969057385</v>
      </c>
      <c r="C418" s="1">
        <f t="shared" si="417"/>
        <v>5.847806655</v>
      </c>
      <c r="D418" s="1">
        <f t="shared" si="417"/>
        <v>8.470935615</v>
      </c>
      <c r="E418" s="1">
        <f t="shared" si="417"/>
        <v>9.41820602</v>
      </c>
      <c r="F418" s="1">
        <f t="shared" si="417"/>
        <v>4.399456981</v>
      </c>
      <c r="G418" s="1">
        <f t="shared" si="417"/>
        <v>6.02512477</v>
      </c>
      <c r="H418" s="1">
        <f t="shared" si="417"/>
        <v>4.777796624</v>
      </c>
      <c r="I418" s="1">
        <f t="shared" si="417"/>
        <v>6.551958084</v>
      </c>
      <c r="J418" s="1">
        <f t="shared" si="417"/>
        <v>6.075253405</v>
      </c>
      <c r="K418" s="1">
        <f t="shared" si="417"/>
        <v>6.81614472</v>
      </c>
      <c r="L418" s="1">
        <f t="shared" si="417"/>
        <v>7.903953339</v>
      </c>
      <c r="M418" s="1">
        <f t="shared" si="417"/>
        <v>8.30578581</v>
      </c>
      <c r="N418" s="1">
        <f t="shared" si="417"/>
        <v>10.63309444</v>
      </c>
      <c r="O418" s="1">
        <f t="shared" si="417"/>
        <v>6.784354661</v>
      </c>
      <c r="P418" s="1">
        <f t="shared" si="417"/>
        <v>2.667111185</v>
      </c>
      <c r="Q418" s="1">
        <f t="shared" si="417"/>
        <v>6.921322774</v>
      </c>
      <c r="R418" s="1">
        <f t="shared" si="417"/>
        <v>6.496097701</v>
      </c>
      <c r="S418" s="1">
        <f t="shared" si="417"/>
        <v>14.5590764</v>
      </c>
      <c r="T418" s="1">
        <f t="shared" si="417"/>
        <v>7.914244761</v>
      </c>
      <c r="U418" s="1">
        <f t="shared" si="417"/>
        <v>8.605497791</v>
      </c>
    </row>
    <row r="419">
      <c r="A419" s="3">
        <f>IFERROR(__xludf.DUMMYFUNCTION("""COMPUTED_VALUE"""),44338.0)</f>
        <v>44338</v>
      </c>
      <c r="B419" s="1">
        <f t="shared" ref="B419:U419" si="418">IF($A419&gt;0,Megyeinapi!B419/'megyelakosság'!B$2*100000," ")</f>
        <v>6.371709609</v>
      </c>
      <c r="C419" s="1">
        <f t="shared" si="418"/>
        <v>12.53101426</v>
      </c>
      <c r="D419" s="1">
        <f t="shared" si="418"/>
        <v>5.143068052</v>
      </c>
      <c r="E419" s="1">
        <f t="shared" si="418"/>
        <v>8.005475117</v>
      </c>
      <c r="F419" s="1">
        <f t="shared" si="418"/>
        <v>4.570864396</v>
      </c>
      <c r="G419" s="1">
        <f t="shared" si="418"/>
        <v>4.518843578</v>
      </c>
      <c r="H419" s="1">
        <f t="shared" si="418"/>
        <v>4.538906792</v>
      </c>
      <c r="I419" s="1">
        <f t="shared" si="418"/>
        <v>7.608725517</v>
      </c>
      <c r="J419" s="1">
        <f t="shared" si="418"/>
        <v>4.746291722</v>
      </c>
      <c r="K419" s="1">
        <f t="shared" si="418"/>
        <v>5.793723012</v>
      </c>
      <c r="L419" s="1">
        <f t="shared" si="418"/>
        <v>8.44905357</v>
      </c>
      <c r="M419" s="1">
        <f t="shared" si="418"/>
        <v>6.976860081</v>
      </c>
      <c r="N419" s="1">
        <f t="shared" si="418"/>
        <v>4.253237777</v>
      </c>
      <c r="O419" s="1">
        <f t="shared" si="418"/>
        <v>6.475974904</v>
      </c>
      <c r="P419" s="1">
        <f t="shared" si="418"/>
        <v>3.333888981</v>
      </c>
      <c r="Q419" s="1">
        <f t="shared" si="418"/>
        <v>8.742723504</v>
      </c>
      <c r="R419" s="1">
        <f t="shared" si="418"/>
        <v>6.496097701</v>
      </c>
      <c r="S419" s="1">
        <f t="shared" si="418"/>
        <v>14.95256496</v>
      </c>
      <c r="T419" s="1">
        <f t="shared" si="418"/>
        <v>9.379845643</v>
      </c>
      <c r="U419" s="1">
        <f t="shared" si="418"/>
        <v>7.857193635</v>
      </c>
    </row>
    <row r="420">
      <c r="A420" s="3">
        <f>IFERROR(__xludf.DUMMYFUNCTION("""COMPUTED_VALUE"""),44339.0)</f>
        <v>44339</v>
      </c>
      <c r="B420" s="1">
        <f t="shared" ref="B420:U420" si="419">IF($A420&gt;0,Megyeinapi!B420/'megyelakosság'!B$2*100000," ")</f>
        <v>2.986738879</v>
      </c>
      <c r="C420" s="1">
        <f t="shared" si="419"/>
        <v>4.733938721</v>
      </c>
      <c r="D420" s="1">
        <f t="shared" si="419"/>
        <v>1.210133659</v>
      </c>
      <c r="E420" s="1">
        <f t="shared" si="419"/>
        <v>8.790325619</v>
      </c>
      <c r="F420" s="1">
        <f t="shared" si="419"/>
        <v>2.628247028</v>
      </c>
      <c r="G420" s="1">
        <f t="shared" si="419"/>
        <v>2.510468654</v>
      </c>
      <c r="H420" s="1">
        <f t="shared" si="419"/>
        <v>2.388898312</v>
      </c>
      <c r="I420" s="1">
        <f t="shared" si="419"/>
        <v>3.804362759</v>
      </c>
      <c r="J420" s="1">
        <f t="shared" si="419"/>
        <v>3.607181709</v>
      </c>
      <c r="K420" s="1">
        <f t="shared" si="419"/>
        <v>6.81614472</v>
      </c>
      <c r="L420" s="1">
        <f t="shared" si="419"/>
        <v>6.541202764</v>
      </c>
      <c r="M420" s="1">
        <f t="shared" si="419"/>
        <v>2.990082892</v>
      </c>
      <c r="N420" s="1">
        <f t="shared" si="419"/>
        <v>6.379856666</v>
      </c>
      <c r="O420" s="1">
        <f t="shared" si="419"/>
        <v>3.931841906</v>
      </c>
      <c r="P420" s="1">
        <f t="shared" si="419"/>
        <v>2.667111185</v>
      </c>
      <c r="Q420" s="1">
        <f t="shared" si="419"/>
        <v>3.824941533</v>
      </c>
      <c r="R420" s="1">
        <f t="shared" si="419"/>
        <v>2.320034893</v>
      </c>
      <c r="S420" s="1">
        <f t="shared" si="419"/>
        <v>12.19814509</v>
      </c>
      <c r="T420" s="1">
        <f t="shared" si="419"/>
        <v>5.862403527</v>
      </c>
      <c r="U420" s="1">
        <f t="shared" si="419"/>
        <v>7.483041557</v>
      </c>
    </row>
    <row r="421">
      <c r="A421" s="3">
        <f>IFERROR(__xludf.DUMMYFUNCTION("""COMPUTED_VALUE"""),44340.0)</f>
        <v>44340</v>
      </c>
      <c r="B421" s="1">
        <f t="shared" ref="B421:U421" si="420">IF($A421&gt;0,Megyeinapi!B421/'megyelakosság'!B$2*100000," ")</f>
        <v>2.389391104</v>
      </c>
      <c r="C421" s="1">
        <f t="shared" si="420"/>
        <v>2.506202852</v>
      </c>
      <c r="D421" s="1">
        <f t="shared" si="420"/>
        <v>2.420267319</v>
      </c>
      <c r="E421" s="1">
        <f t="shared" si="420"/>
        <v>3.610312308</v>
      </c>
      <c r="F421" s="1">
        <f t="shared" si="420"/>
        <v>2.685382833</v>
      </c>
      <c r="G421" s="1">
        <f t="shared" si="420"/>
        <v>3.263609251</v>
      </c>
      <c r="H421" s="1">
        <f t="shared" si="420"/>
        <v>2.150008481</v>
      </c>
      <c r="I421" s="1">
        <f t="shared" si="420"/>
        <v>0.8454139464</v>
      </c>
      <c r="J421" s="1">
        <f t="shared" si="420"/>
        <v>1.70866502</v>
      </c>
      <c r="K421" s="1">
        <f t="shared" si="420"/>
        <v>1.022421708</v>
      </c>
      <c r="L421" s="1">
        <f t="shared" si="420"/>
        <v>5.996102533</v>
      </c>
      <c r="M421" s="1">
        <f t="shared" si="420"/>
        <v>0</v>
      </c>
      <c r="N421" s="1">
        <f t="shared" si="420"/>
        <v>3.189928333</v>
      </c>
      <c r="O421" s="1">
        <f t="shared" si="420"/>
        <v>2.004468423</v>
      </c>
      <c r="P421" s="1">
        <f t="shared" si="420"/>
        <v>2.000333389</v>
      </c>
      <c r="Q421" s="1">
        <f t="shared" si="420"/>
        <v>1.457120584</v>
      </c>
      <c r="R421" s="1">
        <f t="shared" si="420"/>
        <v>2.320034893</v>
      </c>
      <c r="S421" s="1">
        <f t="shared" si="420"/>
        <v>5.50883972</v>
      </c>
      <c r="T421" s="1">
        <f t="shared" si="420"/>
        <v>6.44864388</v>
      </c>
      <c r="U421" s="1">
        <f t="shared" si="420"/>
        <v>4.489824934</v>
      </c>
    </row>
    <row r="422">
      <c r="A422" s="3">
        <f>IFERROR(__xludf.DUMMYFUNCTION("""COMPUTED_VALUE"""),44341.0)</f>
        <v>44341</v>
      </c>
      <c r="B422" s="1">
        <f t="shared" ref="B422:U422" si="421">IF($A422&gt;0,Megyeinapi!B422/'megyelakosság'!B$2*100000," ")</f>
        <v>0.5973477759</v>
      </c>
      <c r="C422" s="1">
        <f t="shared" si="421"/>
        <v>0.5569339671</v>
      </c>
      <c r="D422" s="1">
        <f t="shared" si="421"/>
        <v>0.6050668296</v>
      </c>
      <c r="E422" s="1">
        <f t="shared" si="421"/>
        <v>4.55213291</v>
      </c>
      <c r="F422" s="1">
        <f t="shared" si="421"/>
        <v>0.7999012693</v>
      </c>
      <c r="G422" s="1">
        <f t="shared" si="421"/>
        <v>1.255234327</v>
      </c>
      <c r="H422" s="1">
        <f t="shared" si="421"/>
        <v>0.7166694935</v>
      </c>
      <c r="I422" s="1">
        <f t="shared" si="421"/>
        <v>2.324888353</v>
      </c>
      <c r="J422" s="1">
        <f t="shared" si="421"/>
        <v>0.5695550067</v>
      </c>
      <c r="K422" s="1">
        <f t="shared" si="421"/>
        <v>3.067265124</v>
      </c>
      <c r="L422" s="1">
        <f t="shared" si="421"/>
        <v>1.090200461</v>
      </c>
      <c r="M422" s="1">
        <f t="shared" si="421"/>
        <v>0.3322314324</v>
      </c>
      <c r="N422" s="1">
        <f t="shared" si="421"/>
        <v>0.5316547222</v>
      </c>
      <c r="O422" s="1">
        <f t="shared" si="421"/>
        <v>2.004468423</v>
      </c>
      <c r="P422" s="1">
        <f t="shared" si="421"/>
        <v>1.000166694</v>
      </c>
      <c r="Q422" s="1">
        <f t="shared" si="421"/>
        <v>2.185680876</v>
      </c>
      <c r="R422" s="1">
        <f t="shared" si="421"/>
        <v>0</v>
      </c>
      <c r="S422" s="1">
        <f t="shared" si="421"/>
        <v>3.541396963</v>
      </c>
      <c r="T422" s="1">
        <f t="shared" si="421"/>
        <v>5.56928335</v>
      </c>
      <c r="U422" s="1">
        <f t="shared" si="421"/>
        <v>2.993216623</v>
      </c>
    </row>
    <row r="423">
      <c r="A423" s="3">
        <f>IFERROR(__xludf.DUMMYFUNCTION("""COMPUTED_VALUE"""),44342.0)</f>
        <v>44342</v>
      </c>
      <c r="B423" s="1">
        <f t="shared" ref="B423:U423" si="422">IF($A423&gt;0,Megyeinapi!B423/'megyelakosság'!B$2*100000," ")</f>
        <v>2.389391104</v>
      </c>
      <c r="C423" s="1">
        <f t="shared" si="422"/>
        <v>7.79707554</v>
      </c>
      <c r="D423" s="1">
        <f t="shared" si="422"/>
        <v>4.235467807</v>
      </c>
      <c r="E423" s="1">
        <f t="shared" si="422"/>
        <v>2.197581405</v>
      </c>
      <c r="F423" s="1">
        <f t="shared" si="422"/>
        <v>1.028444489</v>
      </c>
      <c r="G423" s="1">
        <f t="shared" si="422"/>
        <v>1.757328058</v>
      </c>
      <c r="H423" s="1">
        <f t="shared" si="422"/>
        <v>1.672228818</v>
      </c>
      <c r="I423" s="1">
        <f t="shared" si="422"/>
        <v>3.170302299</v>
      </c>
      <c r="J423" s="1">
        <f t="shared" si="422"/>
        <v>0.5695550067</v>
      </c>
      <c r="K423" s="1">
        <f t="shared" si="422"/>
        <v>1.363228944</v>
      </c>
      <c r="L423" s="1">
        <f t="shared" si="422"/>
        <v>1.907850806</v>
      </c>
      <c r="M423" s="1">
        <f t="shared" si="422"/>
        <v>2.325620027</v>
      </c>
      <c r="N423" s="1">
        <f t="shared" si="422"/>
        <v>2.126618889</v>
      </c>
      <c r="O423" s="1">
        <f t="shared" si="422"/>
        <v>2.544132998</v>
      </c>
      <c r="P423" s="1">
        <f t="shared" si="422"/>
        <v>1.333555593</v>
      </c>
      <c r="Q423" s="1">
        <f t="shared" si="422"/>
        <v>1.82140073</v>
      </c>
      <c r="R423" s="1">
        <f t="shared" si="422"/>
        <v>6.032090723</v>
      </c>
      <c r="S423" s="1">
        <f t="shared" si="422"/>
        <v>1.573954206</v>
      </c>
      <c r="T423" s="1">
        <f t="shared" si="422"/>
        <v>1.172480705</v>
      </c>
      <c r="U423" s="1">
        <f t="shared" si="422"/>
        <v>1.870760389</v>
      </c>
    </row>
    <row r="424">
      <c r="A424" s="3">
        <f>IFERROR(__xludf.DUMMYFUNCTION("""COMPUTED_VALUE"""),44343.0)</f>
        <v>44343</v>
      </c>
      <c r="B424" s="1">
        <f t="shared" ref="B424:U424" si="423">IF($A424&gt;0,Megyeinapi!B424/'megyelakosság'!B$2*100000," ")</f>
        <v>2.389391104</v>
      </c>
      <c r="C424" s="1">
        <f t="shared" si="423"/>
        <v>7.518608556</v>
      </c>
      <c r="D424" s="1">
        <f t="shared" si="423"/>
        <v>3.932934393</v>
      </c>
      <c r="E424" s="1">
        <f t="shared" si="423"/>
        <v>4.86607311</v>
      </c>
      <c r="F424" s="1">
        <f t="shared" si="423"/>
        <v>3.028197662</v>
      </c>
      <c r="G424" s="1">
        <f t="shared" si="423"/>
        <v>1.757328058</v>
      </c>
      <c r="H424" s="1">
        <f t="shared" si="423"/>
        <v>5.255576286</v>
      </c>
      <c r="I424" s="1">
        <f t="shared" si="423"/>
        <v>3.170302299</v>
      </c>
      <c r="J424" s="1">
        <f t="shared" si="423"/>
        <v>3.797033378</v>
      </c>
      <c r="K424" s="1">
        <f t="shared" si="423"/>
        <v>3.40807236</v>
      </c>
      <c r="L424" s="1">
        <f t="shared" si="423"/>
        <v>3.815701612</v>
      </c>
      <c r="M424" s="1">
        <f t="shared" si="423"/>
        <v>7.641322946</v>
      </c>
      <c r="N424" s="1">
        <f t="shared" si="423"/>
        <v>4.784892499</v>
      </c>
      <c r="O424" s="1">
        <f t="shared" si="423"/>
        <v>4.240221663</v>
      </c>
      <c r="P424" s="1">
        <f t="shared" si="423"/>
        <v>3.333888981</v>
      </c>
      <c r="Q424" s="1">
        <f t="shared" si="423"/>
        <v>4.553501825</v>
      </c>
      <c r="R424" s="1">
        <f t="shared" si="423"/>
        <v>3.712055829</v>
      </c>
      <c r="S424" s="1">
        <f t="shared" si="423"/>
        <v>5.50883972</v>
      </c>
      <c r="T424" s="1">
        <f t="shared" si="423"/>
        <v>4.689922821</v>
      </c>
      <c r="U424" s="1">
        <f t="shared" si="423"/>
        <v>4.489824934</v>
      </c>
    </row>
    <row r="425">
      <c r="A425" s="3">
        <f>IFERROR(__xludf.DUMMYFUNCTION("""COMPUTED_VALUE"""),44344.0)</f>
        <v>44344</v>
      </c>
      <c r="B425" s="1">
        <f t="shared" ref="B425:U425" si="424">IF($A425&gt;0,Megyeinapi!B425/'megyelakosság'!B$2*100000," ")</f>
        <v>5.376129983</v>
      </c>
      <c r="C425" s="1">
        <f t="shared" si="424"/>
        <v>8.910943474</v>
      </c>
      <c r="D425" s="1">
        <f t="shared" si="424"/>
        <v>6.050668296</v>
      </c>
      <c r="E425" s="1">
        <f t="shared" si="424"/>
        <v>7.220624615</v>
      </c>
      <c r="F425" s="1">
        <f t="shared" si="424"/>
        <v>2.856790248</v>
      </c>
      <c r="G425" s="1">
        <f t="shared" si="424"/>
        <v>4.769890443</v>
      </c>
      <c r="H425" s="1">
        <f t="shared" si="424"/>
        <v>5.016686455</v>
      </c>
      <c r="I425" s="1">
        <f t="shared" si="424"/>
        <v>4.015716245</v>
      </c>
      <c r="J425" s="1">
        <f t="shared" si="424"/>
        <v>4.176736716</v>
      </c>
      <c r="K425" s="1">
        <f t="shared" si="424"/>
        <v>5.452915776</v>
      </c>
      <c r="L425" s="1">
        <f t="shared" si="424"/>
        <v>2.452951036</v>
      </c>
      <c r="M425" s="1">
        <f t="shared" si="424"/>
        <v>3.986777189</v>
      </c>
      <c r="N425" s="1">
        <f t="shared" si="424"/>
        <v>6.379856666</v>
      </c>
      <c r="O425" s="1">
        <f t="shared" si="424"/>
        <v>4.548601421</v>
      </c>
      <c r="P425" s="1">
        <f t="shared" si="424"/>
        <v>1.333555593</v>
      </c>
      <c r="Q425" s="1">
        <f t="shared" si="424"/>
        <v>3.096381241</v>
      </c>
      <c r="R425" s="1">
        <f t="shared" si="424"/>
        <v>3.712055829</v>
      </c>
      <c r="S425" s="1">
        <f t="shared" si="424"/>
        <v>7.082793926</v>
      </c>
      <c r="T425" s="1">
        <f t="shared" si="424"/>
        <v>6.44864388</v>
      </c>
      <c r="U425" s="1">
        <f t="shared" si="424"/>
        <v>5.612281168</v>
      </c>
    </row>
    <row r="426">
      <c r="A426" s="3">
        <f>IFERROR(__xludf.DUMMYFUNCTION("""COMPUTED_VALUE"""),44345.0)</f>
        <v>44345</v>
      </c>
      <c r="B426" s="1">
        <f t="shared" ref="B426:U426" si="425">IF($A426&gt;0,Megyeinapi!B426/'megyelakosság'!B$2*100000," ")</f>
        <v>3.982318506</v>
      </c>
      <c r="C426" s="1">
        <f t="shared" si="425"/>
        <v>8.63247649</v>
      </c>
      <c r="D426" s="1">
        <f t="shared" si="425"/>
        <v>6.050668296</v>
      </c>
      <c r="E426" s="1">
        <f t="shared" si="425"/>
        <v>8.319415318</v>
      </c>
      <c r="F426" s="1">
        <f t="shared" si="425"/>
        <v>3.656691517</v>
      </c>
      <c r="G426" s="1">
        <f t="shared" si="425"/>
        <v>1.506281193</v>
      </c>
      <c r="H426" s="1">
        <f t="shared" si="425"/>
        <v>4.06112713</v>
      </c>
      <c r="I426" s="1">
        <f t="shared" si="425"/>
        <v>5.706544138</v>
      </c>
      <c r="J426" s="1">
        <f t="shared" si="425"/>
        <v>3.797033378</v>
      </c>
      <c r="K426" s="1">
        <f t="shared" si="425"/>
        <v>1.022421708</v>
      </c>
      <c r="L426" s="1">
        <f t="shared" si="425"/>
        <v>6.541202764</v>
      </c>
      <c r="M426" s="1">
        <f t="shared" si="425"/>
        <v>6.644628648</v>
      </c>
      <c r="N426" s="1">
        <f t="shared" si="425"/>
        <v>5.316547222</v>
      </c>
      <c r="O426" s="1">
        <f t="shared" si="425"/>
        <v>3.931841906</v>
      </c>
      <c r="P426" s="1">
        <f t="shared" si="425"/>
        <v>2.667111185</v>
      </c>
      <c r="Q426" s="1">
        <f t="shared" si="425"/>
        <v>3.278521314</v>
      </c>
      <c r="R426" s="1">
        <f t="shared" si="425"/>
        <v>5.104076765</v>
      </c>
      <c r="S426" s="1">
        <f t="shared" si="425"/>
        <v>7.869771029</v>
      </c>
      <c r="T426" s="1">
        <f t="shared" si="425"/>
        <v>7.034884232</v>
      </c>
      <c r="U426" s="1">
        <f t="shared" si="425"/>
        <v>6.734737401</v>
      </c>
    </row>
    <row r="427">
      <c r="A427" s="3">
        <f>IFERROR(__xludf.DUMMYFUNCTION("""COMPUTED_VALUE"""),44346.0)</f>
        <v>44346</v>
      </c>
      <c r="B427" s="1">
        <f t="shared" ref="B427:U427" si="426">IF($A427&gt;0,Megyeinapi!B427/'megyelakosság'!B$2*100000," ")</f>
        <v>1.194695552</v>
      </c>
      <c r="C427" s="1">
        <f t="shared" si="426"/>
        <v>3.063136819</v>
      </c>
      <c r="D427" s="1">
        <f t="shared" si="426"/>
        <v>4.235467807</v>
      </c>
      <c r="E427" s="1">
        <f t="shared" si="426"/>
        <v>6.592744214</v>
      </c>
      <c r="F427" s="1">
        <f t="shared" si="426"/>
        <v>1.942617368</v>
      </c>
      <c r="G427" s="1">
        <f t="shared" si="426"/>
        <v>2.510468654</v>
      </c>
      <c r="H427" s="1">
        <f t="shared" si="426"/>
        <v>5.733355948</v>
      </c>
      <c r="I427" s="1">
        <f t="shared" si="426"/>
        <v>5.495190651</v>
      </c>
      <c r="J427" s="1">
        <f t="shared" si="426"/>
        <v>2.657923364</v>
      </c>
      <c r="K427" s="1">
        <f t="shared" si="426"/>
        <v>7.156951956</v>
      </c>
      <c r="L427" s="1">
        <f t="shared" si="426"/>
        <v>3.270601382</v>
      </c>
      <c r="M427" s="1">
        <f t="shared" si="426"/>
        <v>1.32892573</v>
      </c>
      <c r="N427" s="1">
        <f t="shared" si="426"/>
        <v>2.126618889</v>
      </c>
      <c r="O427" s="1">
        <f t="shared" si="426"/>
        <v>3.237987452</v>
      </c>
      <c r="P427" s="1">
        <f t="shared" si="426"/>
        <v>3.66727788</v>
      </c>
      <c r="Q427" s="1">
        <f t="shared" si="426"/>
        <v>3.460661387</v>
      </c>
      <c r="R427" s="1">
        <f t="shared" si="426"/>
        <v>6.96010468</v>
      </c>
      <c r="S427" s="1">
        <f t="shared" si="426"/>
        <v>4.721862617</v>
      </c>
      <c r="T427" s="1">
        <f t="shared" si="426"/>
        <v>6.155523703</v>
      </c>
      <c r="U427" s="1">
        <f t="shared" si="426"/>
        <v>2.993216623</v>
      </c>
    </row>
    <row r="428">
      <c r="A428" s="3">
        <f>IFERROR(__xludf.DUMMYFUNCTION("""COMPUTED_VALUE"""),44347.0)</f>
        <v>44347</v>
      </c>
      <c r="B428" s="1">
        <f t="shared" ref="B428:U428" si="427">IF($A428&gt;0,Megyeinapi!B428/'megyelakosság'!B$2*100000," ")</f>
        <v>1.991159253</v>
      </c>
      <c r="C428" s="1">
        <f t="shared" si="427"/>
        <v>1.949268885</v>
      </c>
      <c r="D428" s="1">
        <f t="shared" si="427"/>
        <v>0.9076002444</v>
      </c>
      <c r="E428" s="1">
        <f t="shared" si="427"/>
        <v>2.040611304</v>
      </c>
      <c r="F428" s="1">
        <f t="shared" si="427"/>
        <v>1.199851904</v>
      </c>
      <c r="G428" s="1">
        <f t="shared" si="427"/>
        <v>1.004187462</v>
      </c>
      <c r="H428" s="1">
        <f t="shared" si="427"/>
        <v>0.7166694935</v>
      </c>
      <c r="I428" s="1">
        <f t="shared" si="427"/>
        <v>0.4227069732</v>
      </c>
      <c r="J428" s="1">
        <f t="shared" si="427"/>
        <v>1.70866502</v>
      </c>
      <c r="K428" s="1">
        <f t="shared" si="427"/>
        <v>1.70403618</v>
      </c>
      <c r="L428" s="1">
        <f t="shared" si="427"/>
        <v>2.725501152</v>
      </c>
      <c r="M428" s="1">
        <f t="shared" si="427"/>
        <v>0.6644628648</v>
      </c>
      <c r="N428" s="1">
        <f t="shared" si="427"/>
        <v>1.063309444</v>
      </c>
      <c r="O428" s="1">
        <f t="shared" si="427"/>
        <v>2.31284818</v>
      </c>
      <c r="P428" s="1">
        <f t="shared" si="427"/>
        <v>1.666944491</v>
      </c>
      <c r="Q428" s="1">
        <f t="shared" si="427"/>
        <v>1.274980511</v>
      </c>
      <c r="R428" s="1">
        <f t="shared" si="427"/>
        <v>2.320034893</v>
      </c>
      <c r="S428" s="1">
        <f t="shared" si="427"/>
        <v>1.180465654</v>
      </c>
      <c r="T428" s="1">
        <f t="shared" si="427"/>
        <v>2.638081587</v>
      </c>
      <c r="U428" s="1">
        <f t="shared" si="427"/>
        <v>2.244912467</v>
      </c>
    </row>
    <row r="429">
      <c r="A429" s="3">
        <f>IFERROR(__xludf.DUMMYFUNCTION("""COMPUTED_VALUE"""),44348.0)</f>
        <v>44348</v>
      </c>
      <c r="B429" s="1">
        <f t="shared" ref="B429:U429" si="428">IF($A429&gt;0,Megyeinapi!B429/'megyelakosság'!B$2*100000," ")</f>
        <v>2.787622954</v>
      </c>
      <c r="C429" s="1">
        <f t="shared" si="428"/>
        <v>2.506202852</v>
      </c>
      <c r="D429" s="1">
        <f t="shared" si="428"/>
        <v>1.815200489</v>
      </c>
      <c r="E429" s="1">
        <f t="shared" si="428"/>
        <v>1.883641204</v>
      </c>
      <c r="F429" s="1">
        <f t="shared" si="428"/>
        <v>1.256987709</v>
      </c>
      <c r="G429" s="1">
        <f t="shared" si="428"/>
        <v>0.2510468654</v>
      </c>
      <c r="H429" s="1">
        <f t="shared" si="428"/>
        <v>2.388898312</v>
      </c>
      <c r="I429" s="1">
        <f t="shared" si="428"/>
        <v>1.690827893</v>
      </c>
      <c r="J429" s="1">
        <f t="shared" si="428"/>
        <v>1.139110013</v>
      </c>
      <c r="K429" s="1">
        <f t="shared" si="428"/>
        <v>1.022421708</v>
      </c>
      <c r="L429" s="1">
        <f t="shared" si="428"/>
        <v>2.180400921</v>
      </c>
      <c r="M429" s="1">
        <f t="shared" si="428"/>
        <v>1.993388594</v>
      </c>
      <c r="N429" s="1">
        <f t="shared" si="428"/>
        <v>6.379856666</v>
      </c>
      <c r="O429" s="1">
        <f t="shared" si="428"/>
        <v>1.850278544</v>
      </c>
      <c r="P429" s="1">
        <f t="shared" si="428"/>
        <v>0.3333888981</v>
      </c>
      <c r="Q429" s="1">
        <f t="shared" si="428"/>
        <v>1.639260657</v>
      </c>
      <c r="R429" s="1">
        <f t="shared" si="428"/>
        <v>0.4640069787</v>
      </c>
      <c r="S429" s="1">
        <f t="shared" si="428"/>
        <v>2.360931309</v>
      </c>
      <c r="T429" s="1">
        <f t="shared" si="428"/>
        <v>3.22432194</v>
      </c>
      <c r="U429" s="1">
        <f t="shared" si="428"/>
        <v>1.870760389</v>
      </c>
    </row>
    <row r="430">
      <c r="A430" s="3">
        <f>IFERROR(__xludf.DUMMYFUNCTION("""COMPUTED_VALUE"""),44349.0)</f>
        <v>44349</v>
      </c>
      <c r="B430" s="1">
        <f t="shared" ref="B430:U430" si="429">IF($A430&gt;0,Megyeinapi!B430/'megyelakosság'!B$2*100000," ")</f>
        <v>0.7964637012</v>
      </c>
      <c r="C430" s="1">
        <f t="shared" si="429"/>
        <v>4.733938721</v>
      </c>
      <c r="D430" s="1">
        <f t="shared" si="429"/>
        <v>3.327867563</v>
      </c>
      <c r="E430" s="1">
        <f t="shared" si="429"/>
        <v>4.55213291</v>
      </c>
      <c r="F430" s="1">
        <f t="shared" si="429"/>
        <v>3.085333467</v>
      </c>
      <c r="G430" s="1">
        <f t="shared" si="429"/>
        <v>0.5020937309</v>
      </c>
      <c r="H430" s="1">
        <f t="shared" si="429"/>
        <v>1.911118649</v>
      </c>
      <c r="I430" s="1">
        <f t="shared" si="429"/>
        <v>1.690827893</v>
      </c>
      <c r="J430" s="1">
        <f t="shared" si="429"/>
        <v>3.41733004</v>
      </c>
      <c r="K430" s="1">
        <f t="shared" si="429"/>
        <v>2.385650652</v>
      </c>
      <c r="L430" s="1">
        <f t="shared" si="429"/>
        <v>1.907850806</v>
      </c>
      <c r="M430" s="1">
        <f t="shared" si="429"/>
        <v>1.661157162</v>
      </c>
      <c r="N430" s="1">
        <f t="shared" si="429"/>
        <v>2.658273611</v>
      </c>
      <c r="O430" s="1">
        <f t="shared" si="429"/>
        <v>3.777652027</v>
      </c>
      <c r="P430" s="1">
        <f t="shared" si="429"/>
        <v>2.667111185</v>
      </c>
      <c r="Q430" s="1">
        <f t="shared" si="429"/>
        <v>1.82140073</v>
      </c>
      <c r="R430" s="1">
        <f t="shared" si="429"/>
        <v>1.392020936</v>
      </c>
      <c r="S430" s="1">
        <f t="shared" si="429"/>
        <v>5.115351169</v>
      </c>
      <c r="T430" s="1">
        <f t="shared" si="429"/>
        <v>3.517442116</v>
      </c>
      <c r="U430" s="1">
        <f t="shared" si="429"/>
        <v>1.870760389</v>
      </c>
    </row>
    <row r="431">
      <c r="A431" s="3">
        <f>IFERROR(__xludf.DUMMYFUNCTION("""COMPUTED_VALUE"""),44350.0)</f>
        <v>44350</v>
      </c>
      <c r="B431" s="1">
        <f t="shared" ref="B431:U431" si="430">IF($A431&gt;0,Megyeinapi!B431/'megyelakosság'!B$2*100000," ")</f>
        <v>2.986738879</v>
      </c>
      <c r="C431" s="1">
        <f t="shared" si="430"/>
        <v>3.620070786</v>
      </c>
      <c r="D431" s="1">
        <f t="shared" si="430"/>
        <v>3.327867563</v>
      </c>
      <c r="E431" s="1">
        <f t="shared" si="430"/>
        <v>5.180013311</v>
      </c>
      <c r="F431" s="1">
        <f t="shared" si="430"/>
        <v>2.571111223</v>
      </c>
      <c r="G431" s="1">
        <f t="shared" si="430"/>
        <v>5.523031039</v>
      </c>
      <c r="H431" s="1">
        <f t="shared" si="430"/>
        <v>2.388898312</v>
      </c>
      <c r="I431" s="1">
        <f t="shared" si="430"/>
        <v>2.113534866</v>
      </c>
      <c r="J431" s="1">
        <f t="shared" si="430"/>
        <v>2.278220027</v>
      </c>
      <c r="K431" s="1">
        <f t="shared" si="430"/>
        <v>2.726457888</v>
      </c>
      <c r="L431" s="1">
        <f t="shared" si="430"/>
        <v>2.452951036</v>
      </c>
      <c r="M431" s="1">
        <f t="shared" si="430"/>
        <v>2.657851459</v>
      </c>
      <c r="N431" s="1">
        <f t="shared" si="430"/>
        <v>4.253237777</v>
      </c>
      <c r="O431" s="1">
        <f t="shared" si="430"/>
        <v>4.008936845</v>
      </c>
      <c r="P431" s="1">
        <f t="shared" si="430"/>
        <v>3.000500083</v>
      </c>
      <c r="Q431" s="1">
        <f t="shared" si="430"/>
        <v>1.092840438</v>
      </c>
      <c r="R431" s="1">
        <f t="shared" si="430"/>
        <v>4.176062808</v>
      </c>
      <c r="S431" s="1">
        <f t="shared" si="430"/>
        <v>3.147908412</v>
      </c>
      <c r="T431" s="1">
        <f t="shared" si="430"/>
        <v>4.983042998</v>
      </c>
      <c r="U431" s="1">
        <f t="shared" si="430"/>
        <v>3.741520779</v>
      </c>
    </row>
    <row r="432">
      <c r="A432" s="3">
        <f>IFERROR(__xludf.DUMMYFUNCTION("""COMPUTED_VALUE"""),44351.0)</f>
        <v>44351</v>
      </c>
      <c r="B432" s="1">
        <f t="shared" ref="B432:U432" si="431">IF($A432&gt;0,Megyeinapi!B432/'megyelakosság'!B$2*100000," ")</f>
        <v>2.588507029</v>
      </c>
      <c r="C432" s="1">
        <f t="shared" si="431"/>
        <v>2.227735868</v>
      </c>
      <c r="D432" s="1">
        <f t="shared" si="431"/>
        <v>0.3025334148</v>
      </c>
      <c r="E432" s="1">
        <f t="shared" si="431"/>
        <v>5.493953512</v>
      </c>
      <c r="F432" s="1">
        <f t="shared" si="431"/>
        <v>2.799654443</v>
      </c>
      <c r="G432" s="1">
        <f t="shared" si="431"/>
        <v>4.518843578</v>
      </c>
      <c r="H432" s="1">
        <f t="shared" si="431"/>
        <v>2.150008481</v>
      </c>
      <c r="I432" s="1">
        <f t="shared" si="431"/>
        <v>2.324888353</v>
      </c>
      <c r="J432" s="1">
        <f t="shared" si="431"/>
        <v>0.9492583445</v>
      </c>
      <c r="K432" s="1">
        <f t="shared" si="431"/>
        <v>2.385650652</v>
      </c>
      <c r="L432" s="1">
        <f t="shared" si="431"/>
        <v>4.360801842</v>
      </c>
      <c r="M432" s="1">
        <f t="shared" si="431"/>
        <v>1.32892573</v>
      </c>
      <c r="N432" s="1">
        <f t="shared" si="431"/>
        <v>2.126618889</v>
      </c>
      <c r="O432" s="1">
        <f t="shared" si="431"/>
        <v>3.160892513</v>
      </c>
      <c r="P432" s="1">
        <f t="shared" si="431"/>
        <v>1.333555593</v>
      </c>
      <c r="Q432" s="1">
        <f t="shared" si="431"/>
        <v>1.639260657</v>
      </c>
      <c r="R432" s="1">
        <f t="shared" si="431"/>
        <v>3.248048851</v>
      </c>
      <c r="S432" s="1">
        <f t="shared" si="431"/>
        <v>2.75441986</v>
      </c>
      <c r="T432" s="1">
        <f t="shared" si="431"/>
        <v>3.810562292</v>
      </c>
      <c r="U432" s="1">
        <f t="shared" si="431"/>
        <v>2.993216623</v>
      </c>
    </row>
    <row r="433">
      <c r="A433" s="3">
        <f>IFERROR(__xludf.DUMMYFUNCTION("""COMPUTED_VALUE"""),44352.0)</f>
        <v>44352</v>
      </c>
      <c r="B433" s="1">
        <f t="shared" ref="B433:U433" si="432">IF($A433&gt;0,Megyeinapi!B433/'megyelakosság'!B$2*100000," ")</f>
        <v>2.787622954</v>
      </c>
      <c r="C433" s="1">
        <f t="shared" si="432"/>
        <v>2.784669836</v>
      </c>
      <c r="D433" s="1">
        <f t="shared" si="432"/>
        <v>2.420267319</v>
      </c>
      <c r="E433" s="1">
        <f t="shared" si="432"/>
        <v>6.278804013</v>
      </c>
      <c r="F433" s="1">
        <f t="shared" si="432"/>
        <v>1.999753173</v>
      </c>
      <c r="G433" s="1">
        <f t="shared" si="432"/>
        <v>2.76151552</v>
      </c>
      <c r="H433" s="1">
        <f t="shared" si="432"/>
        <v>3.344457636</v>
      </c>
      <c r="I433" s="1">
        <f t="shared" si="432"/>
        <v>2.747595326</v>
      </c>
      <c r="J433" s="1">
        <f t="shared" si="432"/>
        <v>0.7594066756</v>
      </c>
      <c r="K433" s="1">
        <f t="shared" si="432"/>
        <v>4.089686832</v>
      </c>
      <c r="L433" s="1">
        <f t="shared" si="432"/>
        <v>1.635300691</v>
      </c>
      <c r="M433" s="1">
        <f t="shared" si="432"/>
        <v>0.9966942972</v>
      </c>
      <c r="N433" s="1">
        <f t="shared" si="432"/>
        <v>6.911511388</v>
      </c>
      <c r="O433" s="1">
        <f t="shared" si="432"/>
        <v>4.548601421</v>
      </c>
      <c r="P433" s="1">
        <f t="shared" si="432"/>
        <v>0.6667777963</v>
      </c>
      <c r="Q433" s="1">
        <f t="shared" si="432"/>
        <v>2.003540803</v>
      </c>
      <c r="R433" s="1">
        <f t="shared" si="432"/>
        <v>4.176062808</v>
      </c>
      <c r="S433" s="1">
        <f t="shared" si="432"/>
        <v>5.902328272</v>
      </c>
      <c r="T433" s="1">
        <f t="shared" si="432"/>
        <v>3.517442116</v>
      </c>
      <c r="U433" s="1">
        <f t="shared" si="432"/>
        <v>3.367368701</v>
      </c>
    </row>
    <row r="434">
      <c r="A434" s="3">
        <f>IFERROR(__xludf.DUMMYFUNCTION("""COMPUTED_VALUE"""),44353.0)</f>
        <v>44353</v>
      </c>
      <c r="B434" s="1">
        <f t="shared" ref="B434:U434" si="433">IF($A434&gt;0,Megyeinapi!B434/'megyelakosság'!B$2*100000," ")</f>
        <v>0.7964637012</v>
      </c>
      <c r="C434" s="1">
        <f t="shared" si="433"/>
        <v>1.113867934</v>
      </c>
      <c r="D434" s="1">
        <f t="shared" si="433"/>
        <v>1.512667074</v>
      </c>
      <c r="E434" s="1">
        <f t="shared" si="433"/>
        <v>1.569701003</v>
      </c>
      <c r="F434" s="1">
        <f t="shared" si="433"/>
        <v>1.599802539</v>
      </c>
      <c r="G434" s="1">
        <f t="shared" si="433"/>
        <v>1.757328058</v>
      </c>
      <c r="H434" s="1">
        <f t="shared" si="433"/>
        <v>1.433338987</v>
      </c>
      <c r="I434" s="1">
        <f t="shared" si="433"/>
        <v>2.113534866</v>
      </c>
      <c r="J434" s="1">
        <f t="shared" si="433"/>
        <v>0.5695550067</v>
      </c>
      <c r="K434" s="1">
        <f t="shared" si="433"/>
        <v>1.022421708</v>
      </c>
      <c r="L434" s="1">
        <f t="shared" si="433"/>
        <v>0.5451002303</v>
      </c>
      <c r="M434" s="1">
        <f t="shared" si="433"/>
        <v>0.6644628648</v>
      </c>
      <c r="N434" s="1">
        <f t="shared" si="433"/>
        <v>2.126618889</v>
      </c>
      <c r="O434" s="1">
        <f t="shared" si="433"/>
        <v>2.081563362</v>
      </c>
      <c r="P434" s="1">
        <f t="shared" si="433"/>
        <v>1.666944491</v>
      </c>
      <c r="Q434" s="1">
        <f t="shared" si="433"/>
        <v>0.546420219</v>
      </c>
      <c r="R434" s="1">
        <f t="shared" si="433"/>
        <v>0</v>
      </c>
      <c r="S434" s="1">
        <f t="shared" si="433"/>
        <v>3.147908412</v>
      </c>
      <c r="T434" s="1">
        <f t="shared" si="433"/>
        <v>1.465600882</v>
      </c>
      <c r="U434" s="1">
        <f t="shared" si="433"/>
        <v>0.3741520779</v>
      </c>
    </row>
    <row r="435">
      <c r="A435" s="3">
        <f>IFERROR(__xludf.DUMMYFUNCTION("""COMPUTED_VALUE"""),44354.0)</f>
        <v>44354</v>
      </c>
      <c r="B435" s="1">
        <f t="shared" ref="B435:U435" si="434">IF($A435&gt;0,Megyeinapi!B435/'megyelakosság'!B$2*100000," ")</f>
        <v>0.5973477759</v>
      </c>
      <c r="C435" s="1">
        <f t="shared" si="434"/>
        <v>0.2784669836</v>
      </c>
      <c r="D435" s="1">
        <f t="shared" si="434"/>
        <v>3.025334148</v>
      </c>
      <c r="E435" s="1">
        <f t="shared" si="434"/>
        <v>1.883641204</v>
      </c>
      <c r="F435" s="1">
        <f t="shared" si="434"/>
        <v>0.5142222446</v>
      </c>
      <c r="G435" s="1">
        <f t="shared" si="434"/>
        <v>1.506281193</v>
      </c>
      <c r="H435" s="1">
        <f t="shared" si="434"/>
        <v>0.7166694935</v>
      </c>
      <c r="I435" s="1">
        <f t="shared" si="434"/>
        <v>0.4227069732</v>
      </c>
      <c r="J435" s="1">
        <f t="shared" si="434"/>
        <v>0.3797033378</v>
      </c>
      <c r="K435" s="1">
        <f t="shared" si="434"/>
        <v>0</v>
      </c>
      <c r="L435" s="1">
        <f t="shared" si="434"/>
        <v>0.8176503455</v>
      </c>
      <c r="M435" s="1">
        <f t="shared" si="434"/>
        <v>0.6644628648</v>
      </c>
      <c r="N435" s="1">
        <f t="shared" si="434"/>
        <v>2.126618889</v>
      </c>
      <c r="O435" s="1">
        <f t="shared" si="434"/>
        <v>0.925139272</v>
      </c>
      <c r="P435" s="1">
        <f t="shared" si="434"/>
        <v>0.3333888981</v>
      </c>
      <c r="Q435" s="1">
        <f t="shared" si="434"/>
        <v>0.546420219</v>
      </c>
      <c r="R435" s="1">
        <f t="shared" si="434"/>
        <v>0.9280139573</v>
      </c>
      <c r="S435" s="1">
        <f t="shared" si="434"/>
        <v>0.3934885515</v>
      </c>
      <c r="T435" s="1">
        <f t="shared" si="434"/>
        <v>1.172480705</v>
      </c>
      <c r="U435" s="1">
        <f t="shared" si="434"/>
        <v>0.3741520779</v>
      </c>
    </row>
    <row r="436">
      <c r="A436" s="3">
        <f>IFERROR(__xludf.DUMMYFUNCTION("""COMPUTED_VALUE"""),44355.0)</f>
        <v>44355</v>
      </c>
      <c r="B436" s="1">
        <f t="shared" ref="B436:U436" si="435">IF($A436&gt;0,Megyeinapi!B436/'megyelakosság'!B$2*100000," ")</f>
        <v>0.9955796265</v>
      </c>
      <c r="C436" s="1">
        <f t="shared" si="435"/>
        <v>1.392334918</v>
      </c>
      <c r="D436" s="1">
        <f t="shared" si="435"/>
        <v>1.512667074</v>
      </c>
      <c r="E436" s="1">
        <f t="shared" si="435"/>
        <v>1.412730903</v>
      </c>
      <c r="F436" s="1">
        <f t="shared" si="435"/>
        <v>0.5142222446</v>
      </c>
      <c r="G436" s="1">
        <f t="shared" si="435"/>
        <v>0.7531405963</v>
      </c>
      <c r="H436" s="1">
        <f t="shared" si="435"/>
        <v>0.4777796624</v>
      </c>
      <c r="I436" s="1">
        <f t="shared" si="435"/>
        <v>0.2113534866</v>
      </c>
      <c r="J436" s="1">
        <f t="shared" si="435"/>
        <v>1.328961682</v>
      </c>
      <c r="K436" s="1">
        <f t="shared" si="435"/>
        <v>1.70403618</v>
      </c>
      <c r="L436" s="1">
        <f t="shared" si="435"/>
        <v>1.907850806</v>
      </c>
      <c r="M436" s="1">
        <f t="shared" si="435"/>
        <v>1.661157162</v>
      </c>
      <c r="N436" s="1">
        <f t="shared" si="435"/>
        <v>1.063309444</v>
      </c>
      <c r="O436" s="1">
        <f t="shared" si="435"/>
        <v>1.696088665</v>
      </c>
      <c r="P436" s="1">
        <f t="shared" si="435"/>
        <v>0.3333888981</v>
      </c>
      <c r="Q436" s="1">
        <f t="shared" si="435"/>
        <v>1.639260657</v>
      </c>
      <c r="R436" s="1">
        <f t="shared" si="435"/>
        <v>1.856027915</v>
      </c>
      <c r="S436" s="1">
        <f t="shared" si="435"/>
        <v>2.75441986</v>
      </c>
      <c r="T436" s="1">
        <f t="shared" si="435"/>
        <v>1.758721058</v>
      </c>
      <c r="U436" s="1">
        <f t="shared" si="435"/>
        <v>1.122456234</v>
      </c>
    </row>
    <row r="437">
      <c r="A437" s="3">
        <f>IFERROR(__xludf.DUMMYFUNCTION("""COMPUTED_VALUE"""),44356.0)</f>
        <v>44356</v>
      </c>
      <c r="B437" s="1">
        <f t="shared" ref="B437:U437" si="436">IF($A437&gt;0,Megyeinapi!B437/'megyelakosság'!B$2*100000," ")</f>
        <v>1.393811477</v>
      </c>
      <c r="C437" s="1">
        <f t="shared" si="436"/>
        <v>1.949268885</v>
      </c>
      <c r="D437" s="1">
        <f t="shared" si="436"/>
        <v>0.6050668296</v>
      </c>
      <c r="E437" s="1">
        <f t="shared" si="436"/>
        <v>3.296372107</v>
      </c>
      <c r="F437" s="1">
        <f t="shared" si="436"/>
        <v>1.371259319</v>
      </c>
      <c r="G437" s="1">
        <f t="shared" si="436"/>
        <v>1.506281193</v>
      </c>
      <c r="H437" s="1">
        <f t="shared" si="436"/>
        <v>1.433338987</v>
      </c>
      <c r="I437" s="1">
        <f t="shared" si="436"/>
        <v>2.113534866</v>
      </c>
      <c r="J437" s="1">
        <f t="shared" si="436"/>
        <v>0.9492583445</v>
      </c>
      <c r="K437" s="1">
        <f t="shared" si="436"/>
        <v>1.363228944</v>
      </c>
      <c r="L437" s="1">
        <f t="shared" si="436"/>
        <v>1.635300691</v>
      </c>
      <c r="M437" s="1">
        <f t="shared" si="436"/>
        <v>3.654545757</v>
      </c>
      <c r="N437" s="1">
        <f t="shared" si="436"/>
        <v>3.721583055</v>
      </c>
      <c r="O437" s="1">
        <f t="shared" si="436"/>
        <v>2.852512755</v>
      </c>
      <c r="P437" s="1">
        <f t="shared" si="436"/>
        <v>0.3333888981</v>
      </c>
      <c r="Q437" s="1">
        <f t="shared" si="436"/>
        <v>0.546420219</v>
      </c>
      <c r="R437" s="1">
        <f t="shared" si="436"/>
        <v>1.392020936</v>
      </c>
      <c r="S437" s="1">
        <f t="shared" si="436"/>
        <v>3.541396963</v>
      </c>
      <c r="T437" s="1">
        <f t="shared" si="436"/>
        <v>1.758721058</v>
      </c>
      <c r="U437" s="1">
        <f t="shared" si="436"/>
        <v>1.496608311</v>
      </c>
    </row>
    <row r="438">
      <c r="A438" s="3">
        <f>IFERROR(__xludf.DUMMYFUNCTION("""COMPUTED_VALUE"""),44357.0)</f>
        <v>44357</v>
      </c>
      <c r="B438" s="1">
        <f t="shared" ref="B438:U438" si="437">IF($A438&gt;0,Megyeinapi!B438/'megyelakosság'!B$2*100000," ")</f>
        <v>0.7964637012</v>
      </c>
      <c r="C438" s="1">
        <f t="shared" si="437"/>
        <v>1.670801901</v>
      </c>
      <c r="D438" s="1">
        <f t="shared" si="437"/>
        <v>2.117733904</v>
      </c>
      <c r="E438" s="1">
        <f t="shared" si="437"/>
        <v>2.825461806</v>
      </c>
      <c r="F438" s="1">
        <f t="shared" si="437"/>
        <v>1.942617368</v>
      </c>
      <c r="G438" s="1">
        <f t="shared" si="437"/>
        <v>0.7531405963</v>
      </c>
      <c r="H438" s="1">
        <f t="shared" si="437"/>
        <v>0.9555593247</v>
      </c>
      <c r="I438" s="1">
        <f t="shared" si="437"/>
        <v>1.902181379</v>
      </c>
      <c r="J438" s="1">
        <f t="shared" si="437"/>
        <v>1.518813351</v>
      </c>
      <c r="K438" s="1">
        <f t="shared" si="437"/>
        <v>3.067265124</v>
      </c>
      <c r="L438" s="1">
        <f t="shared" si="437"/>
        <v>3.815701612</v>
      </c>
      <c r="M438" s="1">
        <f t="shared" si="437"/>
        <v>1.32892573</v>
      </c>
      <c r="N438" s="1">
        <f t="shared" si="437"/>
        <v>2.126618889</v>
      </c>
      <c r="O438" s="1">
        <f t="shared" si="437"/>
        <v>3.777652027</v>
      </c>
      <c r="P438" s="1">
        <f t="shared" si="437"/>
        <v>1.333555593</v>
      </c>
      <c r="Q438" s="1">
        <f t="shared" si="437"/>
        <v>0.364280146</v>
      </c>
      <c r="R438" s="1">
        <f t="shared" si="437"/>
        <v>1.392020936</v>
      </c>
      <c r="S438" s="1">
        <f t="shared" si="437"/>
        <v>1.967442757</v>
      </c>
      <c r="T438" s="1">
        <f t="shared" si="437"/>
        <v>2.931201763</v>
      </c>
      <c r="U438" s="1">
        <f t="shared" si="437"/>
        <v>3.367368701</v>
      </c>
    </row>
    <row r="439">
      <c r="A439" s="3">
        <f>IFERROR(__xludf.DUMMYFUNCTION("""COMPUTED_VALUE"""),44358.0)</f>
        <v>44358</v>
      </c>
      <c r="B439" s="1">
        <f t="shared" ref="B439:U439" si="438">IF($A439&gt;0,Megyeinapi!B439/'megyelakosság'!B$2*100000," ")</f>
        <v>1.792043328</v>
      </c>
      <c r="C439" s="1">
        <f t="shared" si="438"/>
        <v>2.506202852</v>
      </c>
      <c r="D439" s="1">
        <f t="shared" si="438"/>
        <v>1.512667074</v>
      </c>
      <c r="E439" s="1">
        <f t="shared" si="438"/>
        <v>3.139402007</v>
      </c>
      <c r="F439" s="1">
        <f t="shared" si="438"/>
        <v>1.371259319</v>
      </c>
      <c r="G439" s="1">
        <f t="shared" si="438"/>
        <v>3.263609251</v>
      </c>
      <c r="H439" s="1">
        <f t="shared" si="438"/>
        <v>3.105567805</v>
      </c>
      <c r="I439" s="1">
        <f t="shared" si="438"/>
        <v>2.536241839</v>
      </c>
      <c r="J439" s="1">
        <f t="shared" si="438"/>
        <v>1.898516689</v>
      </c>
      <c r="K439" s="1">
        <f t="shared" si="438"/>
        <v>1.70403618</v>
      </c>
      <c r="L439" s="1">
        <f t="shared" si="438"/>
        <v>2.452951036</v>
      </c>
      <c r="M439" s="1">
        <f t="shared" si="438"/>
        <v>3.322314324</v>
      </c>
      <c r="N439" s="1">
        <f t="shared" si="438"/>
        <v>2.126618889</v>
      </c>
      <c r="O439" s="1">
        <f t="shared" si="438"/>
        <v>2.004468423</v>
      </c>
      <c r="P439" s="1">
        <f t="shared" si="438"/>
        <v>0</v>
      </c>
      <c r="Q439" s="1">
        <f t="shared" si="438"/>
        <v>1.457120584</v>
      </c>
      <c r="R439" s="1">
        <f t="shared" si="438"/>
        <v>1.392020936</v>
      </c>
      <c r="S439" s="1">
        <f t="shared" si="438"/>
        <v>3.147908412</v>
      </c>
      <c r="T439" s="1">
        <f t="shared" si="438"/>
        <v>2.051841234</v>
      </c>
      <c r="U439" s="1">
        <f t="shared" si="438"/>
        <v>1.496608311</v>
      </c>
    </row>
    <row r="440">
      <c r="A440" s="3">
        <f>IFERROR(__xludf.DUMMYFUNCTION("""COMPUTED_VALUE"""),44359.0)</f>
        <v>44359</v>
      </c>
      <c r="B440" s="1">
        <f t="shared" ref="B440:U440" si="439">IF($A440&gt;0,Megyeinapi!B440/'megyelakosság'!B$2*100000," ")</f>
        <v>0</v>
      </c>
      <c r="C440" s="1">
        <f t="shared" si="439"/>
        <v>0</v>
      </c>
      <c r="D440" s="1">
        <f t="shared" si="439"/>
        <v>0</v>
      </c>
      <c r="E440" s="1">
        <f t="shared" si="439"/>
        <v>0</v>
      </c>
      <c r="F440" s="1">
        <f t="shared" si="439"/>
        <v>0</v>
      </c>
      <c r="G440" s="1">
        <f t="shared" si="439"/>
        <v>0</v>
      </c>
      <c r="H440" s="1">
        <f t="shared" si="439"/>
        <v>0</v>
      </c>
      <c r="I440" s="1">
        <f t="shared" si="439"/>
        <v>0</v>
      </c>
      <c r="J440" s="1">
        <f t="shared" si="439"/>
        <v>0</v>
      </c>
      <c r="K440" s="1">
        <f t="shared" si="439"/>
        <v>0</v>
      </c>
      <c r="L440" s="1">
        <f t="shared" si="439"/>
        <v>0</v>
      </c>
      <c r="M440" s="1">
        <f t="shared" si="439"/>
        <v>0</v>
      </c>
      <c r="N440" s="1">
        <f t="shared" si="439"/>
        <v>0</v>
      </c>
      <c r="O440" s="1">
        <f t="shared" si="439"/>
        <v>0</v>
      </c>
      <c r="P440" s="1">
        <f t="shared" si="439"/>
        <v>0</v>
      </c>
      <c r="Q440" s="1">
        <f t="shared" si="439"/>
        <v>0</v>
      </c>
      <c r="R440" s="1">
        <f t="shared" si="439"/>
        <v>0</v>
      </c>
      <c r="S440" s="1">
        <f t="shared" si="439"/>
        <v>0</v>
      </c>
      <c r="T440" s="1">
        <f t="shared" si="439"/>
        <v>0</v>
      </c>
      <c r="U440" s="1">
        <f t="shared" si="439"/>
        <v>0</v>
      </c>
    </row>
    <row r="441">
      <c r="A441" s="3">
        <f>IFERROR(__xludf.DUMMYFUNCTION("""COMPUTED_VALUE"""),44360.0)</f>
        <v>44360</v>
      </c>
      <c r="B441" s="1">
        <f t="shared" ref="B441:U441" si="440">IF($A441&gt;0,Megyeinapi!B441/'megyelakosság'!B$2*100000," ")</f>
        <v>0</v>
      </c>
      <c r="C441" s="1">
        <f t="shared" si="440"/>
        <v>0</v>
      </c>
      <c r="D441" s="1">
        <f t="shared" si="440"/>
        <v>0</v>
      </c>
      <c r="E441" s="1">
        <f t="shared" si="440"/>
        <v>0</v>
      </c>
      <c r="F441" s="1">
        <f t="shared" si="440"/>
        <v>0</v>
      </c>
      <c r="G441" s="1">
        <f t="shared" si="440"/>
        <v>0</v>
      </c>
      <c r="H441" s="1">
        <f t="shared" si="440"/>
        <v>0</v>
      </c>
      <c r="I441" s="1">
        <f t="shared" si="440"/>
        <v>0</v>
      </c>
      <c r="J441" s="1">
        <f t="shared" si="440"/>
        <v>0</v>
      </c>
      <c r="K441" s="1">
        <f t="shared" si="440"/>
        <v>0</v>
      </c>
      <c r="L441" s="1">
        <f t="shared" si="440"/>
        <v>0</v>
      </c>
      <c r="M441" s="1">
        <f t="shared" si="440"/>
        <v>0</v>
      </c>
      <c r="N441" s="1">
        <f t="shared" si="440"/>
        <v>0</v>
      </c>
      <c r="O441" s="1">
        <f t="shared" si="440"/>
        <v>0</v>
      </c>
      <c r="P441" s="1">
        <f t="shared" si="440"/>
        <v>0</v>
      </c>
      <c r="Q441" s="1">
        <f t="shared" si="440"/>
        <v>0</v>
      </c>
      <c r="R441" s="1">
        <f t="shared" si="440"/>
        <v>0</v>
      </c>
      <c r="S441" s="1">
        <f t="shared" si="440"/>
        <v>0</v>
      </c>
      <c r="T441" s="1">
        <f t="shared" si="440"/>
        <v>0</v>
      </c>
      <c r="U441" s="1">
        <f t="shared" si="440"/>
        <v>0</v>
      </c>
    </row>
    <row r="442">
      <c r="A442" s="3">
        <f>IFERROR(__xludf.DUMMYFUNCTION("""COMPUTED_VALUE"""),44361.0)</f>
        <v>44361</v>
      </c>
      <c r="B442" s="1">
        <f t="shared" ref="B442:U442" si="441">IF($A442&gt;0,Megyeinapi!B442/'megyelakosság'!B$2*100000," ")</f>
        <v>2.787622954</v>
      </c>
      <c r="C442" s="1">
        <f t="shared" si="441"/>
        <v>2.506202852</v>
      </c>
      <c r="D442" s="1">
        <f t="shared" si="441"/>
        <v>2.420267319</v>
      </c>
      <c r="E442" s="1">
        <f t="shared" si="441"/>
        <v>5.336983411</v>
      </c>
      <c r="F442" s="1">
        <f t="shared" si="441"/>
        <v>2.228296393</v>
      </c>
      <c r="G442" s="1">
        <f t="shared" si="441"/>
        <v>1.757328058</v>
      </c>
      <c r="H442" s="1">
        <f t="shared" si="441"/>
        <v>0.9555593247</v>
      </c>
      <c r="I442" s="1">
        <f t="shared" si="441"/>
        <v>1.690827893</v>
      </c>
      <c r="J442" s="1">
        <f t="shared" si="441"/>
        <v>3.227478371</v>
      </c>
      <c r="K442" s="1">
        <f t="shared" si="441"/>
        <v>3.067265124</v>
      </c>
      <c r="L442" s="1">
        <f t="shared" si="441"/>
        <v>3.815701612</v>
      </c>
      <c r="M442" s="1">
        <f t="shared" si="441"/>
        <v>2.657851459</v>
      </c>
      <c r="N442" s="1">
        <f t="shared" si="441"/>
        <v>3.189928333</v>
      </c>
      <c r="O442" s="1">
        <f t="shared" si="441"/>
        <v>2.929607695</v>
      </c>
      <c r="P442" s="1">
        <f t="shared" si="441"/>
        <v>2.000333389</v>
      </c>
      <c r="Q442" s="1">
        <f t="shared" si="441"/>
        <v>1.457120584</v>
      </c>
      <c r="R442" s="1">
        <f t="shared" si="441"/>
        <v>1.856027915</v>
      </c>
      <c r="S442" s="1">
        <f t="shared" si="441"/>
        <v>1.573954206</v>
      </c>
      <c r="T442" s="1">
        <f t="shared" si="441"/>
        <v>2.931201763</v>
      </c>
      <c r="U442" s="1">
        <f t="shared" si="441"/>
        <v>2.993216623</v>
      </c>
    </row>
    <row r="443">
      <c r="A443" s="3">
        <f>IFERROR(__xludf.DUMMYFUNCTION("""COMPUTED_VALUE"""),44362.0)</f>
        <v>44362</v>
      </c>
      <c r="B443" s="1">
        <f t="shared" ref="B443:U443" si="442">IF($A443&gt;0,Megyeinapi!B443/'megyelakosság'!B$2*100000," ")</f>
        <v>0.7964637012</v>
      </c>
      <c r="C443" s="1">
        <f t="shared" si="442"/>
        <v>0.8354009507</v>
      </c>
      <c r="D443" s="1">
        <f t="shared" si="442"/>
        <v>1.210133659</v>
      </c>
      <c r="E443" s="1">
        <f t="shared" si="442"/>
        <v>1.569701003</v>
      </c>
      <c r="F443" s="1">
        <f t="shared" si="442"/>
        <v>0.2856790248</v>
      </c>
      <c r="G443" s="1">
        <f t="shared" si="442"/>
        <v>0</v>
      </c>
      <c r="H443" s="1">
        <f t="shared" si="442"/>
        <v>0</v>
      </c>
      <c r="I443" s="1">
        <f t="shared" si="442"/>
        <v>0.2113534866</v>
      </c>
      <c r="J443" s="1">
        <f t="shared" si="442"/>
        <v>0.3797033378</v>
      </c>
      <c r="K443" s="1">
        <f t="shared" si="442"/>
        <v>0.681614472</v>
      </c>
      <c r="L443" s="1">
        <f t="shared" si="442"/>
        <v>0.5451002303</v>
      </c>
      <c r="M443" s="1">
        <f t="shared" si="442"/>
        <v>0.6644628648</v>
      </c>
      <c r="N443" s="1">
        <f t="shared" si="442"/>
        <v>1.063309444</v>
      </c>
      <c r="O443" s="1">
        <f t="shared" si="442"/>
        <v>0.462569636</v>
      </c>
      <c r="P443" s="1">
        <f t="shared" si="442"/>
        <v>0</v>
      </c>
      <c r="Q443" s="1">
        <f t="shared" si="442"/>
        <v>1.274980511</v>
      </c>
      <c r="R443" s="1">
        <f t="shared" si="442"/>
        <v>0.9280139573</v>
      </c>
      <c r="S443" s="1">
        <f t="shared" si="442"/>
        <v>0</v>
      </c>
      <c r="T443" s="1">
        <f t="shared" si="442"/>
        <v>0.879360529</v>
      </c>
      <c r="U443" s="1">
        <f t="shared" si="442"/>
        <v>0.7483041557</v>
      </c>
    </row>
    <row r="444">
      <c r="A444" s="3">
        <f>IFERROR(__xludf.DUMMYFUNCTION("""COMPUTED_VALUE"""),44363.0)</f>
        <v>44363</v>
      </c>
      <c r="B444" s="1">
        <f t="shared" ref="B444:U444" si="443">IF($A444&gt;0,Megyeinapi!B444/'megyelakosság'!B$2*100000," ")</f>
        <v>0.3982318506</v>
      </c>
      <c r="C444" s="1">
        <f t="shared" si="443"/>
        <v>1.113867934</v>
      </c>
      <c r="D444" s="1">
        <f t="shared" si="443"/>
        <v>1.210133659</v>
      </c>
      <c r="E444" s="1">
        <f t="shared" si="443"/>
        <v>1.412730903</v>
      </c>
      <c r="F444" s="1">
        <f t="shared" si="443"/>
        <v>1.428395124</v>
      </c>
      <c r="G444" s="1">
        <f t="shared" si="443"/>
        <v>0.5020937309</v>
      </c>
      <c r="H444" s="1">
        <f t="shared" si="443"/>
        <v>0.7166694935</v>
      </c>
      <c r="I444" s="1">
        <f t="shared" si="443"/>
        <v>0.8454139464</v>
      </c>
      <c r="J444" s="1">
        <f t="shared" si="443"/>
        <v>0.3797033378</v>
      </c>
      <c r="K444" s="1">
        <f t="shared" si="443"/>
        <v>3.40807236</v>
      </c>
      <c r="L444" s="1">
        <f t="shared" si="443"/>
        <v>0.8176503455</v>
      </c>
      <c r="M444" s="1">
        <f t="shared" si="443"/>
        <v>2.990082892</v>
      </c>
      <c r="N444" s="1">
        <f t="shared" si="443"/>
        <v>1.594964166</v>
      </c>
      <c r="O444" s="1">
        <f t="shared" si="443"/>
        <v>0.7709493933</v>
      </c>
      <c r="P444" s="1">
        <f t="shared" si="443"/>
        <v>0.6667777963</v>
      </c>
      <c r="Q444" s="1">
        <f t="shared" si="443"/>
        <v>0.546420219</v>
      </c>
      <c r="R444" s="1">
        <f t="shared" si="443"/>
        <v>1.392020936</v>
      </c>
      <c r="S444" s="1">
        <f t="shared" si="443"/>
        <v>0.3934885515</v>
      </c>
      <c r="T444" s="1">
        <f t="shared" si="443"/>
        <v>2.051841234</v>
      </c>
      <c r="U444" s="1">
        <f t="shared" si="443"/>
        <v>0.3741520779</v>
      </c>
    </row>
    <row r="445">
      <c r="A445" s="3">
        <f>IFERROR(__xludf.DUMMYFUNCTION("""COMPUTED_VALUE"""),44364.0)</f>
        <v>44364</v>
      </c>
      <c r="B445" s="1">
        <f t="shared" ref="B445:U445" si="444">IF($A445&gt;0,Megyeinapi!B445/'megyelakosság'!B$2*100000," ")</f>
        <v>0.5973477759</v>
      </c>
      <c r="C445" s="1">
        <f t="shared" si="444"/>
        <v>0.5569339671</v>
      </c>
      <c r="D445" s="1">
        <f t="shared" si="444"/>
        <v>1.512667074</v>
      </c>
      <c r="E445" s="1">
        <f t="shared" si="444"/>
        <v>1.883641204</v>
      </c>
      <c r="F445" s="1">
        <f t="shared" si="444"/>
        <v>0.8570370743</v>
      </c>
      <c r="G445" s="1">
        <f t="shared" si="444"/>
        <v>1.004187462</v>
      </c>
      <c r="H445" s="1">
        <f t="shared" si="444"/>
        <v>1.672228818</v>
      </c>
      <c r="I445" s="1">
        <f t="shared" si="444"/>
        <v>1.26812092</v>
      </c>
      <c r="J445" s="1">
        <f t="shared" si="444"/>
        <v>0.7594066756</v>
      </c>
      <c r="K445" s="1">
        <f t="shared" si="444"/>
        <v>1.70403618</v>
      </c>
      <c r="L445" s="1">
        <f t="shared" si="444"/>
        <v>0.8176503455</v>
      </c>
      <c r="M445" s="1">
        <f t="shared" si="444"/>
        <v>1.661157162</v>
      </c>
      <c r="N445" s="1">
        <f t="shared" si="444"/>
        <v>2.126618889</v>
      </c>
      <c r="O445" s="1">
        <f t="shared" si="444"/>
        <v>1.387708908</v>
      </c>
      <c r="P445" s="1">
        <f t="shared" si="444"/>
        <v>0.3333888981</v>
      </c>
      <c r="Q445" s="1">
        <f t="shared" si="444"/>
        <v>0.364280146</v>
      </c>
      <c r="R445" s="1">
        <f t="shared" si="444"/>
        <v>4.640069787</v>
      </c>
      <c r="S445" s="1">
        <f t="shared" si="444"/>
        <v>1.573954206</v>
      </c>
      <c r="T445" s="1">
        <f t="shared" si="444"/>
        <v>0.879360529</v>
      </c>
      <c r="U445" s="1">
        <f t="shared" si="444"/>
        <v>0</v>
      </c>
    </row>
    <row r="446">
      <c r="A446" s="3">
        <f>IFERROR(__xludf.DUMMYFUNCTION("""COMPUTED_VALUE"""),44365.0)</f>
        <v>44365</v>
      </c>
      <c r="B446" s="1">
        <f t="shared" ref="B446:U446" si="445">IF($A446&gt;0,Megyeinapi!B446/'megyelakosság'!B$2*100000," ")</f>
        <v>0.3982318506</v>
      </c>
      <c r="C446" s="1">
        <f t="shared" si="445"/>
        <v>1.113867934</v>
      </c>
      <c r="D446" s="1">
        <f t="shared" si="445"/>
        <v>3.630400978</v>
      </c>
      <c r="E446" s="1">
        <f t="shared" si="445"/>
        <v>1.412730903</v>
      </c>
      <c r="F446" s="1">
        <f t="shared" si="445"/>
        <v>1.085580294</v>
      </c>
      <c r="G446" s="1">
        <f t="shared" si="445"/>
        <v>0.5020937309</v>
      </c>
      <c r="H446" s="1">
        <f t="shared" si="445"/>
        <v>0.9555593247</v>
      </c>
      <c r="I446" s="1">
        <f t="shared" si="445"/>
        <v>0.4227069732</v>
      </c>
      <c r="J446" s="1">
        <f t="shared" si="445"/>
        <v>1.70866502</v>
      </c>
      <c r="K446" s="1">
        <f t="shared" si="445"/>
        <v>1.363228944</v>
      </c>
      <c r="L446" s="1">
        <f t="shared" si="445"/>
        <v>0.8176503455</v>
      </c>
      <c r="M446" s="1">
        <f t="shared" si="445"/>
        <v>0.6644628648</v>
      </c>
      <c r="N446" s="1">
        <f t="shared" si="445"/>
        <v>1.063309444</v>
      </c>
      <c r="O446" s="1">
        <f t="shared" si="445"/>
        <v>1.15642409</v>
      </c>
      <c r="P446" s="1">
        <f t="shared" si="445"/>
        <v>1.333555593</v>
      </c>
      <c r="Q446" s="1">
        <f t="shared" si="445"/>
        <v>0.546420219</v>
      </c>
      <c r="R446" s="1">
        <f t="shared" si="445"/>
        <v>0.9280139573</v>
      </c>
      <c r="S446" s="1">
        <f t="shared" si="445"/>
        <v>1.180465654</v>
      </c>
      <c r="T446" s="1">
        <f t="shared" si="445"/>
        <v>1.172480705</v>
      </c>
      <c r="U446" s="1">
        <f t="shared" si="445"/>
        <v>0.3741520779</v>
      </c>
    </row>
    <row r="447">
      <c r="A447" s="3">
        <f>IFERROR(__xludf.DUMMYFUNCTION("""COMPUTED_VALUE"""),44366.0)</f>
        <v>44366</v>
      </c>
      <c r="B447" s="1">
        <f t="shared" ref="B447:U447" si="446">IF($A447&gt;0,Megyeinapi!B447/'megyelakosság'!B$2*100000," ")</f>
        <v>0</v>
      </c>
      <c r="C447" s="1">
        <f t="shared" si="446"/>
        <v>0</v>
      </c>
      <c r="D447" s="1">
        <f t="shared" si="446"/>
        <v>0</v>
      </c>
      <c r="E447" s="1">
        <f t="shared" si="446"/>
        <v>0</v>
      </c>
      <c r="F447" s="1">
        <f t="shared" si="446"/>
        <v>0</v>
      </c>
      <c r="G447" s="1">
        <f t="shared" si="446"/>
        <v>0</v>
      </c>
      <c r="H447" s="1">
        <f t="shared" si="446"/>
        <v>0</v>
      </c>
      <c r="I447" s="1">
        <f t="shared" si="446"/>
        <v>0</v>
      </c>
      <c r="J447" s="1">
        <f t="shared" si="446"/>
        <v>0</v>
      </c>
      <c r="K447" s="1">
        <f t="shared" si="446"/>
        <v>0</v>
      </c>
      <c r="L447" s="1">
        <f t="shared" si="446"/>
        <v>0</v>
      </c>
      <c r="M447" s="1">
        <f t="shared" si="446"/>
        <v>0</v>
      </c>
      <c r="N447" s="1">
        <f t="shared" si="446"/>
        <v>0</v>
      </c>
      <c r="O447" s="1">
        <f t="shared" si="446"/>
        <v>0</v>
      </c>
      <c r="P447" s="1">
        <f t="shared" si="446"/>
        <v>0</v>
      </c>
      <c r="Q447" s="1">
        <f t="shared" si="446"/>
        <v>0</v>
      </c>
      <c r="R447" s="1">
        <f t="shared" si="446"/>
        <v>0</v>
      </c>
      <c r="S447" s="1">
        <f t="shared" si="446"/>
        <v>0</v>
      </c>
      <c r="T447" s="1">
        <f t="shared" si="446"/>
        <v>0</v>
      </c>
      <c r="U447" s="1">
        <f t="shared" si="446"/>
        <v>0</v>
      </c>
    </row>
    <row r="448">
      <c r="A448" s="3">
        <f>IFERROR(__xludf.DUMMYFUNCTION("""COMPUTED_VALUE"""),44367.0)</f>
        <v>44367</v>
      </c>
      <c r="B448" s="1">
        <f t="shared" ref="B448:U448" si="447">IF($A448&gt;0,Megyeinapi!B448/'megyelakosság'!B$2*100000," ")</f>
        <v>0</v>
      </c>
      <c r="C448" s="1">
        <f t="shared" si="447"/>
        <v>0</v>
      </c>
      <c r="D448" s="1">
        <f t="shared" si="447"/>
        <v>0</v>
      </c>
      <c r="E448" s="1">
        <f t="shared" si="447"/>
        <v>0</v>
      </c>
      <c r="F448" s="1">
        <f t="shared" si="447"/>
        <v>0</v>
      </c>
      <c r="G448" s="1">
        <f t="shared" si="447"/>
        <v>0</v>
      </c>
      <c r="H448" s="1">
        <f t="shared" si="447"/>
        <v>0</v>
      </c>
      <c r="I448" s="1">
        <f t="shared" si="447"/>
        <v>0</v>
      </c>
      <c r="J448" s="1">
        <f t="shared" si="447"/>
        <v>0</v>
      </c>
      <c r="K448" s="1">
        <f t="shared" si="447"/>
        <v>0</v>
      </c>
      <c r="L448" s="1">
        <f t="shared" si="447"/>
        <v>0</v>
      </c>
      <c r="M448" s="1">
        <f t="shared" si="447"/>
        <v>0</v>
      </c>
      <c r="N448" s="1">
        <f t="shared" si="447"/>
        <v>0</v>
      </c>
      <c r="O448" s="1">
        <f t="shared" si="447"/>
        <v>0</v>
      </c>
      <c r="P448" s="1">
        <f t="shared" si="447"/>
        <v>0</v>
      </c>
      <c r="Q448" s="1">
        <f t="shared" si="447"/>
        <v>0</v>
      </c>
      <c r="R448" s="1">
        <f t="shared" si="447"/>
        <v>0</v>
      </c>
      <c r="S448" s="1">
        <f t="shared" si="447"/>
        <v>0</v>
      </c>
      <c r="T448" s="1">
        <f t="shared" si="447"/>
        <v>0</v>
      </c>
      <c r="U448" s="1">
        <f t="shared" si="447"/>
        <v>0</v>
      </c>
    </row>
    <row r="449">
      <c r="A449" s="3">
        <f>IFERROR(__xludf.DUMMYFUNCTION("""COMPUTED_VALUE"""),44368.0)</f>
        <v>44368</v>
      </c>
      <c r="B449" s="1">
        <f t="shared" ref="B449:U449" si="448">IF($A449&gt;0,Megyeinapi!B449/'megyelakosság'!B$2*100000," ")</f>
        <v>2.389391104</v>
      </c>
      <c r="C449" s="1">
        <f t="shared" si="448"/>
        <v>0.2784669836</v>
      </c>
      <c r="D449" s="1">
        <f t="shared" si="448"/>
        <v>2.117733904</v>
      </c>
      <c r="E449" s="1">
        <f t="shared" si="448"/>
        <v>3.296372107</v>
      </c>
      <c r="F449" s="1">
        <f t="shared" si="448"/>
        <v>2.342568003</v>
      </c>
      <c r="G449" s="1">
        <f t="shared" si="448"/>
        <v>0.2510468654</v>
      </c>
      <c r="H449" s="1">
        <f t="shared" si="448"/>
        <v>0.9555593247</v>
      </c>
      <c r="I449" s="1">
        <f t="shared" si="448"/>
        <v>1.26812092</v>
      </c>
      <c r="J449" s="1">
        <f t="shared" si="448"/>
        <v>3.607181709</v>
      </c>
      <c r="K449" s="1">
        <f t="shared" si="448"/>
        <v>3.40807236</v>
      </c>
      <c r="L449" s="1">
        <f t="shared" si="448"/>
        <v>2.452951036</v>
      </c>
      <c r="M449" s="1">
        <f t="shared" si="448"/>
        <v>1.32892573</v>
      </c>
      <c r="N449" s="1">
        <f t="shared" si="448"/>
        <v>3.721583055</v>
      </c>
      <c r="O449" s="1">
        <f t="shared" si="448"/>
        <v>2.544132998</v>
      </c>
      <c r="P449" s="1">
        <f t="shared" si="448"/>
        <v>0.3333888981</v>
      </c>
      <c r="Q449" s="1">
        <f t="shared" si="448"/>
        <v>2.185680876</v>
      </c>
      <c r="R449" s="1">
        <f t="shared" si="448"/>
        <v>0.4640069787</v>
      </c>
      <c r="S449" s="1">
        <f t="shared" si="448"/>
        <v>1.967442757</v>
      </c>
      <c r="T449" s="1">
        <f t="shared" si="448"/>
        <v>1.758721058</v>
      </c>
      <c r="U449" s="1">
        <f t="shared" si="448"/>
        <v>0.7483041557</v>
      </c>
    </row>
    <row r="450">
      <c r="A450" s="3">
        <f>IFERROR(__xludf.DUMMYFUNCTION("""COMPUTED_VALUE"""),44369.0)</f>
        <v>44369</v>
      </c>
      <c r="B450" s="1">
        <f t="shared" ref="B450:U450" si="449">IF($A450&gt;0,Megyeinapi!B450/'megyelakosság'!B$2*100000," ")</f>
        <v>0.5973477759</v>
      </c>
      <c r="C450" s="1">
        <f t="shared" si="449"/>
        <v>0.8354009507</v>
      </c>
      <c r="D450" s="1">
        <f t="shared" si="449"/>
        <v>0.3025334148</v>
      </c>
      <c r="E450" s="1">
        <f t="shared" si="449"/>
        <v>0.6278804013</v>
      </c>
      <c r="F450" s="1">
        <f t="shared" si="449"/>
        <v>0.4570864396</v>
      </c>
      <c r="G450" s="1">
        <f t="shared" si="449"/>
        <v>0.2510468654</v>
      </c>
      <c r="H450" s="1">
        <f t="shared" si="449"/>
        <v>0.7166694935</v>
      </c>
      <c r="I450" s="1">
        <f t="shared" si="449"/>
        <v>0.4227069732</v>
      </c>
      <c r="J450" s="1">
        <f t="shared" si="449"/>
        <v>0</v>
      </c>
      <c r="K450" s="1">
        <f t="shared" si="449"/>
        <v>0.340807236</v>
      </c>
      <c r="L450" s="1">
        <f t="shared" si="449"/>
        <v>0.5451002303</v>
      </c>
      <c r="M450" s="1">
        <f t="shared" si="449"/>
        <v>0.6644628648</v>
      </c>
      <c r="N450" s="1">
        <f t="shared" si="449"/>
        <v>1.063309444</v>
      </c>
      <c r="O450" s="1">
        <f t="shared" si="449"/>
        <v>0.693854454</v>
      </c>
      <c r="P450" s="1">
        <f t="shared" si="449"/>
        <v>0</v>
      </c>
      <c r="Q450" s="1">
        <f t="shared" si="449"/>
        <v>0.546420219</v>
      </c>
      <c r="R450" s="1">
        <f t="shared" si="449"/>
        <v>0.4640069787</v>
      </c>
      <c r="S450" s="1">
        <f t="shared" si="449"/>
        <v>2.360931309</v>
      </c>
      <c r="T450" s="1">
        <f t="shared" si="449"/>
        <v>0.5862403527</v>
      </c>
      <c r="U450" s="1">
        <f t="shared" si="449"/>
        <v>0.3741520779</v>
      </c>
    </row>
    <row r="451">
      <c r="A451" s="3">
        <f>IFERROR(__xludf.DUMMYFUNCTION("""COMPUTED_VALUE"""),44370.0)</f>
        <v>44370</v>
      </c>
      <c r="B451" s="1">
        <f t="shared" ref="B451:U451" si="450">IF($A451&gt;0,Megyeinapi!B451/'megyelakosság'!B$2*100000," ")</f>
        <v>1.194695552</v>
      </c>
      <c r="C451" s="1">
        <f t="shared" si="450"/>
        <v>0.5569339671</v>
      </c>
      <c r="D451" s="1">
        <f t="shared" si="450"/>
        <v>0.6050668296</v>
      </c>
      <c r="E451" s="1">
        <f t="shared" si="450"/>
        <v>1.098790702</v>
      </c>
      <c r="F451" s="1">
        <f t="shared" si="450"/>
        <v>1.199851904</v>
      </c>
      <c r="G451" s="1">
        <f t="shared" si="450"/>
        <v>0.2510468654</v>
      </c>
      <c r="H451" s="1">
        <f t="shared" si="450"/>
        <v>0</v>
      </c>
      <c r="I451" s="1">
        <f t="shared" si="450"/>
        <v>0.6340604598</v>
      </c>
      <c r="J451" s="1">
        <f t="shared" si="450"/>
        <v>0.1898516689</v>
      </c>
      <c r="K451" s="1">
        <f t="shared" si="450"/>
        <v>2.044843416</v>
      </c>
      <c r="L451" s="1">
        <f t="shared" si="450"/>
        <v>1.362750576</v>
      </c>
      <c r="M451" s="1">
        <f t="shared" si="450"/>
        <v>0.9966942972</v>
      </c>
      <c r="N451" s="1">
        <f t="shared" si="450"/>
        <v>1.063309444</v>
      </c>
      <c r="O451" s="1">
        <f t="shared" si="450"/>
        <v>1.541898787</v>
      </c>
      <c r="P451" s="1">
        <f t="shared" si="450"/>
        <v>0</v>
      </c>
      <c r="Q451" s="1">
        <f t="shared" si="450"/>
        <v>0.364280146</v>
      </c>
      <c r="R451" s="1">
        <f t="shared" si="450"/>
        <v>0.9280139573</v>
      </c>
      <c r="S451" s="1">
        <f t="shared" si="450"/>
        <v>0.7869771029</v>
      </c>
      <c r="T451" s="1">
        <f t="shared" si="450"/>
        <v>1.465600882</v>
      </c>
      <c r="U451" s="1">
        <f t="shared" si="450"/>
        <v>0.3741520779</v>
      </c>
    </row>
    <row r="452">
      <c r="A452" s="3">
        <f>IFERROR(__xludf.DUMMYFUNCTION("""COMPUTED_VALUE"""),44371.0)</f>
        <v>44371</v>
      </c>
      <c r="B452" s="1">
        <f t="shared" ref="B452:U452" si="451">IF($A452&gt;0,Megyeinapi!B452/'megyelakosság'!B$2*100000," ")</f>
        <v>1.592927402</v>
      </c>
      <c r="C452" s="1">
        <f t="shared" si="451"/>
        <v>0.8354009507</v>
      </c>
      <c r="D452" s="1">
        <f t="shared" si="451"/>
        <v>0.3025334148</v>
      </c>
      <c r="E452" s="1">
        <f t="shared" si="451"/>
        <v>0.6278804013</v>
      </c>
      <c r="F452" s="1">
        <f t="shared" si="451"/>
        <v>0.6284938545</v>
      </c>
      <c r="G452" s="1">
        <f t="shared" si="451"/>
        <v>0.5020937309</v>
      </c>
      <c r="H452" s="1">
        <f t="shared" si="451"/>
        <v>0</v>
      </c>
      <c r="I452" s="1">
        <f t="shared" si="451"/>
        <v>0.4227069732</v>
      </c>
      <c r="J452" s="1">
        <f t="shared" si="451"/>
        <v>0.3797033378</v>
      </c>
      <c r="K452" s="1">
        <f t="shared" si="451"/>
        <v>1.022421708</v>
      </c>
      <c r="L452" s="1">
        <f t="shared" si="451"/>
        <v>0.5451002303</v>
      </c>
      <c r="M452" s="1">
        <f t="shared" si="451"/>
        <v>0.9966942972</v>
      </c>
      <c r="N452" s="1">
        <f t="shared" si="451"/>
        <v>1.594964166</v>
      </c>
      <c r="O452" s="1">
        <f t="shared" si="451"/>
        <v>0.5396645753</v>
      </c>
      <c r="P452" s="1">
        <f t="shared" si="451"/>
        <v>0</v>
      </c>
      <c r="Q452" s="1">
        <f t="shared" si="451"/>
        <v>0.182140073</v>
      </c>
      <c r="R452" s="1">
        <f t="shared" si="451"/>
        <v>1.392020936</v>
      </c>
      <c r="S452" s="1">
        <f t="shared" si="451"/>
        <v>4.721862617</v>
      </c>
      <c r="T452" s="1">
        <f t="shared" si="451"/>
        <v>0.5862403527</v>
      </c>
      <c r="U452" s="1">
        <f t="shared" si="451"/>
        <v>0</v>
      </c>
    </row>
    <row r="453">
      <c r="A453" s="3">
        <f>IFERROR(__xludf.DUMMYFUNCTION("""COMPUTED_VALUE"""),44372.0)</f>
        <v>44372</v>
      </c>
      <c r="B453" s="1">
        <f t="shared" ref="B453:U453" si="452">IF($A453&gt;0,Megyeinapi!B453/'megyelakosság'!B$2*100000," ")</f>
        <v>1.194695552</v>
      </c>
      <c r="C453" s="1">
        <f t="shared" si="452"/>
        <v>0</v>
      </c>
      <c r="D453" s="1">
        <f t="shared" si="452"/>
        <v>0</v>
      </c>
      <c r="E453" s="1">
        <f t="shared" si="452"/>
        <v>1.098790702</v>
      </c>
      <c r="F453" s="1">
        <f t="shared" si="452"/>
        <v>0.9141728792</v>
      </c>
      <c r="G453" s="1">
        <f t="shared" si="452"/>
        <v>0</v>
      </c>
      <c r="H453" s="1">
        <f t="shared" si="452"/>
        <v>0.2388898312</v>
      </c>
      <c r="I453" s="1">
        <f t="shared" si="452"/>
        <v>1.26812092</v>
      </c>
      <c r="J453" s="1">
        <f t="shared" si="452"/>
        <v>0.3797033378</v>
      </c>
      <c r="K453" s="1">
        <f t="shared" si="452"/>
        <v>1.363228944</v>
      </c>
      <c r="L453" s="1">
        <f t="shared" si="452"/>
        <v>0.2725501152</v>
      </c>
      <c r="M453" s="1">
        <f t="shared" si="452"/>
        <v>2.325620027</v>
      </c>
      <c r="N453" s="1">
        <f t="shared" si="452"/>
        <v>1.063309444</v>
      </c>
      <c r="O453" s="1">
        <f t="shared" si="452"/>
        <v>0.6167595147</v>
      </c>
      <c r="P453" s="1">
        <f t="shared" si="452"/>
        <v>0.6667777963</v>
      </c>
      <c r="Q453" s="1">
        <f t="shared" si="452"/>
        <v>0.182140073</v>
      </c>
      <c r="R453" s="1">
        <f t="shared" si="452"/>
        <v>0.4640069787</v>
      </c>
      <c r="S453" s="1">
        <f t="shared" si="452"/>
        <v>0</v>
      </c>
      <c r="T453" s="1">
        <f t="shared" si="452"/>
        <v>0.5862403527</v>
      </c>
      <c r="U453" s="1">
        <f t="shared" si="452"/>
        <v>0</v>
      </c>
    </row>
    <row r="454">
      <c r="A454" s="3">
        <f>IFERROR(__xludf.DUMMYFUNCTION("""COMPUTED_VALUE"""),44373.0)</f>
        <v>44373</v>
      </c>
      <c r="B454" s="1">
        <f t="shared" ref="B454:U454" si="453">IF($A454&gt;0,Megyeinapi!B454/'megyelakosság'!B$2*100000," ")</f>
        <v>0</v>
      </c>
      <c r="C454" s="1">
        <f t="shared" si="453"/>
        <v>0</v>
      </c>
      <c r="D454" s="1">
        <f t="shared" si="453"/>
        <v>0</v>
      </c>
      <c r="E454" s="1">
        <f t="shared" si="453"/>
        <v>0</v>
      </c>
      <c r="F454" s="1">
        <f t="shared" si="453"/>
        <v>0</v>
      </c>
      <c r="G454" s="1">
        <f t="shared" si="453"/>
        <v>0</v>
      </c>
      <c r="H454" s="1">
        <f t="shared" si="453"/>
        <v>0</v>
      </c>
      <c r="I454" s="1">
        <f t="shared" si="453"/>
        <v>0</v>
      </c>
      <c r="J454" s="1">
        <f t="shared" si="453"/>
        <v>0</v>
      </c>
      <c r="K454" s="1">
        <f t="shared" si="453"/>
        <v>0</v>
      </c>
      <c r="L454" s="1">
        <f t="shared" si="453"/>
        <v>0</v>
      </c>
      <c r="M454" s="1">
        <f t="shared" si="453"/>
        <v>0</v>
      </c>
      <c r="N454" s="1">
        <f t="shared" si="453"/>
        <v>0</v>
      </c>
      <c r="O454" s="1">
        <f t="shared" si="453"/>
        <v>0</v>
      </c>
      <c r="P454" s="1">
        <f t="shared" si="453"/>
        <v>0</v>
      </c>
      <c r="Q454" s="1">
        <f t="shared" si="453"/>
        <v>0</v>
      </c>
      <c r="R454" s="1">
        <f t="shared" si="453"/>
        <v>0</v>
      </c>
      <c r="S454" s="1">
        <f t="shared" si="453"/>
        <v>0</v>
      </c>
      <c r="T454" s="1">
        <f t="shared" si="453"/>
        <v>0</v>
      </c>
      <c r="U454" s="1">
        <f t="shared" si="453"/>
        <v>0</v>
      </c>
    </row>
    <row r="455">
      <c r="A455" s="3">
        <f>IFERROR(__xludf.DUMMYFUNCTION("""COMPUTED_VALUE"""),44374.0)</f>
        <v>44374</v>
      </c>
      <c r="B455" s="1">
        <f t="shared" ref="B455:U455" si="454">IF($A455&gt;0,Megyeinapi!B455/'megyelakosság'!B$2*100000," ")</f>
        <v>0</v>
      </c>
      <c r="C455" s="1">
        <f t="shared" si="454"/>
        <v>0</v>
      </c>
      <c r="D455" s="1">
        <f t="shared" si="454"/>
        <v>0</v>
      </c>
      <c r="E455" s="1">
        <f t="shared" si="454"/>
        <v>0</v>
      </c>
      <c r="F455" s="1">
        <f t="shared" si="454"/>
        <v>0</v>
      </c>
      <c r="G455" s="1">
        <f t="shared" si="454"/>
        <v>0</v>
      </c>
      <c r="H455" s="1">
        <f t="shared" si="454"/>
        <v>0</v>
      </c>
      <c r="I455" s="1">
        <f t="shared" si="454"/>
        <v>0</v>
      </c>
      <c r="J455" s="1">
        <f t="shared" si="454"/>
        <v>0</v>
      </c>
      <c r="K455" s="1">
        <f t="shared" si="454"/>
        <v>0</v>
      </c>
      <c r="L455" s="1">
        <f t="shared" si="454"/>
        <v>0</v>
      </c>
      <c r="M455" s="1">
        <f t="shared" si="454"/>
        <v>0</v>
      </c>
      <c r="N455" s="1">
        <f t="shared" si="454"/>
        <v>0</v>
      </c>
      <c r="O455" s="1">
        <f t="shared" si="454"/>
        <v>0</v>
      </c>
      <c r="P455" s="1">
        <f t="shared" si="454"/>
        <v>0</v>
      </c>
      <c r="Q455" s="1">
        <f t="shared" si="454"/>
        <v>0</v>
      </c>
      <c r="R455" s="1">
        <f t="shared" si="454"/>
        <v>0</v>
      </c>
      <c r="S455" s="1">
        <f t="shared" si="454"/>
        <v>0</v>
      </c>
      <c r="T455" s="1">
        <f t="shared" si="454"/>
        <v>0</v>
      </c>
      <c r="U455" s="1">
        <f t="shared" si="454"/>
        <v>0</v>
      </c>
    </row>
    <row r="456">
      <c r="A456" s="3">
        <f>IFERROR(__xludf.DUMMYFUNCTION("""COMPUTED_VALUE"""),44375.0)</f>
        <v>44375</v>
      </c>
      <c r="B456" s="1">
        <f t="shared" ref="B456:U456" si="455">IF($A456&gt;0,Megyeinapi!B456/'megyelakosság'!B$2*100000," ")</f>
        <v>1.393811477</v>
      </c>
      <c r="C456" s="1">
        <f t="shared" si="455"/>
        <v>1.113867934</v>
      </c>
      <c r="D456" s="1">
        <f t="shared" si="455"/>
        <v>0.6050668296</v>
      </c>
      <c r="E456" s="1">
        <f t="shared" si="455"/>
        <v>2.511521605</v>
      </c>
      <c r="F456" s="1">
        <f t="shared" si="455"/>
        <v>1.542666734</v>
      </c>
      <c r="G456" s="1">
        <f t="shared" si="455"/>
        <v>0.2510468654</v>
      </c>
      <c r="H456" s="1">
        <f t="shared" si="455"/>
        <v>1.433338987</v>
      </c>
      <c r="I456" s="1">
        <f t="shared" si="455"/>
        <v>0.6340604598</v>
      </c>
      <c r="J456" s="1">
        <f t="shared" si="455"/>
        <v>1.139110013</v>
      </c>
      <c r="K456" s="1">
        <f t="shared" si="455"/>
        <v>1.022421708</v>
      </c>
      <c r="L456" s="1">
        <f t="shared" si="455"/>
        <v>0.8176503455</v>
      </c>
      <c r="M456" s="1">
        <f t="shared" si="455"/>
        <v>1.32892573</v>
      </c>
      <c r="N456" s="1">
        <f t="shared" si="455"/>
        <v>1.594964166</v>
      </c>
      <c r="O456" s="1">
        <f t="shared" si="455"/>
        <v>1.696088665</v>
      </c>
      <c r="P456" s="1">
        <f t="shared" si="455"/>
        <v>0.6667777963</v>
      </c>
      <c r="Q456" s="1">
        <f t="shared" si="455"/>
        <v>0.546420219</v>
      </c>
      <c r="R456" s="1">
        <f t="shared" si="455"/>
        <v>0.9280139573</v>
      </c>
      <c r="S456" s="1">
        <f t="shared" si="455"/>
        <v>3.934885515</v>
      </c>
      <c r="T456" s="1">
        <f t="shared" si="455"/>
        <v>1.465600882</v>
      </c>
      <c r="U456" s="1">
        <f t="shared" si="455"/>
        <v>1.122456234</v>
      </c>
    </row>
    <row r="457">
      <c r="A457" s="3">
        <f>IFERROR(__xludf.DUMMYFUNCTION("""COMPUTED_VALUE"""),44376.0)</f>
        <v>44376</v>
      </c>
      <c r="B457" s="1">
        <f t="shared" ref="B457:U457" si="456">IF($A457&gt;0,Megyeinapi!B457/'megyelakosság'!B$2*100000," ")</f>
        <v>0</v>
      </c>
      <c r="C457" s="1">
        <f t="shared" si="456"/>
        <v>0</v>
      </c>
      <c r="D457" s="1">
        <f t="shared" si="456"/>
        <v>0.3025334148</v>
      </c>
      <c r="E457" s="1">
        <f t="shared" si="456"/>
        <v>0.3139402007</v>
      </c>
      <c r="F457" s="1">
        <f t="shared" si="456"/>
        <v>0.6856296594</v>
      </c>
      <c r="G457" s="1">
        <f t="shared" si="456"/>
        <v>0.2510468654</v>
      </c>
      <c r="H457" s="1">
        <f t="shared" si="456"/>
        <v>0</v>
      </c>
      <c r="I457" s="1">
        <f t="shared" si="456"/>
        <v>0.4227069732</v>
      </c>
      <c r="J457" s="1">
        <f t="shared" si="456"/>
        <v>0</v>
      </c>
      <c r="K457" s="1">
        <f t="shared" si="456"/>
        <v>0</v>
      </c>
      <c r="L457" s="1">
        <f t="shared" si="456"/>
        <v>0.8176503455</v>
      </c>
      <c r="M457" s="1">
        <f t="shared" si="456"/>
        <v>0.3322314324</v>
      </c>
      <c r="N457" s="1">
        <f t="shared" si="456"/>
        <v>0.5316547222</v>
      </c>
      <c r="O457" s="1">
        <f t="shared" si="456"/>
        <v>0.231284818</v>
      </c>
      <c r="P457" s="1">
        <f t="shared" si="456"/>
        <v>0</v>
      </c>
      <c r="Q457" s="1">
        <f t="shared" si="456"/>
        <v>0.728560292</v>
      </c>
      <c r="R457" s="1">
        <f t="shared" si="456"/>
        <v>0</v>
      </c>
      <c r="S457" s="1">
        <f t="shared" si="456"/>
        <v>0</v>
      </c>
      <c r="T457" s="1">
        <f t="shared" si="456"/>
        <v>1.172480705</v>
      </c>
      <c r="U457" s="1">
        <f t="shared" si="456"/>
        <v>0</v>
      </c>
    </row>
    <row r="458">
      <c r="A458" s="3">
        <f>IFERROR(__xludf.DUMMYFUNCTION("""COMPUTED_VALUE"""),44377.0)</f>
        <v>44377</v>
      </c>
      <c r="B458" s="1">
        <f t="shared" ref="B458:U458" si="457">IF($A458&gt;0,Megyeinapi!B458/'megyelakosság'!B$2*100000," ")</f>
        <v>0.3982318506</v>
      </c>
      <c r="C458" s="1">
        <f t="shared" si="457"/>
        <v>0.5569339671</v>
      </c>
      <c r="D458" s="1">
        <f t="shared" si="457"/>
        <v>0.6050668296</v>
      </c>
      <c r="E458" s="1">
        <f t="shared" si="457"/>
        <v>1.412730903</v>
      </c>
      <c r="F458" s="1">
        <f t="shared" si="457"/>
        <v>0.7427654644</v>
      </c>
      <c r="G458" s="1">
        <f t="shared" si="457"/>
        <v>0.5020937309</v>
      </c>
      <c r="H458" s="1">
        <f t="shared" si="457"/>
        <v>0.9555593247</v>
      </c>
      <c r="I458" s="1">
        <f t="shared" si="457"/>
        <v>0.4227069732</v>
      </c>
      <c r="J458" s="1">
        <f t="shared" si="457"/>
        <v>0.1898516689</v>
      </c>
      <c r="K458" s="1">
        <f t="shared" si="457"/>
        <v>0.681614472</v>
      </c>
      <c r="L458" s="1">
        <f t="shared" si="457"/>
        <v>0</v>
      </c>
      <c r="M458" s="1">
        <f t="shared" si="457"/>
        <v>0.6644628648</v>
      </c>
      <c r="N458" s="1">
        <f t="shared" si="457"/>
        <v>1.063309444</v>
      </c>
      <c r="O458" s="1">
        <f t="shared" si="457"/>
        <v>0.3083797573</v>
      </c>
      <c r="P458" s="1">
        <f t="shared" si="457"/>
        <v>1.000166694</v>
      </c>
      <c r="Q458" s="1">
        <f t="shared" si="457"/>
        <v>0.182140073</v>
      </c>
      <c r="R458" s="1">
        <f t="shared" si="457"/>
        <v>0</v>
      </c>
      <c r="S458" s="1">
        <f t="shared" si="457"/>
        <v>0</v>
      </c>
      <c r="T458" s="1">
        <f t="shared" si="457"/>
        <v>0.2931201763</v>
      </c>
      <c r="U458" s="1">
        <f t="shared" si="457"/>
        <v>0</v>
      </c>
    </row>
    <row r="459">
      <c r="A459" s="3">
        <f>IFERROR(__xludf.DUMMYFUNCTION("""COMPUTED_VALUE"""),44378.0)</f>
        <v>44378</v>
      </c>
      <c r="B459" s="1">
        <f t="shared" ref="B459:U459" si="458">IF($A459&gt;0,Megyeinapi!B459/'megyelakosság'!B$2*100000," ")</f>
        <v>0.3982318506</v>
      </c>
      <c r="C459" s="1">
        <f t="shared" si="458"/>
        <v>0.2784669836</v>
      </c>
      <c r="D459" s="1">
        <f t="shared" si="458"/>
        <v>0.9076002444</v>
      </c>
      <c r="E459" s="1">
        <f t="shared" si="458"/>
        <v>0.470910301</v>
      </c>
      <c r="F459" s="1">
        <f t="shared" si="458"/>
        <v>0.3999506347</v>
      </c>
      <c r="G459" s="1">
        <f t="shared" si="458"/>
        <v>0.5020937309</v>
      </c>
      <c r="H459" s="1">
        <f t="shared" si="458"/>
        <v>0</v>
      </c>
      <c r="I459" s="1">
        <f t="shared" si="458"/>
        <v>0.2113534866</v>
      </c>
      <c r="J459" s="1">
        <f t="shared" si="458"/>
        <v>0.1898516689</v>
      </c>
      <c r="K459" s="1">
        <f t="shared" si="458"/>
        <v>0.340807236</v>
      </c>
      <c r="L459" s="1">
        <f t="shared" si="458"/>
        <v>0.2725501152</v>
      </c>
      <c r="M459" s="1">
        <f t="shared" si="458"/>
        <v>0</v>
      </c>
      <c r="N459" s="1">
        <f t="shared" si="458"/>
        <v>0</v>
      </c>
      <c r="O459" s="1">
        <f t="shared" si="458"/>
        <v>0.462569636</v>
      </c>
      <c r="P459" s="1">
        <f t="shared" si="458"/>
        <v>1.000166694</v>
      </c>
      <c r="Q459" s="1">
        <f t="shared" si="458"/>
        <v>0.182140073</v>
      </c>
      <c r="R459" s="1">
        <f t="shared" si="458"/>
        <v>0</v>
      </c>
      <c r="S459" s="1">
        <f t="shared" si="458"/>
        <v>0</v>
      </c>
      <c r="T459" s="1">
        <f t="shared" si="458"/>
        <v>0</v>
      </c>
      <c r="U459" s="1">
        <f t="shared" si="458"/>
        <v>0</v>
      </c>
    </row>
    <row r="460">
      <c r="A460" s="3">
        <f>IFERROR(__xludf.DUMMYFUNCTION("""COMPUTED_VALUE"""),44379.0)</f>
        <v>44379</v>
      </c>
      <c r="B460" s="1">
        <f t="shared" ref="B460:U460" si="459">IF($A460&gt;0,Megyeinapi!B460/'megyelakosság'!B$2*100000," ")</f>
        <v>0.3982318506</v>
      </c>
      <c r="C460" s="1">
        <f t="shared" si="459"/>
        <v>0.2784669836</v>
      </c>
      <c r="D460" s="1">
        <f t="shared" si="459"/>
        <v>0</v>
      </c>
      <c r="E460" s="1">
        <f t="shared" si="459"/>
        <v>0.941820602</v>
      </c>
      <c r="F460" s="1">
        <f t="shared" si="459"/>
        <v>0.3999506347</v>
      </c>
      <c r="G460" s="1">
        <f t="shared" si="459"/>
        <v>0</v>
      </c>
      <c r="H460" s="1">
        <f t="shared" si="459"/>
        <v>0.2388898312</v>
      </c>
      <c r="I460" s="1">
        <f t="shared" si="459"/>
        <v>0.2113534866</v>
      </c>
      <c r="J460" s="1">
        <f t="shared" si="459"/>
        <v>0</v>
      </c>
      <c r="K460" s="1">
        <f t="shared" si="459"/>
        <v>0</v>
      </c>
      <c r="L460" s="1">
        <f t="shared" si="459"/>
        <v>0</v>
      </c>
      <c r="M460" s="1">
        <f t="shared" si="459"/>
        <v>0.3322314324</v>
      </c>
      <c r="N460" s="1">
        <f t="shared" si="459"/>
        <v>1.063309444</v>
      </c>
      <c r="O460" s="1">
        <f t="shared" si="459"/>
        <v>0.3083797573</v>
      </c>
      <c r="P460" s="1">
        <f t="shared" si="459"/>
        <v>0.6667777963</v>
      </c>
      <c r="Q460" s="1">
        <f t="shared" si="459"/>
        <v>0.182140073</v>
      </c>
      <c r="R460" s="1">
        <f t="shared" si="459"/>
        <v>1.392020936</v>
      </c>
      <c r="S460" s="1">
        <f t="shared" si="459"/>
        <v>1.573954206</v>
      </c>
      <c r="T460" s="1">
        <f t="shared" si="459"/>
        <v>0.5862403527</v>
      </c>
      <c r="U460" s="1">
        <f t="shared" si="459"/>
        <v>0</v>
      </c>
    </row>
    <row r="461">
      <c r="A461" s="3">
        <f>IFERROR(__xludf.DUMMYFUNCTION("""COMPUTED_VALUE"""),44380.0)</f>
        <v>44380</v>
      </c>
      <c r="B461" s="1">
        <f t="shared" ref="B461:U461" si="460">IF($A461&gt;0,Megyeinapi!B461/'megyelakosság'!B$2*100000," ")</f>
        <v>0</v>
      </c>
      <c r="C461" s="1">
        <f t="shared" si="460"/>
        <v>0</v>
      </c>
      <c r="D461" s="1">
        <f t="shared" si="460"/>
        <v>0</v>
      </c>
      <c r="E461" s="1">
        <f t="shared" si="460"/>
        <v>0</v>
      </c>
      <c r="F461" s="1">
        <f t="shared" si="460"/>
        <v>0</v>
      </c>
      <c r="G461" s="1">
        <f t="shared" si="460"/>
        <v>0</v>
      </c>
      <c r="H461" s="1">
        <f t="shared" si="460"/>
        <v>0</v>
      </c>
      <c r="I461" s="1">
        <f t="shared" si="460"/>
        <v>0</v>
      </c>
      <c r="J461" s="1">
        <f t="shared" si="460"/>
        <v>0</v>
      </c>
      <c r="K461" s="1">
        <f t="shared" si="460"/>
        <v>0</v>
      </c>
      <c r="L461" s="1">
        <f t="shared" si="460"/>
        <v>0</v>
      </c>
      <c r="M461" s="1">
        <f t="shared" si="460"/>
        <v>0</v>
      </c>
      <c r="N461" s="1">
        <f t="shared" si="460"/>
        <v>0</v>
      </c>
      <c r="O461" s="1">
        <f t="shared" si="460"/>
        <v>0</v>
      </c>
      <c r="P461" s="1">
        <f t="shared" si="460"/>
        <v>0</v>
      </c>
      <c r="Q461" s="1">
        <f t="shared" si="460"/>
        <v>0</v>
      </c>
      <c r="R461" s="1">
        <f t="shared" si="460"/>
        <v>0</v>
      </c>
      <c r="S461" s="1">
        <f t="shared" si="460"/>
        <v>0</v>
      </c>
      <c r="T461" s="1">
        <f t="shared" si="460"/>
        <v>0</v>
      </c>
      <c r="U461" s="1">
        <f t="shared" si="460"/>
        <v>0</v>
      </c>
    </row>
    <row r="462">
      <c r="A462" s="3">
        <f>IFERROR(__xludf.DUMMYFUNCTION("""COMPUTED_VALUE"""),44381.0)</f>
        <v>44381</v>
      </c>
      <c r="B462" s="1">
        <f t="shared" ref="B462:U462" si="461">IF($A462&gt;0,Megyeinapi!B462/'megyelakosság'!B$2*100000," ")</f>
        <v>0</v>
      </c>
      <c r="C462" s="1">
        <f t="shared" si="461"/>
        <v>0</v>
      </c>
      <c r="D462" s="1">
        <f t="shared" si="461"/>
        <v>0</v>
      </c>
      <c r="E462" s="1">
        <f t="shared" si="461"/>
        <v>0</v>
      </c>
      <c r="F462" s="1">
        <f t="shared" si="461"/>
        <v>0</v>
      </c>
      <c r="G462" s="1">
        <f t="shared" si="461"/>
        <v>0</v>
      </c>
      <c r="H462" s="1">
        <f t="shared" si="461"/>
        <v>0</v>
      </c>
      <c r="I462" s="1">
        <f t="shared" si="461"/>
        <v>0</v>
      </c>
      <c r="J462" s="1">
        <f t="shared" si="461"/>
        <v>0</v>
      </c>
      <c r="K462" s="1">
        <f t="shared" si="461"/>
        <v>0</v>
      </c>
      <c r="L462" s="1">
        <f t="shared" si="461"/>
        <v>0</v>
      </c>
      <c r="M462" s="1">
        <f t="shared" si="461"/>
        <v>0</v>
      </c>
      <c r="N462" s="1">
        <f t="shared" si="461"/>
        <v>0</v>
      </c>
      <c r="O462" s="1">
        <f t="shared" si="461"/>
        <v>0</v>
      </c>
      <c r="P462" s="1">
        <f t="shared" si="461"/>
        <v>0</v>
      </c>
      <c r="Q462" s="1">
        <f t="shared" si="461"/>
        <v>0</v>
      </c>
      <c r="R462" s="1">
        <f t="shared" si="461"/>
        <v>0</v>
      </c>
      <c r="S462" s="1">
        <f t="shared" si="461"/>
        <v>0</v>
      </c>
      <c r="T462" s="1">
        <f t="shared" si="461"/>
        <v>0</v>
      </c>
      <c r="U462" s="1">
        <f t="shared" si="461"/>
        <v>0</v>
      </c>
    </row>
    <row r="463">
      <c r="A463" s="3">
        <f>IFERROR(__xludf.DUMMYFUNCTION("""COMPUTED_VALUE"""),44382.0)</f>
        <v>44382</v>
      </c>
      <c r="B463" s="1">
        <f t="shared" ref="B463:U463" si="462">IF($A463&gt;0,Megyeinapi!B463/'megyelakosság'!B$2*100000," ")</f>
        <v>0.1991159253</v>
      </c>
      <c r="C463" s="1">
        <f t="shared" si="462"/>
        <v>0.8354009507</v>
      </c>
      <c r="D463" s="1">
        <f t="shared" si="462"/>
        <v>0.3025334148</v>
      </c>
      <c r="E463" s="1">
        <f t="shared" si="462"/>
        <v>0.1569701003</v>
      </c>
      <c r="F463" s="1">
        <f t="shared" si="462"/>
        <v>1.599802539</v>
      </c>
      <c r="G463" s="1">
        <f t="shared" si="462"/>
        <v>0.2510468654</v>
      </c>
      <c r="H463" s="1">
        <f t="shared" si="462"/>
        <v>0.7166694935</v>
      </c>
      <c r="I463" s="1">
        <f t="shared" si="462"/>
        <v>0.6340604598</v>
      </c>
      <c r="J463" s="1">
        <f t="shared" si="462"/>
        <v>0</v>
      </c>
      <c r="K463" s="1">
        <f t="shared" si="462"/>
        <v>0.340807236</v>
      </c>
      <c r="L463" s="1">
        <f t="shared" si="462"/>
        <v>0</v>
      </c>
      <c r="M463" s="1">
        <f t="shared" si="462"/>
        <v>0</v>
      </c>
      <c r="N463" s="1">
        <f t="shared" si="462"/>
        <v>0.5316547222</v>
      </c>
      <c r="O463" s="1">
        <f t="shared" si="462"/>
        <v>0.8480443327</v>
      </c>
      <c r="P463" s="1">
        <f t="shared" si="462"/>
        <v>1.333555593</v>
      </c>
      <c r="Q463" s="1">
        <f t="shared" si="462"/>
        <v>0.546420219</v>
      </c>
      <c r="R463" s="1">
        <f t="shared" si="462"/>
        <v>0</v>
      </c>
      <c r="S463" s="1">
        <f t="shared" si="462"/>
        <v>0.7869771029</v>
      </c>
      <c r="T463" s="1">
        <f t="shared" si="462"/>
        <v>0.5862403527</v>
      </c>
      <c r="U463" s="1">
        <f t="shared" si="462"/>
        <v>0</v>
      </c>
    </row>
    <row r="464">
      <c r="A464" s="3">
        <f>IFERROR(__xludf.DUMMYFUNCTION("""COMPUTED_VALUE"""),44383.0)</f>
        <v>44383</v>
      </c>
      <c r="B464" s="1">
        <f t="shared" ref="B464:U464" si="463">IF($A464&gt;0,Megyeinapi!B464/'megyelakosság'!B$2*100000," ")</f>
        <v>0.1991159253</v>
      </c>
      <c r="C464" s="1">
        <f t="shared" si="463"/>
        <v>0.2784669836</v>
      </c>
      <c r="D464" s="1">
        <f t="shared" si="463"/>
        <v>1.210133659</v>
      </c>
      <c r="E464" s="1">
        <f t="shared" si="463"/>
        <v>0.3139402007</v>
      </c>
      <c r="F464" s="1">
        <f t="shared" si="463"/>
        <v>0.3999506347</v>
      </c>
      <c r="G464" s="1">
        <f t="shared" si="463"/>
        <v>0</v>
      </c>
      <c r="H464" s="1">
        <f t="shared" si="463"/>
        <v>0</v>
      </c>
      <c r="I464" s="1">
        <f t="shared" si="463"/>
        <v>0.2113534866</v>
      </c>
      <c r="J464" s="1">
        <f t="shared" si="463"/>
        <v>0</v>
      </c>
      <c r="K464" s="1">
        <f t="shared" si="463"/>
        <v>0.340807236</v>
      </c>
      <c r="L464" s="1">
        <f t="shared" si="463"/>
        <v>1.090200461</v>
      </c>
      <c r="M464" s="1">
        <f t="shared" si="463"/>
        <v>0.3322314324</v>
      </c>
      <c r="N464" s="1">
        <f t="shared" si="463"/>
        <v>0</v>
      </c>
      <c r="O464" s="1">
        <f t="shared" si="463"/>
        <v>0.231284818</v>
      </c>
      <c r="P464" s="1">
        <f t="shared" si="463"/>
        <v>0</v>
      </c>
      <c r="Q464" s="1">
        <f t="shared" si="463"/>
        <v>0.728560292</v>
      </c>
      <c r="R464" s="1">
        <f t="shared" si="463"/>
        <v>0.4640069787</v>
      </c>
      <c r="S464" s="1">
        <f t="shared" si="463"/>
        <v>0.3934885515</v>
      </c>
      <c r="T464" s="1">
        <f t="shared" si="463"/>
        <v>0</v>
      </c>
      <c r="U464" s="1">
        <f t="shared" si="463"/>
        <v>0.3741520779</v>
      </c>
    </row>
    <row r="465">
      <c r="A465" s="3">
        <f>IFERROR(__xludf.DUMMYFUNCTION("""COMPUTED_VALUE"""),44384.0)</f>
        <v>44384</v>
      </c>
      <c r="B465" s="1">
        <f t="shared" ref="B465:U465" si="464">IF($A465&gt;0,Megyeinapi!B465/'megyelakosság'!B$2*100000," ")</f>
        <v>0.1991159253</v>
      </c>
      <c r="C465" s="1">
        <f t="shared" si="464"/>
        <v>0.2784669836</v>
      </c>
      <c r="D465" s="1">
        <f t="shared" si="464"/>
        <v>0.3025334148</v>
      </c>
      <c r="E465" s="1">
        <f t="shared" si="464"/>
        <v>0.470910301</v>
      </c>
      <c r="F465" s="1">
        <f t="shared" si="464"/>
        <v>0.6856296594</v>
      </c>
      <c r="G465" s="1">
        <f t="shared" si="464"/>
        <v>0.2510468654</v>
      </c>
      <c r="H465" s="1">
        <f t="shared" si="464"/>
        <v>0</v>
      </c>
      <c r="I465" s="1">
        <f t="shared" si="464"/>
        <v>1.056767433</v>
      </c>
      <c r="J465" s="1">
        <f t="shared" si="464"/>
        <v>0.3797033378</v>
      </c>
      <c r="K465" s="1">
        <f t="shared" si="464"/>
        <v>0.340807236</v>
      </c>
      <c r="L465" s="1">
        <f t="shared" si="464"/>
        <v>0.5451002303</v>
      </c>
      <c r="M465" s="1">
        <f t="shared" si="464"/>
        <v>0.6644628648</v>
      </c>
      <c r="N465" s="1">
        <f t="shared" si="464"/>
        <v>1.063309444</v>
      </c>
      <c r="O465" s="1">
        <f t="shared" si="464"/>
        <v>0.3854746967</v>
      </c>
      <c r="P465" s="1">
        <f t="shared" si="464"/>
        <v>0</v>
      </c>
      <c r="Q465" s="1">
        <f t="shared" si="464"/>
        <v>0.182140073</v>
      </c>
      <c r="R465" s="1">
        <f t="shared" si="464"/>
        <v>0.4640069787</v>
      </c>
      <c r="S465" s="1">
        <f t="shared" si="464"/>
        <v>0.3934885515</v>
      </c>
      <c r="T465" s="1">
        <f t="shared" si="464"/>
        <v>0.879360529</v>
      </c>
      <c r="U465" s="1">
        <f t="shared" si="464"/>
        <v>0</v>
      </c>
    </row>
    <row r="466">
      <c r="A466" s="3">
        <f>IFERROR(__xludf.DUMMYFUNCTION("""COMPUTED_VALUE"""),44385.0)</f>
        <v>44385</v>
      </c>
      <c r="B466" s="1">
        <f t="shared" ref="B466:U466" si="465">IF($A466&gt;0,Megyeinapi!B466/'megyelakosság'!B$2*100000," ")</f>
        <v>0.1991159253</v>
      </c>
      <c r="C466" s="1">
        <f t="shared" si="465"/>
        <v>0</v>
      </c>
      <c r="D466" s="1">
        <f t="shared" si="465"/>
        <v>0.6050668296</v>
      </c>
      <c r="E466" s="1">
        <f t="shared" si="465"/>
        <v>1.255760803</v>
      </c>
      <c r="F466" s="1">
        <f t="shared" si="465"/>
        <v>0.6284938545</v>
      </c>
      <c r="G466" s="1">
        <f t="shared" si="465"/>
        <v>0.2510468654</v>
      </c>
      <c r="H466" s="1">
        <f t="shared" si="465"/>
        <v>0.9555593247</v>
      </c>
      <c r="I466" s="1">
        <f t="shared" si="465"/>
        <v>1.056767433</v>
      </c>
      <c r="J466" s="1">
        <f t="shared" si="465"/>
        <v>0</v>
      </c>
      <c r="K466" s="1">
        <f t="shared" si="465"/>
        <v>1.022421708</v>
      </c>
      <c r="L466" s="1">
        <f t="shared" si="465"/>
        <v>0.8176503455</v>
      </c>
      <c r="M466" s="1">
        <f t="shared" si="465"/>
        <v>0.6644628648</v>
      </c>
      <c r="N466" s="1">
        <f t="shared" si="465"/>
        <v>0.5316547222</v>
      </c>
      <c r="O466" s="1">
        <f t="shared" si="465"/>
        <v>0.3854746967</v>
      </c>
      <c r="P466" s="1">
        <f t="shared" si="465"/>
        <v>0.3333888981</v>
      </c>
      <c r="Q466" s="1">
        <f t="shared" si="465"/>
        <v>0.546420219</v>
      </c>
      <c r="R466" s="1">
        <f t="shared" si="465"/>
        <v>0.4640069787</v>
      </c>
      <c r="S466" s="1">
        <f t="shared" si="465"/>
        <v>0</v>
      </c>
      <c r="T466" s="1">
        <f t="shared" si="465"/>
        <v>0</v>
      </c>
      <c r="U466" s="1">
        <f t="shared" si="465"/>
        <v>1.496608311</v>
      </c>
    </row>
    <row r="467">
      <c r="A467" s="3">
        <f>IFERROR(__xludf.DUMMYFUNCTION("""COMPUTED_VALUE"""),44386.0)</f>
        <v>44386</v>
      </c>
      <c r="B467" s="1">
        <f t="shared" ref="B467:U467" si="466">IF($A467&gt;0,Megyeinapi!B467/'megyelakosság'!B$2*100000," ")</f>
        <v>0</v>
      </c>
      <c r="C467" s="1">
        <f t="shared" si="466"/>
        <v>0.8354009507</v>
      </c>
      <c r="D467" s="1">
        <f t="shared" si="466"/>
        <v>0.3025334148</v>
      </c>
      <c r="E467" s="1">
        <f t="shared" si="466"/>
        <v>1.412730903</v>
      </c>
      <c r="F467" s="1">
        <f t="shared" si="466"/>
        <v>0.3999506347</v>
      </c>
      <c r="G467" s="1">
        <f t="shared" si="466"/>
        <v>0.5020937309</v>
      </c>
      <c r="H467" s="1">
        <f t="shared" si="466"/>
        <v>0</v>
      </c>
      <c r="I467" s="1">
        <f t="shared" si="466"/>
        <v>0.4227069732</v>
      </c>
      <c r="J467" s="1">
        <f t="shared" si="466"/>
        <v>0.1898516689</v>
      </c>
      <c r="K467" s="1">
        <f t="shared" si="466"/>
        <v>0.340807236</v>
      </c>
      <c r="L467" s="1">
        <f t="shared" si="466"/>
        <v>0</v>
      </c>
      <c r="M467" s="1">
        <f t="shared" si="466"/>
        <v>0</v>
      </c>
      <c r="N467" s="1">
        <f t="shared" si="466"/>
        <v>1.063309444</v>
      </c>
      <c r="O467" s="1">
        <f t="shared" si="466"/>
        <v>0.6167595147</v>
      </c>
      <c r="P467" s="1">
        <f t="shared" si="466"/>
        <v>0.6667777963</v>
      </c>
      <c r="Q467" s="1">
        <f t="shared" si="466"/>
        <v>0</v>
      </c>
      <c r="R467" s="1">
        <f t="shared" si="466"/>
        <v>0.4640069787</v>
      </c>
      <c r="S467" s="1">
        <f t="shared" si="466"/>
        <v>0.3934885515</v>
      </c>
      <c r="T467" s="1">
        <f t="shared" si="466"/>
        <v>1.172480705</v>
      </c>
      <c r="U467" s="1">
        <f t="shared" si="466"/>
        <v>0</v>
      </c>
    </row>
    <row r="468">
      <c r="A468" s="3">
        <f>IFERROR(__xludf.DUMMYFUNCTION("""COMPUTED_VALUE"""),44387.0)</f>
        <v>44387</v>
      </c>
      <c r="B468" s="1">
        <f t="shared" ref="B468:U468" si="467">IF($A468&gt;0,Megyeinapi!B468/'megyelakosság'!B$2*100000," ")</f>
        <v>0</v>
      </c>
      <c r="C468" s="1">
        <f t="shared" si="467"/>
        <v>0</v>
      </c>
      <c r="D468" s="1">
        <f t="shared" si="467"/>
        <v>0</v>
      </c>
      <c r="E468" s="1">
        <f t="shared" si="467"/>
        <v>0</v>
      </c>
      <c r="F468" s="1">
        <f t="shared" si="467"/>
        <v>0</v>
      </c>
      <c r="G468" s="1">
        <f t="shared" si="467"/>
        <v>0</v>
      </c>
      <c r="H468" s="1">
        <f t="shared" si="467"/>
        <v>0</v>
      </c>
      <c r="I468" s="1">
        <f t="shared" si="467"/>
        <v>0</v>
      </c>
      <c r="J468" s="1">
        <f t="shared" si="467"/>
        <v>0</v>
      </c>
      <c r="K468" s="1">
        <f t="shared" si="467"/>
        <v>0</v>
      </c>
      <c r="L468" s="1">
        <f t="shared" si="467"/>
        <v>0</v>
      </c>
      <c r="M468" s="1">
        <f t="shared" si="467"/>
        <v>0</v>
      </c>
      <c r="N468" s="1">
        <f t="shared" si="467"/>
        <v>0</v>
      </c>
      <c r="O468" s="1">
        <f t="shared" si="467"/>
        <v>0</v>
      </c>
      <c r="P468" s="1">
        <f t="shared" si="467"/>
        <v>0</v>
      </c>
      <c r="Q468" s="1">
        <f t="shared" si="467"/>
        <v>0</v>
      </c>
      <c r="R468" s="1">
        <f t="shared" si="467"/>
        <v>0</v>
      </c>
      <c r="S468" s="1">
        <f t="shared" si="467"/>
        <v>0</v>
      </c>
      <c r="T468" s="1">
        <f t="shared" si="467"/>
        <v>0</v>
      </c>
      <c r="U468" s="1">
        <f t="shared" si="467"/>
        <v>0</v>
      </c>
    </row>
    <row r="469">
      <c r="A469" s="3">
        <f>IFERROR(__xludf.DUMMYFUNCTION("""COMPUTED_VALUE"""),44388.0)</f>
        <v>44388</v>
      </c>
      <c r="B469" s="1">
        <f t="shared" ref="B469:U469" si="468">IF($A469&gt;0,Megyeinapi!B469/'megyelakosság'!B$2*100000," ")</f>
        <v>0</v>
      </c>
      <c r="C469" s="1">
        <f t="shared" si="468"/>
        <v>0</v>
      </c>
      <c r="D469" s="1">
        <f t="shared" si="468"/>
        <v>0</v>
      </c>
      <c r="E469" s="1">
        <f t="shared" si="468"/>
        <v>0</v>
      </c>
      <c r="F469" s="1">
        <f t="shared" si="468"/>
        <v>0</v>
      </c>
      <c r="G469" s="1">
        <f t="shared" si="468"/>
        <v>0</v>
      </c>
      <c r="H469" s="1">
        <f t="shared" si="468"/>
        <v>0</v>
      </c>
      <c r="I469" s="1">
        <f t="shared" si="468"/>
        <v>0</v>
      </c>
      <c r="J469" s="1">
        <f t="shared" si="468"/>
        <v>0</v>
      </c>
      <c r="K469" s="1">
        <f t="shared" si="468"/>
        <v>0</v>
      </c>
      <c r="L469" s="1">
        <f t="shared" si="468"/>
        <v>0</v>
      </c>
      <c r="M469" s="1">
        <f t="shared" si="468"/>
        <v>0</v>
      </c>
      <c r="N469" s="1">
        <f t="shared" si="468"/>
        <v>0</v>
      </c>
      <c r="O469" s="1">
        <f t="shared" si="468"/>
        <v>0</v>
      </c>
      <c r="P469" s="1">
        <f t="shared" si="468"/>
        <v>0</v>
      </c>
      <c r="Q469" s="1">
        <f t="shared" si="468"/>
        <v>0</v>
      </c>
      <c r="R469" s="1">
        <f t="shared" si="468"/>
        <v>0</v>
      </c>
      <c r="S469" s="1">
        <f t="shared" si="468"/>
        <v>0</v>
      </c>
      <c r="T469" s="1">
        <f t="shared" si="468"/>
        <v>0</v>
      </c>
      <c r="U469" s="1">
        <f t="shared" si="468"/>
        <v>0</v>
      </c>
    </row>
    <row r="470">
      <c r="A470" s="3">
        <f>IFERROR(__xludf.DUMMYFUNCTION("""COMPUTED_VALUE"""),44389.0)</f>
        <v>44389</v>
      </c>
      <c r="B470" s="1">
        <f t="shared" ref="B470:U470" si="469">IF($A470&gt;0,Megyeinapi!B470/'megyelakosság'!B$2*100000," ")</f>
        <v>1.592927402</v>
      </c>
      <c r="C470" s="1">
        <f t="shared" si="469"/>
        <v>0.2784669836</v>
      </c>
      <c r="D470" s="1">
        <f t="shared" si="469"/>
        <v>1.512667074</v>
      </c>
      <c r="E470" s="1">
        <f t="shared" si="469"/>
        <v>0.941820602</v>
      </c>
      <c r="F470" s="1">
        <f t="shared" si="469"/>
        <v>1.428395124</v>
      </c>
      <c r="G470" s="1">
        <f t="shared" si="469"/>
        <v>1.506281193</v>
      </c>
      <c r="H470" s="1">
        <f t="shared" si="469"/>
        <v>0.7166694935</v>
      </c>
      <c r="I470" s="1">
        <f t="shared" si="469"/>
        <v>1.056767433</v>
      </c>
      <c r="J470" s="1">
        <f t="shared" si="469"/>
        <v>0.1898516689</v>
      </c>
      <c r="K470" s="1">
        <f t="shared" si="469"/>
        <v>1.022421708</v>
      </c>
      <c r="L470" s="1">
        <f t="shared" si="469"/>
        <v>0.2725501152</v>
      </c>
      <c r="M470" s="1">
        <f t="shared" si="469"/>
        <v>1.661157162</v>
      </c>
      <c r="N470" s="1">
        <f t="shared" si="469"/>
        <v>1.594964166</v>
      </c>
      <c r="O470" s="1">
        <f t="shared" si="469"/>
        <v>0.7709493933</v>
      </c>
      <c r="P470" s="1">
        <f t="shared" si="469"/>
        <v>1.000166694</v>
      </c>
      <c r="Q470" s="1">
        <f t="shared" si="469"/>
        <v>0.546420219</v>
      </c>
      <c r="R470" s="1">
        <f t="shared" si="469"/>
        <v>0</v>
      </c>
      <c r="S470" s="1">
        <f t="shared" si="469"/>
        <v>3.147908412</v>
      </c>
      <c r="T470" s="1">
        <f t="shared" si="469"/>
        <v>1.465600882</v>
      </c>
      <c r="U470" s="1">
        <f t="shared" si="469"/>
        <v>0.3741520779</v>
      </c>
    </row>
    <row r="471">
      <c r="A471" s="3">
        <f>IFERROR(__xludf.DUMMYFUNCTION("""COMPUTED_VALUE"""),44390.0)</f>
        <v>44390</v>
      </c>
      <c r="B471" s="1">
        <f t="shared" ref="B471:U471" si="470">IF($A471&gt;0,Megyeinapi!B471/'megyelakosság'!B$2*100000," ")</f>
        <v>0.3982318506</v>
      </c>
      <c r="C471" s="1">
        <f t="shared" si="470"/>
        <v>0</v>
      </c>
      <c r="D471" s="1">
        <f t="shared" si="470"/>
        <v>0</v>
      </c>
      <c r="E471" s="1">
        <f t="shared" si="470"/>
        <v>0</v>
      </c>
      <c r="F471" s="1">
        <f t="shared" si="470"/>
        <v>0.2285432198</v>
      </c>
      <c r="G471" s="1">
        <f t="shared" si="470"/>
        <v>0</v>
      </c>
      <c r="H471" s="1">
        <f t="shared" si="470"/>
        <v>0</v>
      </c>
      <c r="I471" s="1">
        <f t="shared" si="470"/>
        <v>0</v>
      </c>
      <c r="J471" s="1">
        <f t="shared" si="470"/>
        <v>0.1898516689</v>
      </c>
      <c r="K471" s="1">
        <f t="shared" si="470"/>
        <v>0.340807236</v>
      </c>
      <c r="L471" s="1">
        <f t="shared" si="470"/>
        <v>0</v>
      </c>
      <c r="M471" s="1">
        <f t="shared" si="470"/>
        <v>0.6644628648</v>
      </c>
      <c r="N471" s="1">
        <f t="shared" si="470"/>
        <v>0.5316547222</v>
      </c>
      <c r="O471" s="1">
        <f t="shared" si="470"/>
        <v>0.3083797573</v>
      </c>
      <c r="P471" s="1">
        <f t="shared" si="470"/>
        <v>0.3333888981</v>
      </c>
      <c r="Q471" s="1">
        <f t="shared" si="470"/>
        <v>0</v>
      </c>
      <c r="R471" s="1">
        <f t="shared" si="470"/>
        <v>0</v>
      </c>
      <c r="S471" s="1">
        <f t="shared" si="470"/>
        <v>0</v>
      </c>
      <c r="T471" s="1">
        <f t="shared" si="470"/>
        <v>0.2931201763</v>
      </c>
      <c r="U471" s="1">
        <f t="shared" si="470"/>
        <v>0</v>
      </c>
    </row>
    <row r="472">
      <c r="A472" s="3">
        <f>IFERROR(__xludf.DUMMYFUNCTION("""COMPUTED_VALUE"""),44391.0)</f>
        <v>44391</v>
      </c>
      <c r="B472" s="1">
        <f t="shared" ref="B472:U472" si="471">IF($A472&gt;0,Megyeinapi!B472/'megyelakosság'!B$2*100000," ")</f>
        <v>0.7964637012</v>
      </c>
      <c r="C472" s="1">
        <f t="shared" si="471"/>
        <v>1.113867934</v>
      </c>
      <c r="D472" s="1">
        <f t="shared" si="471"/>
        <v>1.210133659</v>
      </c>
      <c r="E472" s="1">
        <f t="shared" si="471"/>
        <v>0.7848505017</v>
      </c>
      <c r="F472" s="1">
        <f t="shared" si="471"/>
        <v>0.7427654644</v>
      </c>
      <c r="G472" s="1">
        <f t="shared" si="471"/>
        <v>0.5020937309</v>
      </c>
      <c r="H472" s="1">
        <f t="shared" si="471"/>
        <v>0.4777796624</v>
      </c>
      <c r="I472" s="1">
        <f t="shared" si="471"/>
        <v>0</v>
      </c>
      <c r="J472" s="1">
        <f t="shared" si="471"/>
        <v>0.1898516689</v>
      </c>
      <c r="K472" s="1">
        <f t="shared" si="471"/>
        <v>0.340807236</v>
      </c>
      <c r="L472" s="1">
        <f t="shared" si="471"/>
        <v>0.5451002303</v>
      </c>
      <c r="M472" s="1">
        <f t="shared" si="471"/>
        <v>0.3322314324</v>
      </c>
      <c r="N472" s="1">
        <f t="shared" si="471"/>
        <v>0</v>
      </c>
      <c r="O472" s="1">
        <f t="shared" si="471"/>
        <v>0.5396645753</v>
      </c>
      <c r="P472" s="1">
        <f t="shared" si="471"/>
        <v>1.000166694</v>
      </c>
      <c r="Q472" s="1">
        <f t="shared" si="471"/>
        <v>0</v>
      </c>
      <c r="R472" s="1">
        <f t="shared" si="471"/>
        <v>1.856027915</v>
      </c>
      <c r="S472" s="1">
        <f t="shared" si="471"/>
        <v>0</v>
      </c>
      <c r="T472" s="1">
        <f t="shared" si="471"/>
        <v>0.5862403527</v>
      </c>
      <c r="U472" s="1">
        <f t="shared" si="471"/>
        <v>0.3741520779</v>
      </c>
    </row>
    <row r="473">
      <c r="A473" s="3">
        <f>IFERROR(__xludf.DUMMYFUNCTION("""COMPUTED_VALUE"""),44392.0)</f>
        <v>44392</v>
      </c>
      <c r="B473" s="1">
        <f t="shared" ref="B473:U473" si="472">IF($A473&gt;0,Megyeinapi!B473/'megyelakosság'!B$2*100000," ")</f>
        <v>0</v>
      </c>
      <c r="C473" s="1">
        <f t="shared" si="472"/>
        <v>0</v>
      </c>
      <c r="D473" s="1">
        <f t="shared" si="472"/>
        <v>0.3025334148</v>
      </c>
      <c r="E473" s="1">
        <f t="shared" si="472"/>
        <v>0.941820602</v>
      </c>
      <c r="F473" s="1">
        <f t="shared" si="472"/>
        <v>0.8570370743</v>
      </c>
      <c r="G473" s="1">
        <f t="shared" si="472"/>
        <v>0.7531405963</v>
      </c>
      <c r="H473" s="1">
        <f t="shared" si="472"/>
        <v>0.4777796624</v>
      </c>
      <c r="I473" s="1">
        <f t="shared" si="472"/>
        <v>0.4227069732</v>
      </c>
      <c r="J473" s="1">
        <f t="shared" si="472"/>
        <v>0.1898516689</v>
      </c>
      <c r="K473" s="1">
        <f t="shared" si="472"/>
        <v>0.340807236</v>
      </c>
      <c r="L473" s="1">
        <f t="shared" si="472"/>
        <v>0</v>
      </c>
      <c r="M473" s="1">
        <f t="shared" si="472"/>
        <v>0.3322314324</v>
      </c>
      <c r="N473" s="1">
        <f t="shared" si="472"/>
        <v>0</v>
      </c>
      <c r="O473" s="1">
        <f t="shared" si="472"/>
        <v>0.5396645753</v>
      </c>
      <c r="P473" s="1">
        <f t="shared" si="472"/>
        <v>0.3333888981</v>
      </c>
      <c r="Q473" s="1">
        <f t="shared" si="472"/>
        <v>0.728560292</v>
      </c>
      <c r="R473" s="1">
        <f t="shared" si="472"/>
        <v>0</v>
      </c>
      <c r="S473" s="1">
        <f t="shared" si="472"/>
        <v>0.7869771029</v>
      </c>
      <c r="T473" s="1">
        <f t="shared" si="472"/>
        <v>0.879360529</v>
      </c>
      <c r="U473" s="1">
        <f t="shared" si="472"/>
        <v>0</v>
      </c>
    </row>
    <row r="474">
      <c r="A474" s="3">
        <f>IFERROR(__xludf.DUMMYFUNCTION("""COMPUTED_VALUE"""),44393.0)</f>
        <v>44393</v>
      </c>
      <c r="B474" s="1">
        <f t="shared" ref="B474:U474" si="473">IF($A474&gt;0,Megyeinapi!B474/'megyelakosság'!B$2*100000," ")</f>
        <v>1.194695552</v>
      </c>
      <c r="C474" s="1">
        <f t="shared" si="473"/>
        <v>1.392334918</v>
      </c>
      <c r="D474" s="1">
        <f t="shared" si="473"/>
        <v>0.3025334148</v>
      </c>
      <c r="E474" s="1">
        <f t="shared" si="473"/>
        <v>0</v>
      </c>
      <c r="F474" s="1">
        <f t="shared" si="473"/>
        <v>0.9713086842</v>
      </c>
      <c r="G474" s="1">
        <f t="shared" si="473"/>
        <v>0.7531405963</v>
      </c>
      <c r="H474" s="1">
        <f t="shared" si="473"/>
        <v>0.9555593247</v>
      </c>
      <c r="I474" s="1">
        <f t="shared" si="473"/>
        <v>0.6340604598</v>
      </c>
      <c r="J474" s="1">
        <f t="shared" si="473"/>
        <v>0.1898516689</v>
      </c>
      <c r="K474" s="1">
        <f t="shared" si="473"/>
        <v>0</v>
      </c>
      <c r="L474" s="1">
        <f t="shared" si="473"/>
        <v>1.090200461</v>
      </c>
      <c r="M474" s="1">
        <f t="shared" si="473"/>
        <v>0.3322314324</v>
      </c>
      <c r="N474" s="1">
        <f t="shared" si="473"/>
        <v>0</v>
      </c>
      <c r="O474" s="1">
        <f t="shared" si="473"/>
        <v>0.231284818</v>
      </c>
      <c r="P474" s="1">
        <f t="shared" si="473"/>
        <v>1.000166694</v>
      </c>
      <c r="Q474" s="1">
        <f t="shared" si="473"/>
        <v>0.364280146</v>
      </c>
      <c r="R474" s="1">
        <f t="shared" si="473"/>
        <v>0.9280139573</v>
      </c>
      <c r="S474" s="1">
        <f t="shared" si="473"/>
        <v>1.180465654</v>
      </c>
      <c r="T474" s="1">
        <f t="shared" si="473"/>
        <v>1.465600882</v>
      </c>
      <c r="U474" s="1">
        <f t="shared" si="473"/>
        <v>0.3741520779</v>
      </c>
    </row>
    <row r="475">
      <c r="A475" s="3">
        <f>IFERROR(__xludf.DUMMYFUNCTION("""COMPUTED_VALUE"""),44394.0)</f>
        <v>44394</v>
      </c>
      <c r="B475" s="1">
        <f t="shared" ref="B475:U475" si="474">IF($A475&gt;0,Megyeinapi!B475/'megyelakosság'!B$2*100000," ")</f>
        <v>0</v>
      </c>
      <c r="C475" s="1">
        <f t="shared" si="474"/>
        <v>0</v>
      </c>
      <c r="D475" s="1">
        <f t="shared" si="474"/>
        <v>0</v>
      </c>
      <c r="E475" s="1">
        <f t="shared" si="474"/>
        <v>0</v>
      </c>
      <c r="F475" s="1">
        <f t="shared" si="474"/>
        <v>0</v>
      </c>
      <c r="G475" s="1">
        <f t="shared" si="474"/>
        <v>0</v>
      </c>
      <c r="H475" s="1">
        <f t="shared" si="474"/>
        <v>0</v>
      </c>
      <c r="I475" s="1">
        <f t="shared" si="474"/>
        <v>0</v>
      </c>
      <c r="J475" s="1">
        <f t="shared" si="474"/>
        <v>0</v>
      </c>
      <c r="K475" s="1">
        <f t="shared" si="474"/>
        <v>0</v>
      </c>
      <c r="L475" s="1">
        <f t="shared" si="474"/>
        <v>0</v>
      </c>
      <c r="M475" s="1">
        <f t="shared" si="474"/>
        <v>0</v>
      </c>
      <c r="N475" s="1">
        <f t="shared" si="474"/>
        <v>0</v>
      </c>
      <c r="O475" s="1">
        <f t="shared" si="474"/>
        <v>0</v>
      </c>
      <c r="P475" s="1">
        <f t="shared" si="474"/>
        <v>0</v>
      </c>
      <c r="Q475" s="1">
        <f t="shared" si="474"/>
        <v>0</v>
      </c>
      <c r="R475" s="1">
        <f t="shared" si="474"/>
        <v>0</v>
      </c>
      <c r="S475" s="1">
        <f t="shared" si="474"/>
        <v>0</v>
      </c>
      <c r="T475" s="1">
        <f t="shared" si="474"/>
        <v>0</v>
      </c>
      <c r="U475" s="1">
        <f t="shared" si="474"/>
        <v>0</v>
      </c>
    </row>
    <row r="476">
      <c r="A476" s="3">
        <f>IFERROR(__xludf.DUMMYFUNCTION("""COMPUTED_VALUE"""),44395.0)</f>
        <v>44395</v>
      </c>
      <c r="B476" s="1">
        <f t="shared" ref="B476:U476" si="475">IF($A476&gt;0,Megyeinapi!B476/'megyelakosság'!B$2*100000," ")</f>
        <v>0</v>
      </c>
      <c r="C476" s="1">
        <f t="shared" si="475"/>
        <v>0</v>
      </c>
      <c r="D476" s="1">
        <f t="shared" si="475"/>
        <v>0</v>
      </c>
      <c r="E476" s="1">
        <f t="shared" si="475"/>
        <v>0</v>
      </c>
      <c r="F476" s="1">
        <f t="shared" si="475"/>
        <v>0</v>
      </c>
      <c r="G476" s="1">
        <f t="shared" si="475"/>
        <v>0</v>
      </c>
      <c r="H476" s="1">
        <f t="shared" si="475"/>
        <v>0</v>
      </c>
      <c r="I476" s="1">
        <f t="shared" si="475"/>
        <v>0</v>
      </c>
      <c r="J476" s="1">
        <f t="shared" si="475"/>
        <v>0</v>
      </c>
      <c r="K476" s="1">
        <f t="shared" si="475"/>
        <v>0</v>
      </c>
      <c r="L476" s="1">
        <f t="shared" si="475"/>
        <v>0</v>
      </c>
      <c r="M476" s="1">
        <f t="shared" si="475"/>
        <v>0</v>
      </c>
      <c r="N476" s="1">
        <f t="shared" si="475"/>
        <v>0</v>
      </c>
      <c r="O476" s="1">
        <f t="shared" si="475"/>
        <v>0</v>
      </c>
      <c r="P476" s="1">
        <f t="shared" si="475"/>
        <v>0</v>
      </c>
      <c r="Q476" s="1">
        <f t="shared" si="475"/>
        <v>0</v>
      </c>
      <c r="R476" s="1">
        <f t="shared" si="475"/>
        <v>0</v>
      </c>
      <c r="S476" s="1">
        <f t="shared" si="475"/>
        <v>0</v>
      </c>
      <c r="T476" s="1">
        <f t="shared" si="475"/>
        <v>0</v>
      </c>
      <c r="U476" s="1">
        <f t="shared" si="475"/>
        <v>0</v>
      </c>
    </row>
    <row r="477">
      <c r="A477" s="3">
        <f>IFERROR(__xludf.DUMMYFUNCTION("""COMPUTED_VALUE"""),44396.0)</f>
        <v>44396</v>
      </c>
      <c r="B477" s="1">
        <f t="shared" ref="B477:U477" si="476">IF($A477&gt;0,Megyeinapi!B477/'megyelakosság'!B$2*100000," ")</f>
        <v>0.9955796265</v>
      </c>
      <c r="C477" s="1">
        <f t="shared" si="476"/>
        <v>1.392334918</v>
      </c>
      <c r="D477" s="1">
        <f t="shared" si="476"/>
        <v>0.3025334148</v>
      </c>
      <c r="E477" s="1">
        <f t="shared" si="476"/>
        <v>1.412730903</v>
      </c>
      <c r="F477" s="1">
        <f t="shared" si="476"/>
        <v>2.342568003</v>
      </c>
      <c r="G477" s="1">
        <f t="shared" si="476"/>
        <v>1.004187462</v>
      </c>
      <c r="H477" s="1">
        <f t="shared" si="476"/>
        <v>0.7166694935</v>
      </c>
      <c r="I477" s="1">
        <f t="shared" si="476"/>
        <v>0.2113534866</v>
      </c>
      <c r="J477" s="1">
        <f t="shared" si="476"/>
        <v>0.1898516689</v>
      </c>
      <c r="K477" s="1">
        <f t="shared" si="476"/>
        <v>0.340807236</v>
      </c>
      <c r="L477" s="1">
        <f t="shared" si="476"/>
        <v>1.090200461</v>
      </c>
      <c r="M477" s="1">
        <f t="shared" si="476"/>
        <v>0.9966942972</v>
      </c>
      <c r="N477" s="1">
        <f t="shared" si="476"/>
        <v>0</v>
      </c>
      <c r="O477" s="1">
        <f t="shared" si="476"/>
        <v>3.006702634</v>
      </c>
      <c r="P477" s="1">
        <f t="shared" si="476"/>
        <v>0.6667777963</v>
      </c>
      <c r="Q477" s="1">
        <f t="shared" si="476"/>
        <v>1.092840438</v>
      </c>
      <c r="R477" s="1">
        <f t="shared" si="476"/>
        <v>1.392020936</v>
      </c>
      <c r="S477" s="1">
        <f t="shared" si="476"/>
        <v>1.967442757</v>
      </c>
      <c r="T477" s="1">
        <f t="shared" si="476"/>
        <v>1.758721058</v>
      </c>
      <c r="U477" s="1">
        <f t="shared" si="476"/>
        <v>0</v>
      </c>
    </row>
    <row r="478">
      <c r="A478" s="3">
        <f>IFERROR(__xludf.DUMMYFUNCTION("""COMPUTED_VALUE"""),44397.0)</f>
        <v>44397</v>
      </c>
      <c r="B478" s="1">
        <f t="shared" ref="B478:U478" si="477">IF($A478&gt;0,Megyeinapi!B478/'megyelakosság'!B$2*100000," ")</f>
        <v>0</v>
      </c>
      <c r="C478" s="1">
        <f t="shared" si="477"/>
        <v>0.5569339671</v>
      </c>
      <c r="D478" s="1">
        <f t="shared" si="477"/>
        <v>0.3025334148</v>
      </c>
      <c r="E478" s="1">
        <f t="shared" si="477"/>
        <v>0.3139402007</v>
      </c>
      <c r="F478" s="1">
        <f t="shared" si="477"/>
        <v>0.3428148297</v>
      </c>
      <c r="G478" s="1">
        <f t="shared" si="477"/>
        <v>0.5020937309</v>
      </c>
      <c r="H478" s="1">
        <f t="shared" si="477"/>
        <v>0</v>
      </c>
      <c r="I478" s="1">
        <f t="shared" si="477"/>
        <v>0.6340604598</v>
      </c>
      <c r="J478" s="1">
        <f t="shared" si="477"/>
        <v>0</v>
      </c>
      <c r="K478" s="1">
        <f t="shared" si="477"/>
        <v>0</v>
      </c>
      <c r="L478" s="1">
        <f t="shared" si="477"/>
        <v>0.2725501152</v>
      </c>
      <c r="M478" s="1">
        <f t="shared" si="477"/>
        <v>0</v>
      </c>
      <c r="N478" s="1">
        <f t="shared" si="477"/>
        <v>0.5316547222</v>
      </c>
      <c r="O478" s="1">
        <f t="shared" si="477"/>
        <v>0.3083797573</v>
      </c>
      <c r="P478" s="1">
        <f t="shared" si="477"/>
        <v>0</v>
      </c>
      <c r="Q478" s="1">
        <f t="shared" si="477"/>
        <v>0</v>
      </c>
      <c r="R478" s="1">
        <f t="shared" si="477"/>
        <v>0.4640069787</v>
      </c>
      <c r="S478" s="1">
        <f t="shared" si="477"/>
        <v>0.3934885515</v>
      </c>
      <c r="T478" s="1">
        <f t="shared" si="477"/>
        <v>0.2931201763</v>
      </c>
      <c r="U478" s="1">
        <f t="shared" si="477"/>
        <v>0</v>
      </c>
    </row>
    <row r="479">
      <c r="A479" s="3">
        <f>IFERROR(__xludf.DUMMYFUNCTION("""COMPUTED_VALUE"""),44398.0)</f>
        <v>44398</v>
      </c>
      <c r="B479" s="1">
        <f t="shared" ref="B479:U479" si="478">IF($A479&gt;0,Megyeinapi!B479/'megyelakosság'!B$2*100000," ")</f>
        <v>0.7964637012</v>
      </c>
      <c r="C479" s="1">
        <f t="shared" si="478"/>
        <v>1.392334918</v>
      </c>
      <c r="D479" s="1">
        <f t="shared" si="478"/>
        <v>1.512667074</v>
      </c>
      <c r="E479" s="1">
        <f t="shared" si="478"/>
        <v>0.941820602</v>
      </c>
      <c r="F479" s="1">
        <f t="shared" si="478"/>
        <v>0.8570370743</v>
      </c>
      <c r="G479" s="1">
        <f t="shared" si="478"/>
        <v>0.5020937309</v>
      </c>
      <c r="H479" s="1">
        <f t="shared" si="478"/>
        <v>0.4777796624</v>
      </c>
      <c r="I479" s="1">
        <f t="shared" si="478"/>
        <v>0</v>
      </c>
      <c r="J479" s="1">
        <f t="shared" si="478"/>
        <v>0</v>
      </c>
      <c r="K479" s="1">
        <f t="shared" si="478"/>
        <v>0.340807236</v>
      </c>
      <c r="L479" s="1">
        <f t="shared" si="478"/>
        <v>1.090200461</v>
      </c>
      <c r="M479" s="1">
        <f t="shared" si="478"/>
        <v>0</v>
      </c>
      <c r="N479" s="1">
        <f t="shared" si="478"/>
        <v>0.5316547222</v>
      </c>
      <c r="O479" s="1">
        <f t="shared" si="478"/>
        <v>0.231284818</v>
      </c>
      <c r="P479" s="1">
        <f t="shared" si="478"/>
        <v>0.3333888981</v>
      </c>
      <c r="Q479" s="1">
        <f t="shared" si="478"/>
        <v>0.364280146</v>
      </c>
      <c r="R479" s="1">
        <f t="shared" si="478"/>
        <v>1.392020936</v>
      </c>
      <c r="S479" s="1">
        <f t="shared" si="478"/>
        <v>0.3934885515</v>
      </c>
      <c r="T479" s="1">
        <f t="shared" si="478"/>
        <v>0.2931201763</v>
      </c>
      <c r="U479" s="1">
        <f t="shared" si="478"/>
        <v>0</v>
      </c>
    </row>
    <row r="480">
      <c r="A480" s="3">
        <f>IFERROR(__xludf.DUMMYFUNCTION("""COMPUTED_VALUE"""),44399.0)</f>
        <v>44399</v>
      </c>
      <c r="B480" s="1">
        <f t="shared" ref="B480:U480" si="479">IF($A480&gt;0,Megyeinapi!B480/'megyelakosság'!B$2*100000," ")</f>
        <v>0</v>
      </c>
      <c r="C480" s="1">
        <f t="shared" si="479"/>
        <v>0.5569339671</v>
      </c>
      <c r="D480" s="1">
        <f t="shared" si="479"/>
        <v>0.6050668296</v>
      </c>
      <c r="E480" s="1">
        <f t="shared" si="479"/>
        <v>0.6278804013</v>
      </c>
      <c r="F480" s="1">
        <f t="shared" si="479"/>
        <v>1.028444489</v>
      </c>
      <c r="G480" s="1">
        <f t="shared" si="479"/>
        <v>0.2510468654</v>
      </c>
      <c r="H480" s="1">
        <f t="shared" si="479"/>
        <v>0.9555593247</v>
      </c>
      <c r="I480" s="1">
        <f t="shared" si="479"/>
        <v>0</v>
      </c>
      <c r="J480" s="1">
        <f t="shared" si="479"/>
        <v>0.1898516689</v>
      </c>
      <c r="K480" s="1">
        <f t="shared" si="479"/>
        <v>2.385650652</v>
      </c>
      <c r="L480" s="1">
        <f t="shared" si="479"/>
        <v>0</v>
      </c>
      <c r="M480" s="1">
        <f t="shared" si="479"/>
        <v>0.6644628648</v>
      </c>
      <c r="N480" s="1">
        <f t="shared" si="479"/>
        <v>0.5316547222</v>
      </c>
      <c r="O480" s="1">
        <f t="shared" si="479"/>
        <v>1.079329151</v>
      </c>
      <c r="P480" s="1">
        <f t="shared" si="479"/>
        <v>2.333722287</v>
      </c>
      <c r="Q480" s="1">
        <f t="shared" si="479"/>
        <v>0.182140073</v>
      </c>
      <c r="R480" s="1">
        <f t="shared" si="479"/>
        <v>0.4640069787</v>
      </c>
      <c r="S480" s="1">
        <f t="shared" si="479"/>
        <v>0.7869771029</v>
      </c>
      <c r="T480" s="1">
        <f t="shared" si="479"/>
        <v>1.172480705</v>
      </c>
      <c r="U480" s="1">
        <f t="shared" si="479"/>
        <v>0</v>
      </c>
    </row>
    <row r="481">
      <c r="A481" s="3">
        <f>IFERROR(__xludf.DUMMYFUNCTION("""COMPUTED_VALUE"""),44400.0)</f>
        <v>44400</v>
      </c>
      <c r="B481" s="1">
        <f t="shared" ref="B481:U481" si="480">IF($A481&gt;0,Megyeinapi!B481/'megyelakosság'!B$2*100000," ")</f>
        <v>0.1991159253</v>
      </c>
      <c r="C481" s="1">
        <f t="shared" si="480"/>
        <v>0.2784669836</v>
      </c>
      <c r="D481" s="1">
        <f t="shared" si="480"/>
        <v>0.3025334148</v>
      </c>
      <c r="E481" s="1">
        <f t="shared" si="480"/>
        <v>2.197581405</v>
      </c>
      <c r="F481" s="1">
        <f t="shared" si="480"/>
        <v>1.599802539</v>
      </c>
      <c r="G481" s="1">
        <f t="shared" si="480"/>
        <v>0.2510468654</v>
      </c>
      <c r="H481" s="1">
        <f t="shared" si="480"/>
        <v>0.2388898312</v>
      </c>
      <c r="I481" s="1">
        <f t="shared" si="480"/>
        <v>2.324888353</v>
      </c>
      <c r="J481" s="1">
        <f t="shared" si="480"/>
        <v>0.7594066756</v>
      </c>
      <c r="K481" s="1">
        <f t="shared" si="480"/>
        <v>0.340807236</v>
      </c>
      <c r="L481" s="1">
        <f t="shared" si="480"/>
        <v>0</v>
      </c>
      <c r="M481" s="1">
        <f t="shared" si="480"/>
        <v>0.3322314324</v>
      </c>
      <c r="N481" s="1">
        <f t="shared" si="480"/>
        <v>0.5316547222</v>
      </c>
      <c r="O481" s="1">
        <f t="shared" si="480"/>
        <v>1.002234211</v>
      </c>
      <c r="P481" s="1">
        <f t="shared" si="480"/>
        <v>1.000166694</v>
      </c>
      <c r="Q481" s="1">
        <f t="shared" si="480"/>
        <v>0.182140073</v>
      </c>
      <c r="R481" s="1">
        <f t="shared" si="480"/>
        <v>0</v>
      </c>
      <c r="S481" s="1">
        <f t="shared" si="480"/>
        <v>0.7869771029</v>
      </c>
      <c r="T481" s="1">
        <f t="shared" si="480"/>
        <v>0.2931201763</v>
      </c>
      <c r="U481" s="1">
        <f t="shared" si="480"/>
        <v>0</v>
      </c>
    </row>
    <row r="482">
      <c r="A482" s="3">
        <f>IFERROR(__xludf.DUMMYFUNCTION("""COMPUTED_VALUE"""),44401.0)</f>
        <v>44401</v>
      </c>
      <c r="B482" s="1">
        <f t="shared" ref="B482:U482" si="481">IF($A482&gt;0,Megyeinapi!B482/'megyelakosság'!B$2*100000," ")</f>
        <v>0</v>
      </c>
      <c r="C482" s="1">
        <f t="shared" si="481"/>
        <v>0</v>
      </c>
      <c r="D482" s="1">
        <f t="shared" si="481"/>
        <v>0</v>
      </c>
      <c r="E482" s="1">
        <f t="shared" si="481"/>
        <v>0</v>
      </c>
      <c r="F482" s="1">
        <f t="shared" si="481"/>
        <v>0</v>
      </c>
      <c r="G482" s="1">
        <f t="shared" si="481"/>
        <v>0</v>
      </c>
      <c r="H482" s="1">
        <f t="shared" si="481"/>
        <v>0</v>
      </c>
      <c r="I482" s="1">
        <f t="shared" si="481"/>
        <v>0</v>
      </c>
      <c r="J482" s="1">
        <f t="shared" si="481"/>
        <v>0</v>
      </c>
      <c r="K482" s="1">
        <f t="shared" si="481"/>
        <v>0</v>
      </c>
      <c r="L482" s="1">
        <f t="shared" si="481"/>
        <v>0</v>
      </c>
      <c r="M482" s="1">
        <f t="shared" si="481"/>
        <v>0</v>
      </c>
      <c r="N482" s="1">
        <f t="shared" si="481"/>
        <v>0</v>
      </c>
      <c r="O482" s="1">
        <f t="shared" si="481"/>
        <v>0</v>
      </c>
      <c r="P482" s="1">
        <f t="shared" si="481"/>
        <v>0</v>
      </c>
      <c r="Q482" s="1">
        <f t="shared" si="481"/>
        <v>0</v>
      </c>
      <c r="R482" s="1">
        <f t="shared" si="481"/>
        <v>0</v>
      </c>
      <c r="S482" s="1">
        <f t="shared" si="481"/>
        <v>0</v>
      </c>
      <c r="T482" s="1">
        <f t="shared" si="481"/>
        <v>0</v>
      </c>
      <c r="U482" s="1">
        <f t="shared" si="481"/>
        <v>0</v>
      </c>
    </row>
    <row r="483">
      <c r="A483" s="3">
        <f>IFERROR(__xludf.DUMMYFUNCTION("""COMPUTED_VALUE"""),44402.0)</f>
        <v>44402</v>
      </c>
      <c r="B483" s="1">
        <f t="shared" ref="B483:U483" si="482">IF($A483&gt;0,Megyeinapi!B483/'megyelakosság'!B$2*100000," ")</f>
        <v>0</v>
      </c>
      <c r="C483" s="1">
        <f t="shared" si="482"/>
        <v>0</v>
      </c>
      <c r="D483" s="1">
        <f t="shared" si="482"/>
        <v>0</v>
      </c>
      <c r="E483" s="1">
        <f t="shared" si="482"/>
        <v>0</v>
      </c>
      <c r="F483" s="1">
        <f t="shared" si="482"/>
        <v>0</v>
      </c>
      <c r="G483" s="1">
        <f t="shared" si="482"/>
        <v>0</v>
      </c>
      <c r="H483" s="1">
        <f t="shared" si="482"/>
        <v>0</v>
      </c>
      <c r="I483" s="1">
        <f t="shared" si="482"/>
        <v>0</v>
      </c>
      <c r="J483" s="1">
        <f t="shared" si="482"/>
        <v>0</v>
      </c>
      <c r="K483" s="1">
        <f t="shared" si="482"/>
        <v>0</v>
      </c>
      <c r="L483" s="1">
        <f t="shared" si="482"/>
        <v>0</v>
      </c>
      <c r="M483" s="1">
        <f t="shared" si="482"/>
        <v>0</v>
      </c>
      <c r="N483" s="1">
        <f t="shared" si="482"/>
        <v>0</v>
      </c>
      <c r="O483" s="1">
        <f t="shared" si="482"/>
        <v>0</v>
      </c>
      <c r="P483" s="1">
        <f t="shared" si="482"/>
        <v>0</v>
      </c>
      <c r="Q483" s="1">
        <f t="shared" si="482"/>
        <v>0</v>
      </c>
      <c r="R483" s="1">
        <f t="shared" si="482"/>
        <v>0</v>
      </c>
      <c r="S483" s="1">
        <f t="shared" si="482"/>
        <v>0</v>
      </c>
      <c r="T483" s="1">
        <f t="shared" si="482"/>
        <v>0</v>
      </c>
      <c r="U483" s="1">
        <f t="shared" si="482"/>
        <v>0</v>
      </c>
    </row>
    <row r="484">
      <c r="A484" s="3">
        <f>IFERROR(__xludf.DUMMYFUNCTION("""COMPUTED_VALUE"""),44403.0)</f>
        <v>44403</v>
      </c>
      <c r="B484" s="1">
        <f t="shared" ref="B484:U484" si="483">IF($A484&gt;0,Megyeinapi!B484/'megyelakosság'!B$2*100000," ")</f>
        <v>0.1991159253</v>
      </c>
      <c r="C484" s="1">
        <f t="shared" si="483"/>
        <v>0.8354009507</v>
      </c>
      <c r="D484" s="1">
        <f t="shared" si="483"/>
        <v>1.512667074</v>
      </c>
      <c r="E484" s="1">
        <f t="shared" si="483"/>
        <v>2.197581405</v>
      </c>
      <c r="F484" s="1">
        <f t="shared" si="483"/>
        <v>3.885234737</v>
      </c>
      <c r="G484" s="1">
        <f t="shared" si="483"/>
        <v>0.2510468654</v>
      </c>
      <c r="H484" s="1">
        <f t="shared" si="483"/>
        <v>0.9555593247</v>
      </c>
      <c r="I484" s="1">
        <f t="shared" si="483"/>
        <v>1.056767433</v>
      </c>
      <c r="J484" s="1">
        <f t="shared" si="483"/>
        <v>0.3797033378</v>
      </c>
      <c r="K484" s="1">
        <f t="shared" si="483"/>
        <v>1.022421708</v>
      </c>
      <c r="L484" s="1">
        <f t="shared" si="483"/>
        <v>0.8176503455</v>
      </c>
      <c r="M484" s="1">
        <f t="shared" si="483"/>
        <v>2.325620027</v>
      </c>
      <c r="N484" s="1">
        <f t="shared" si="483"/>
        <v>1.063309444</v>
      </c>
      <c r="O484" s="1">
        <f t="shared" si="483"/>
        <v>1.696088665</v>
      </c>
      <c r="P484" s="1">
        <f t="shared" si="483"/>
        <v>1.666944491</v>
      </c>
      <c r="Q484" s="1">
        <f t="shared" si="483"/>
        <v>0.364280146</v>
      </c>
      <c r="R484" s="1">
        <f t="shared" si="483"/>
        <v>0.9280139573</v>
      </c>
      <c r="S484" s="1">
        <f t="shared" si="483"/>
        <v>1.573954206</v>
      </c>
      <c r="T484" s="1">
        <f t="shared" si="483"/>
        <v>1.172480705</v>
      </c>
      <c r="U484" s="1">
        <f t="shared" si="483"/>
        <v>1.496608311</v>
      </c>
    </row>
    <row r="485">
      <c r="A485" s="3">
        <f>IFERROR(__xludf.DUMMYFUNCTION("""COMPUTED_VALUE"""),44404.0)</f>
        <v>44404</v>
      </c>
      <c r="B485" s="1">
        <f t="shared" ref="B485:U485" si="484">IF($A485&gt;0,Megyeinapi!B485/'megyelakosság'!B$2*100000," ")</f>
        <v>0.1991159253</v>
      </c>
      <c r="C485" s="1">
        <f t="shared" si="484"/>
        <v>0</v>
      </c>
      <c r="D485" s="1">
        <f t="shared" si="484"/>
        <v>0.3025334148</v>
      </c>
      <c r="E485" s="1">
        <f t="shared" si="484"/>
        <v>0.3139402007</v>
      </c>
      <c r="F485" s="1">
        <f t="shared" si="484"/>
        <v>0.4570864396</v>
      </c>
      <c r="G485" s="1">
        <f t="shared" si="484"/>
        <v>0.5020937309</v>
      </c>
      <c r="H485" s="1">
        <f t="shared" si="484"/>
        <v>0.2388898312</v>
      </c>
      <c r="I485" s="1">
        <f t="shared" si="484"/>
        <v>0</v>
      </c>
      <c r="J485" s="1">
        <f t="shared" si="484"/>
        <v>0</v>
      </c>
      <c r="K485" s="1">
        <f t="shared" si="484"/>
        <v>0.340807236</v>
      </c>
      <c r="L485" s="1">
        <f t="shared" si="484"/>
        <v>0</v>
      </c>
      <c r="M485" s="1">
        <f t="shared" si="484"/>
        <v>0</v>
      </c>
      <c r="N485" s="1">
        <f t="shared" si="484"/>
        <v>0</v>
      </c>
      <c r="O485" s="1">
        <f t="shared" si="484"/>
        <v>0.3083797573</v>
      </c>
      <c r="P485" s="1">
        <f t="shared" si="484"/>
        <v>1.000166694</v>
      </c>
      <c r="Q485" s="1">
        <f t="shared" si="484"/>
        <v>0.364280146</v>
      </c>
      <c r="R485" s="1">
        <f t="shared" si="484"/>
        <v>0</v>
      </c>
      <c r="S485" s="1">
        <f t="shared" si="484"/>
        <v>0.3934885515</v>
      </c>
      <c r="T485" s="1">
        <f t="shared" si="484"/>
        <v>0</v>
      </c>
      <c r="U485" s="1">
        <f t="shared" si="484"/>
        <v>0</v>
      </c>
    </row>
    <row r="486">
      <c r="A486" s="3">
        <f>IFERROR(__xludf.DUMMYFUNCTION("""COMPUTED_VALUE"""),44405.0)</f>
        <v>44405</v>
      </c>
      <c r="B486" s="1">
        <f t="shared" ref="B486:U486" si="485">IF($A486&gt;0,Megyeinapi!B486/'megyelakosság'!B$2*100000," ")</f>
        <v>0.3982318506</v>
      </c>
      <c r="C486" s="1">
        <f t="shared" si="485"/>
        <v>1.113867934</v>
      </c>
      <c r="D486" s="1">
        <f t="shared" si="485"/>
        <v>0.3025334148</v>
      </c>
      <c r="E486" s="1">
        <f t="shared" si="485"/>
        <v>1.255760803</v>
      </c>
      <c r="F486" s="1">
        <f t="shared" si="485"/>
        <v>1.428395124</v>
      </c>
      <c r="G486" s="1">
        <f t="shared" si="485"/>
        <v>0.5020937309</v>
      </c>
      <c r="H486" s="1">
        <f t="shared" si="485"/>
        <v>0.7166694935</v>
      </c>
      <c r="I486" s="1">
        <f t="shared" si="485"/>
        <v>0.2113534866</v>
      </c>
      <c r="J486" s="1">
        <f t="shared" si="485"/>
        <v>0.3797033378</v>
      </c>
      <c r="K486" s="1">
        <f t="shared" si="485"/>
        <v>0.340807236</v>
      </c>
      <c r="L486" s="1">
        <f t="shared" si="485"/>
        <v>0.2725501152</v>
      </c>
      <c r="M486" s="1">
        <f t="shared" si="485"/>
        <v>0</v>
      </c>
      <c r="N486" s="1">
        <f t="shared" si="485"/>
        <v>0</v>
      </c>
      <c r="O486" s="1">
        <f t="shared" si="485"/>
        <v>0.6167595147</v>
      </c>
      <c r="P486" s="1">
        <f t="shared" si="485"/>
        <v>2.667111185</v>
      </c>
      <c r="Q486" s="1">
        <f t="shared" si="485"/>
        <v>0.728560292</v>
      </c>
      <c r="R486" s="1">
        <f t="shared" si="485"/>
        <v>0</v>
      </c>
      <c r="S486" s="1">
        <f t="shared" si="485"/>
        <v>0.3934885515</v>
      </c>
      <c r="T486" s="1">
        <f t="shared" si="485"/>
        <v>0.879360529</v>
      </c>
      <c r="U486" s="1">
        <f t="shared" si="485"/>
        <v>0</v>
      </c>
    </row>
    <row r="487">
      <c r="A487" s="3">
        <f>IFERROR(__xludf.DUMMYFUNCTION("""COMPUTED_VALUE"""),44406.0)</f>
        <v>44406</v>
      </c>
      <c r="B487" s="1">
        <f t="shared" ref="B487:U487" si="486">IF($A487&gt;0,Megyeinapi!B487/'megyelakosság'!B$2*100000," ")</f>
        <v>0.1991159253</v>
      </c>
      <c r="C487" s="1">
        <f t="shared" si="486"/>
        <v>0.2784669836</v>
      </c>
      <c r="D487" s="1">
        <f t="shared" si="486"/>
        <v>0</v>
      </c>
      <c r="E487" s="1">
        <f t="shared" si="486"/>
        <v>0.470910301</v>
      </c>
      <c r="F487" s="1">
        <f t="shared" si="486"/>
        <v>0.8570370743</v>
      </c>
      <c r="G487" s="1">
        <f t="shared" si="486"/>
        <v>0.7531405963</v>
      </c>
      <c r="H487" s="1">
        <f t="shared" si="486"/>
        <v>0.7166694935</v>
      </c>
      <c r="I487" s="1">
        <f t="shared" si="486"/>
        <v>0.4227069732</v>
      </c>
      <c r="J487" s="1">
        <f t="shared" si="486"/>
        <v>0.7594066756</v>
      </c>
      <c r="K487" s="1">
        <f t="shared" si="486"/>
        <v>0.681614472</v>
      </c>
      <c r="L487" s="1">
        <f t="shared" si="486"/>
        <v>0</v>
      </c>
      <c r="M487" s="1">
        <f t="shared" si="486"/>
        <v>1.32892573</v>
      </c>
      <c r="N487" s="1">
        <f t="shared" si="486"/>
        <v>0</v>
      </c>
      <c r="O487" s="1">
        <f t="shared" si="486"/>
        <v>0.7709493933</v>
      </c>
      <c r="P487" s="1">
        <f t="shared" si="486"/>
        <v>2.000333389</v>
      </c>
      <c r="Q487" s="1">
        <f t="shared" si="486"/>
        <v>0.182140073</v>
      </c>
      <c r="R487" s="1">
        <f t="shared" si="486"/>
        <v>0.9280139573</v>
      </c>
      <c r="S487" s="1">
        <f t="shared" si="486"/>
        <v>1.180465654</v>
      </c>
      <c r="T487" s="1">
        <f t="shared" si="486"/>
        <v>1.465600882</v>
      </c>
      <c r="U487" s="1">
        <f t="shared" si="486"/>
        <v>0</v>
      </c>
    </row>
    <row r="488">
      <c r="A488" s="3">
        <f>IFERROR(__xludf.DUMMYFUNCTION("""COMPUTED_VALUE"""),44407.0)</f>
        <v>44407</v>
      </c>
      <c r="B488" s="1">
        <f t="shared" ref="B488:U488" si="487">IF($A488&gt;0,Megyeinapi!B488/'megyelakosság'!B$2*100000," ")</f>
        <v>0.1991159253</v>
      </c>
      <c r="C488" s="1">
        <f t="shared" si="487"/>
        <v>0.8354009507</v>
      </c>
      <c r="D488" s="1">
        <f t="shared" si="487"/>
        <v>0.3025334148</v>
      </c>
      <c r="E488" s="1">
        <f t="shared" si="487"/>
        <v>1.098790702</v>
      </c>
      <c r="F488" s="1">
        <f t="shared" si="487"/>
        <v>1.028444489</v>
      </c>
      <c r="G488" s="1">
        <f t="shared" si="487"/>
        <v>0.2510468654</v>
      </c>
      <c r="H488" s="1">
        <f t="shared" si="487"/>
        <v>1.433338987</v>
      </c>
      <c r="I488" s="1">
        <f t="shared" si="487"/>
        <v>0.6340604598</v>
      </c>
      <c r="J488" s="1">
        <f t="shared" si="487"/>
        <v>0</v>
      </c>
      <c r="K488" s="1">
        <f t="shared" si="487"/>
        <v>0.681614472</v>
      </c>
      <c r="L488" s="1">
        <f t="shared" si="487"/>
        <v>0</v>
      </c>
      <c r="M488" s="1">
        <f t="shared" si="487"/>
        <v>1.32892573</v>
      </c>
      <c r="N488" s="1">
        <f t="shared" si="487"/>
        <v>1.063309444</v>
      </c>
      <c r="O488" s="1">
        <f t="shared" si="487"/>
        <v>0.6167595147</v>
      </c>
      <c r="P488" s="1">
        <f t="shared" si="487"/>
        <v>1.666944491</v>
      </c>
      <c r="Q488" s="1">
        <f t="shared" si="487"/>
        <v>0</v>
      </c>
      <c r="R488" s="1">
        <f t="shared" si="487"/>
        <v>0.4640069787</v>
      </c>
      <c r="S488" s="1">
        <f t="shared" si="487"/>
        <v>0.3934885515</v>
      </c>
      <c r="T488" s="1">
        <f t="shared" si="487"/>
        <v>0.2931201763</v>
      </c>
      <c r="U488" s="1">
        <f t="shared" si="487"/>
        <v>0</v>
      </c>
    </row>
    <row r="489">
      <c r="A489" s="3">
        <f>IFERROR(__xludf.DUMMYFUNCTION("""COMPUTED_VALUE"""),44408.0)</f>
        <v>44408</v>
      </c>
      <c r="B489" s="1">
        <f t="shared" ref="B489:U489" si="488">IF($A489&gt;0,Megyeinapi!B489/'megyelakosság'!B$2*100000," ")</f>
        <v>0</v>
      </c>
      <c r="C489" s="1">
        <f t="shared" si="488"/>
        <v>0</v>
      </c>
      <c r="D489" s="1">
        <f t="shared" si="488"/>
        <v>0</v>
      </c>
      <c r="E489" s="1">
        <f t="shared" si="488"/>
        <v>0</v>
      </c>
      <c r="F489" s="1">
        <f t="shared" si="488"/>
        <v>0</v>
      </c>
      <c r="G489" s="1">
        <f t="shared" si="488"/>
        <v>0</v>
      </c>
      <c r="H489" s="1">
        <f t="shared" si="488"/>
        <v>0</v>
      </c>
      <c r="I489" s="1">
        <f t="shared" si="488"/>
        <v>0</v>
      </c>
      <c r="J489" s="1">
        <f t="shared" si="488"/>
        <v>0</v>
      </c>
      <c r="K489" s="1">
        <f t="shared" si="488"/>
        <v>0</v>
      </c>
      <c r="L489" s="1">
        <f t="shared" si="488"/>
        <v>0</v>
      </c>
      <c r="M489" s="1">
        <f t="shared" si="488"/>
        <v>0</v>
      </c>
      <c r="N489" s="1">
        <f t="shared" si="488"/>
        <v>0</v>
      </c>
      <c r="O489" s="1">
        <f t="shared" si="488"/>
        <v>0</v>
      </c>
      <c r="P489" s="1">
        <f t="shared" si="488"/>
        <v>0</v>
      </c>
      <c r="Q489" s="1">
        <f t="shared" si="488"/>
        <v>0</v>
      </c>
      <c r="R489" s="1">
        <f t="shared" si="488"/>
        <v>0</v>
      </c>
      <c r="S489" s="1">
        <f t="shared" si="488"/>
        <v>0</v>
      </c>
      <c r="T489" s="1">
        <f t="shared" si="488"/>
        <v>0</v>
      </c>
      <c r="U489" s="1">
        <f t="shared" si="488"/>
        <v>0</v>
      </c>
    </row>
    <row r="490">
      <c r="A490" s="3">
        <f>IFERROR(__xludf.DUMMYFUNCTION("""COMPUTED_VALUE"""),44409.0)</f>
        <v>44409</v>
      </c>
      <c r="B490" s="1">
        <f t="shared" ref="B490:U490" si="489">IF($A490&gt;0,Megyeinapi!B490/'megyelakosság'!B$2*100000," ")</f>
        <v>0</v>
      </c>
      <c r="C490" s="1">
        <f t="shared" si="489"/>
        <v>0</v>
      </c>
      <c r="D490" s="1">
        <f t="shared" si="489"/>
        <v>0</v>
      </c>
      <c r="E490" s="1">
        <f t="shared" si="489"/>
        <v>0</v>
      </c>
      <c r="F490" s="1">
        <f t="shared" si="489"/>
        <v>0</v>
      </c>
      <c r="G490" s="1">
        <f t="shared" si="489"/>
        <v>0</v>
      </c>
      <c r="H490" s="1">
        <f t="shared" si="489"/>
        <v>0</v>
      </c>
      <c r="I490" s="1">
        <f t="shared" si="489"/>
        <v>0</v>
      </c>
      <c r="J490" s="1">
        <f t="shared" si="489"/>
        <v>0</v>
      </c>
      <c r="K490" s="1">
        <f t="shared" si="489"/>
        <v>0</v>
      </c>
      <c r="L490" s="1">
        <f t="shared" si="489"/>
        <v>0</v>
      </c>
      <c r="M490" s="1">
        <f t="shared" si="489"/>
        <v>0</v>
      </c>
      <c r="N490" s="1">
        <f t="shared" si="489"/>
        <v>0</v>
      </c>
      <c r="O490" s="1">
        <f t="shared" si="489"/>
        <v>0</v>
      </c>
      <c r="P490" s="1">
        <f t="shared" si="489"/>
        <v>0</v>
      </c>
      <c r="Q490" s="1">
        <f t="shared" si="489"/>
        <v>0</v>
      </c>
      <c r="R490" s="1">
        <f t="shared" si="489"/>
        <v>0</v>
      </c>
      <c r="S490" s="1">
        <f t="shared" si="489"/>
        <v>0</v>
      </c>
      <c r="T490" s="1">
        <f t="shared" si="489"/>
        <v>0</v>
      </c>
      <c r="U490" s="1">
        <f t="shared" si="489"/>
        <v>0</v>
      </c>
    </row>
    <row r="491">
      <c r="A491" s="3">
        <f>IFERROR(__xludf.DUMMYFUNCTION("""COMPUTED_VALUE"""),44410.0)</f>
        <v>44410</v>
      </c>
      <c r="B491" s="1">
        <f t="shared" ref="B491:U491" si="490">IF($A491&gt;0,Megyeinapi!B491/'megyelakosság'!B$2*100000," ")</f>
        <v>1.991159253</v>
      </c>
      <c r="C491" s="1">
        <f t="shared" si="490"/>
        <v>0.8354009507</v>
      </c>
      <c r="D491" s="1">
        <f t="shared" si="490"/>
        <v>0.6050668296</v>
      </c>
      <c r="E491" s="1">
        <f t="shared" si="490"/>
        <v>1.569701003</v>
      </c>
      <c r="F491" s="1">
        <f t="shared" si="490"/>
        <v>3.542419907</v>
      </c>
      <c r="G491" s="1">
        <f t="shared" si="490"/>
        <v>0.7531405963</v>
      </c>
      <c r="H491" s="1">
        <f t="shared" si="490"/>
        <v>1.433338987</v>
      </c>
      <c r="I491" s="1">
        <f t="shared" si="490"/>
        <v>1.479474406</v>
      </c>
      <c r="J491" s="1">
        <f t="shared" si="490"/>
        <v>1.139110013</v>
      </c>
      <c r="K491" s="1">
        <f t="shared" si="490"/>
        <v>0.340807236</v>
      </c>
      <c r="L491" s="1">
        <f t="shared" si="490"/>
        <v>0</v>
      </c>
      <c r="M491" s="1">
        <f t="shared" si="490"/>
        <v>0.6644628648</v>
      </c>
      <c r="N491" s="1">
        <f t="shared" si="490"/>
        <v>2.658273611</v>
      </c>
      <c r="O491" s="1">
        <f t="shared" si="490"/>
        <v>1.233519029</v>
      </c>
      <c r="P491" s="1">
        <f t="shared" si="490"/>
        <v>2.333722287</v>
      </c>
      <c r="Q491" s="1">
        <f t="shared" si="490"/>
        <v>0.364280146</v>
      </c>
      <c r="R491" s="1">
        <f t="shared" si="490"/>
        <v>2.320034893</v>
      </c>
      <c r="S491" s="1">
        <f t="shared" si="490"/>
        <v>0.3934885515</v>
      </c>
      <c r="T491" s="1">
        <f t="shared" si="490"/>
        <v>1.758721058</v>
      </c>
      <c r="U491" s="1">
        <f t="shared" si="490"/>
        <v>0.3741520779</v>
      </c>
    </row>
    <row r="492">
      <c r="A492" s="3">
        <f>IFERROR(__xludf.DUMMYFUNCTION("""COMPUTED_VALUE"""),44411.0)</f>
        <v>44411</v>
      </c>
      <c r="B492" s="1">
        <f t="shared" ref="B492:U492" si="491">IF($A492&gt;0,Megyeinapi!B492/'megyelakosság'!B$2*100000," ")</f>
        <v>0</v>
      </c>
      <c r="C492" s="1">
        <f t="shared" si="491"/>
        <v>0.5569339671</v>
      </c>
      <c r="D492" s="1">
        <f t="shared" si="491"/>
        <v>0</v>
      </c>
      <c r="E492" s="1">
        <f t="shared" si="491"/>
        <v>0.6278804013</v>
      </c>
      <c r="F492" s="1">
        <f t="shared" si="491"/>
        <v>0.6284938545</v>
      </c>
      <c r="G492" s="1">
        <f t="shared" si="491"/>
        <v>0</v>
      </c>
      <c r="H492" s="1">
        <f t="shared" si="491"/>
        <v>0</v>
      </c>
      <c r="I492" s="1">
        <f t="shared" si="491"/>
        <v>0</v>
      </c>
      <c r="J492" s="1">
        <f t="shared" si="491"/>
        <v>0.1898516689</v>
      </c>
      <c r="K492" s="1">
        <f t="shared" si="491"/>
        <v>0</v>
      </c>
      <c r="L492" s="1">
        <f t="shared" si="491"/>
        <v>0.2725501152</v>
      </c>
      <c r="M492" s="1">
        <f t="shared" si="491"/>
        <v>0.3322314324</v>
      </c>
      <c r="N492" s="1">
        <f t="shared" si="491"/>
        <v>0</v>
      </c>
      <c r="O492" s="1">
        <f t="shared" si="491"/>
        <v>0.231284818</v>
      </c>
      <c r="P492" s="1">
        <f t="shared" si="491"/>
        <v>0.3333888981</v>
      </c>
      <c r="Q492" s="1">
        <f t="shared" si="491"/>
        <v>0</v>
      </c>
      <c r="R492" s="1">
        <f t="shared" si="491"/>
        <v>0</v>
      </c>
      <c r="S492" s="1">
        <f t="shared" si="491"/>
        <v>0</v>
      </c>
      <c r="T492" s="1">
        <f t="shared" si="491"/>
        <v>0.2931201763</v>
      </c>
      <c r="U492" s="1">
        <f t="shared" si="491"/>
        <v>0.3741520779</v>
      </c>
    </row>
    <row r="493">
      <c r="A493" s="3">
        <f>IFERROR(__xludf.DUMMYFUNCTION("""COMPUTED_VALUE"""),44412.0)</f>
        <v>44412</v>
      </c>
      <c r="B493" s="1">
        <f t="shared" ref="B493:U493" si="492">IF($A493&gt;0,Megyeinapi!B493/'megyelakosság'!B$2*100000," ")</f>
        <v>0.9955796265</v>
      </c>
      <c r="C493" s="1">
        <f t="shared" si="492"/>
        <v>0.8354009507</v>
      </c>
      <c r="D493" s="1">
        <f t="shared" si="492"/>
        <v>0.9076002444</v>
      </c>
      <c r="E493" s="1">
        <f t="shared" si="492"/>
        <v>0.7848505017</v>
      </c>
      <c r="F493" s="1">
        <f t="shared" si="492"/>
        <v>0.9141728792</v>
      </c>
      <c r="G493" s="1">
        <f t="shared" si="492"/>
        <v>0.2510468654</v>
      </c>
      <c r="H493" s="1">
        <f t="shared" si="492"/>
        <v>0.2388898312</v>
      </c>
      <c r="I493" s="1">
        <f t="shared" si="492"/>
        <v>0.8454139464</v>
      </c>
      <c r="J493" s="1">
        <f t="shared" si="492"/>
        <v>0.3797033378</v>
      </c>
      <c r="K493" s="1">
        <f t="shared" si="492"/>
        <v>1.022421708</v>
      </c>
      <c r="L493" s="1">
        <f t="shared" si="492"/>
        <v>1.090200461</v>
      </c>
      <c r="M493" s="1">
        <f t="shared" si="492"/>
        <v>0</v>
      </c>
      <c r="N493" s="1">
        <f t="shared" si="492"/>
        <v>1.063309444</v>
      </c>
      <c r="O493" s="1">
        <f t="shared" si="492"/>
        <v>0.462569636</v>
      </c>
      <c r="P493" s="1">
        <f t="shared" si="492"/>
        <v>0.6667777963</v>
      </c>
      <c r="Q493" s="1">
        <f t="shared" si="492"/>
        <v>0.182140073</v>
      </c>
      <c r="R493" s="1">
        <f t="shared" si="492"/>
        <v>0</v>
      </c>
      <c r="S493" s="1">
        <f t="shared" si="492"/>
        <v>0.3934885515</v>
      </c>
      <c r="T493" s="1">
        <f t="shared" si="492"/>
        <v>0</v>
      </c>
      <c r="U493" s="1">
        <f t="shared" si="492"/>
        <v>0</v>
      </c>
    </row>
    <row r="494">
      <c r="A494" s="3">
        <f>IFERROR(__xludf.DUMMYFUNCTION("""COMPUTED_VALUE"""),44413.0)</f>
        <v>44413</v>
      </c>
      <c r="B494" s="1">
        <f t="shared" ref="B494:U494" si="493">IF($A494&gt;0,Megyeinapi!B494/'megyelakosság'!B$2*100000," ")</f>
        <v>0.5973477759</v>
      </c>
      <c r="C494" s="1">
        <f t="shared" si="493"/>
        <v>1.670801901</v>
      </c>
      <c r="D494" s="1">
        <f t="shared" si="493"/>
        <v>0</v>
      </c>
      <c r="E494" s="1">
        <f t="shared" si="493"/>
        <v>0.470910301</v>
      </c>
      <c r="F494" s="1">
        <f t="shared" si="493"/>
        <v>1.999753173</v>
      </c>
      <c r="G494" s="1">
        <f t="shared" si="493"/>
        <v>0</v>
      </c>
      <c r="H494" s="1">
        <f t="shared" si="493"/>
        <v>0</v>
      </c>
      <c r="I494" s="1">
        <f t="shared" si="493"/>
        <v>0.2113534866</v>
      </c>
      <c r="J494" s="1">
        <f t="shared" si="493"/>
        <v>0.3797033378</v>
      </c>
      <c r="K494" s="1">
        <f t="shared" si="493"/>
        <v>1.363228944</v>
      </c>
      <c r="L494" s="1">
        <f t="shared" si="493"/>
        <v>0.2725501152</v>
      </c>
      <c r="M494" s="1">
        <f t="shared" si="493"/>
        <v>0.3322314324</v>
      </c>
      <c r="N494" s="1">
        <f t="shared" si="493"/>
        <v>0</v>
      </c>
      <c r="O494" s="1">
        <f t="shared" si="493"/>
        <v>0.5396645753</v>
      </c>
      <c r="P494" s="1">
        <f t="shared" si="493"/>
        <v>0.6667777963</v>
      </c>
      <c r="Q494" s="1">
        <f t="shared" si="493"/>
        <v>0.182140073</v>
      </c>
      <c r="R494" s="1">
        <f t="shared" si="493"/>
        <v>0.9280139573</v>
      </c>
      <c r="S494" s="1">
        <f t="shared" si="493"/>
        <v>1.180465654</v>
      </c>
      <c r="T494" s="1">
        <f t="shared" si="493"/>
        <v>0.2931201763</v>
      </c>
      <c r="U494" s="1">
        <f t="shared" si="493"/>
        <v>0</v>
      </c>
    </row>
    <row r="495">
      <c r="A495" s="3">
        <f>IFERROR(__xludf.DUMMYFUNCTION("""COMPUTED_VALUE"""),44414.0)</f>
        <v>44414</v>
      </c>
      <c r="B495" s="1">
        <f t="shared" ref="B495:U495" si="494">IF($A495&gt;0,Megyeinapi!B495/'megyelakosság'!B$2*100000," ")</f>
        <v>0.3982318506</v>
      </c>
      <c r="C495" s="1">
        <f t="shared" si="494"/>
        <v>0.8354009507</v>
      </c>
      <c r="D495" s="1">
        <f t="shared" si="494"/>
        <v>0</v>
      </c>
      <c r="E495" s="1">
        <f t="shared" si="494"/>
        <v>0.3139402007</v>
      </c>
      <c r="F495" s="1">
        <f t="shared" si="494"/>
        <v>1.085580294</v>
      </c>
      <c r="G495" s="1">
        <f t="shared" si="494"/>
        <v>0</v>
      </c>
      <c r="H495" s="1">
        <f t="shared" si="494"/>
        <v>0</v>
      </c>
      <c r="I495" s="1">
        <f t="shared" si="494"/>
        <v>1.056767433</v>
      </c>
      <c r="J495" s="1">
        <f t="shared" si="494"/>
        <v>0.7594066756</v>
      </c>
      <c r="K495" s="1">
        <f t="shared" si="494"/>
        <v>0</v>
      </c>
      <c r="L495" s="1">
        <f t="shared" si="494"/>
        <v>0</v>
      </c>
      <c r="M495" s="1">
        <f t="shared" si="494"/>
        <v>0.3322314324</v>
      </c>
      <c r="N495" s="1">
        <f t="shared" si="494"/>
        <v>1.063309444</v>
      </c>
      <c r="O495" s="1">
        <f t="shared" si="494"/>
        <v>0.925139272</v>
      </c>
      <c r="P495" s="1">
        <f t="shared" si="494"/>
        <v>0.3333888981</v>
      </c>
      <c r="Q495" s="1">
        <f t="shared" si="494"/>
        <v>0</v>
      </c>
      <c r="R495" s="1">
        <f t="shared" si="494"/>
        <v>0.4640069787</v>
      </c>
      <c r="S495" s="1">
        <f t="shared" si="494"/>
        <v>0</v>
      </c>
      <c r="T495" s="1">
        <f t="shared" si="494"/>
        <v>0</v>
      </c>
      <c r="U495" s="1">
        <f t="shared" si="494"/>
        <v>0</v>
      </c>
    </row>
    <row r="496">
      <c r="A496" s="3">
        <f>IFERROR(__xludf.DUMMYFUNCTION("""COMPUTED_VALUE"""),44415.0)</f>
        <v>44415</v>
      </c>
      <c r="B496" s="1">
        <f t="shared" ref="B496:U496" si="495">IF($A496&gt;0,Megyeinapi!B496/'megyelakosság'!B$2*100000," ")</f>
        <v>0</v>
      </c>
      <c r="C496" s="1">
        <f t="shared" si="495"/>
        <v>0</v>
      </c>
      <c r="D496" s="1">
        <f t="shared" si="495"/>
        <v>0</v>
      </c>
      <c r="E496" s="1">
        <f t="shared" si="495"/>
        <v>0</v>
      </c>
      <c r="F496" s="1">
        <f t="shared" si="495"/>
        <v>0</v>
      </c>
      <c r="G496" s="1">
        <f t="shared" si="495"/>
        <v>0</v>
      </c>
      <c r="H496" s="1">
        <f t="shared" si="495"/>
        <v>0</v>
      </c>
      <c r="I496" s="1">
        <f t="shared" si="495"/>
        <v>0</v>
      </c>
      <c r="J496" s="1">
        <f t="shared" si="495"/>
        <v>0</v>
      </c>
      <c r="K496" s="1">
        <f t="shared" si="495"/>
        <v>0</v>
      </c>
      <c r="L496" s="1">
        <f t="shared" si="495"/>
        <v>0</v>
      </c>
      <c r="M496" s="1">
        <f t="shared" si="495"/>
        <v>0</v>
      </c>
      <c r="N496" s="1">
        <f t="shared" si="495"/>
        <v>0</v>
      </c>
      <c r="O496" s="1">
        <f t="shared" si="495"/>
        <v>0</v>
      </c>
      <c r="P496" s="1">
        <f t="shared" si="495"/>
        <v>0</v>
      </c>
      <c r="Q496" s="1">
        <f t="shared" si="495"/>
        <v>0</v>
      </c>
      <c r="R496" s="1">
        <f t="shared" si="495"/>
        <v>0</v>
      </c>
      <c r="S496" s="1">
        <f t="shared" si="495"/>
        <v>0</v>
      </c>
      <c r="T496" s="1">
        <f t="shared" si="495"/>
        <v>0</v>
      </c>
      <c r="U496" s="1">
        <f t="shared" si="495"/>
        <v>0</v>
      </c>
    </row>
    <row r="497">
      <c r="A497" s="3">
        <f>IFERROR(__xludf.DUMMYFUNCTION("""COMPUTED_VALUE"""),44416.0)</f>
        <v>44416</v>
      </c>
      <c r="B497" s="1">
        <f t="shared" ref="B497:U497" si="496">IF($A497&gt;0,Megyeinapi!B497/'megyelakosság'!B$2*100000," ")</f>
        <v>0</v>
      </c>
      <c r="C497" s="1">
        <f t="shared" si="496"/>
        <v>0</v>
      </c>
      <c r="D497" s="1">
        <f t="shared" si="496"/>
        <v>0</v>
      </c>
      <c r="E497" s="1">
        <f t="shared" si="496"/>
        <v>0</v>
      </c>
      <c r="F497" s="1">
        <f t="shared" si="496"/>
        <v>0</v>
      </c>
      <c r="G497" s="1">
        <f t="shared" si="496"/>
        <v>0</v>
      </c>
      <c r="H497" s="1">
        <f t="shared" si="496"/>
        <v>0</v>
      </c>
      <c r="I497" s="1">
        <f t="shared" si="496"/>
        <v>0</v>
      </c>
      <c r="J497" s="1">
        <f t="shared" si="496"/>
        <v>0</v>
      </c>
      <c r="K497" s="1">
        <f t="shared" si="496"/>
        <v>0</v>
      </c>
      <c r="L497" s="1">
        <f t="shared" si="496"/>
        <v>0</v>
      </c>
      <c r="M497" s="1">
        <f t="shared" si="496"/>
        <v>0</v>
      </c>
      <c r="N497" s="1">
        <f t="shared" si="496"/>
        <v>0</v>
      </c>
      <c r="O497" s="1">
        <f t="shared" si="496"/>
        <v>0</v>
      </c>
      <c r="P497" s="1">
        <f t="shared" si="496"/>
        <v>0</v>
      </c>
      <c r="Q497" s="1">
        <f t="shared" si="496"/>
        <v>0</v>
      </c>
      <c r="R497" s="1">
        <f t="shared" si="496"/>
        <v>0</v>
      </c>
      <c r="S497" s="1">
        <f t="shared" si="496"/>
        <v>0</v>
      </c>
      <c r="T497" s="1">
        <f t="shared" si="496"/>
        <v>0</v>
      </c>
      <c r="U497" s="1">
        <f t="shared" si="496"/>
        <v>0</v>
      </c>
    </row>
    <row r="498">
      <c r="A498" s="3">
        <f>IFERROR(__xludf.DUMMYFUNCTION("""COMPUTED_VALUE"""),44417.0)</f>
        <v>44417</v>
      </c>
      <c r="B498" s="1">
        <f t="shared" ref="B498:U498" si="497">IF($A498&gt;0,Megyeinapi!B498/'megyelakosság'!B$2*100000," ")</f>
        <v>0.3982318506</v>
      </c>
      <c r="C498" s="1">
        <f t="shared" si="497"/>
        <v>1.113867934</v>
      </c>
      <c r="D498" s="1">
        <f t="shared" si="497"/>
        <v>0</v>
      </c>
      <c r="E498" s="1">
        <f t="shared" si="497"/>
        <v>0.7848505017</v>
      </c>
      <c r="F498" s="1">
        <f t="shared" si="497"/>
        <v>3.599555712</v>
      </c>
      <c r="G498" s="1">
        <f t="shared" si="497"/>
        <v>0.2510468654</v>
      </c>
      <c r="H498" s="1">
        <f t="shared" si="497"/>
        <v>1.911118649</v>
      </c>
      <c r="I498" s="1">
        <f t="shared" si="497"/>
        <v>2.324888353</v>
      </c>
      <c r="J498" s="1">
        <f t="shared" si="497"/>
        <v>0.9492583445</v>
      </c>
      <c r="K498" s="1">
        <f t="shared" si="497"/>
        <v>2.044843416</v>
      </c>
      <c r="L498" s="1">
        <f t="shared" si="497"/>
        <v>0.2725501152</v>
      </c>
      <c r="M498" s="1">
        <f t="shared" si="497"/>
        <v>0.6644628648</v>
      </c>
      <c r="N498" s="1">
        <f t="shared" si="497"/>
        <v>1.063309444</v>
      </c>
      <c r="O498" s="1">
        <f t="shared" si="497"/>
        <v>2.081563362</v>
      </c>
      <c r="P498" s="1">
        <f t="shared" si="497"/>
        <v>2.333722287</v>
      </c>
      <c r="Q498" s="1">
        <f t="shared" si="497"/>
        <v>0.182140073</v>
      </c>
      <c r="R498" s="1">
        <f t="shared" si="497"/>
        <v>0.4640069787</v>
      </c>
      <c r="S498" s="1">
        <f t="shared" si="497"/>
        <v>0.7869771029</v>
      </c>
      <c r="T498" s="1">
        <f t="shared" si="497"/>
        <v>2.344961411</v>
      </c>
      <c r="U498" s="1">
        <f t="shared" si="497"/>
        <v>0</v>
      </c>
    </row>
    <row r="499">
      <c r="A499" s="3">
        <f>IFERROR(__xludf.DUMMYFUNCTION("""COMPUTED_VALUE"""),44418.0)</f>
        <v>44418</v>
      </c>
      <c r="B499" s="1">
        <f t="shared" ref="B499:U499" si="498">IF($A499&gt;0,Megyeinapi!B499/'megyelakosság'!B$2*100000," ")</f>
        <v>0</v>
      </c>
      <c r="C499" s="1">
        <f t="shared" si="498"/>
        <v>0.8354009507</v>
      </c>
      <c r="D499" s="1">
        <f t="shared" si="498"/>
        <v>0</v>
      </c>
      <c r="E499" s="1">
        <f t="shared" si="498"/>
        <v>0.941820602</v>
      </c>
      <c r="F499" s="1">
        <f t="shared" si="498"/>
        <v>0.5142222446</v>
      </c>
      <c r="G499" s="1">
        <f t="shared" si="498"/>
        <v>0</v>
      </c>
      <c r="H499" s="1">
        <f t="shared" si="498"/>
        <v>0.2388898312</v>
      </c>
      <c r="I499" s="1">
        <f t="shared" si="498"/>
        <v>0.4227069732</v>
      </c>
      <c r="J499" s="1">
        <f t="shared" si="498"/>
        <v>0.3797033378</v>
      </c>
      <c r="K499" s="1">
        <f t="shared" si="498"/>
        <v>0.340807236</v>
      </c>
      <c r="L499" s="1">
        <f t="shared" si="498"/>
        <v>0</v>
      </c>
      <c r="M499" s="1">
        <f t="shared" si="498"/>
        <v>0</v>
      </c>
      <c r="N499" s="1">
        <f t="shared" si="498"/>
        <v>0.5316547222</v>
      </c>
      <c r="O499" s="1">
        <f t="shared" si="498"/>
        <v>0.5396645753</v>
      </c>
      <c r="P499" s="1">
        <f t="shared" si="498"/>
        <v>0.3333888981</v>
      </c>
      <c r="Q499" s="1">
        <f t="shared" si="498"/>
        <v>0</v>
      </c>
      <c r="R499" s="1">
        <f t="shared" si="498"/>
        <v>0</v>
      </c>
      <c r="S499" s="1">
        <f t="shared" si="498"/>
        <v>0.3934885515</v>
      </c>
      <c r="T499" s="1">
        <f t="shared" si="498"/>
        <v>0</v>
      </c>
      <c r="U499" s="1">
        <f t="shared" si="498"/>
        <v>0.3741520779</v>
      </c>
    </row>
    <row r="500">
      <c r="A500" s="3">
        <f>IFERROR(__xludf.DUMMYFUNCTION("""COMPUTED_VALUE"""),44419.0)</f>
        <v>44419</v>
      </c>
      <c r="B500" s="1">
        <f t="shared" ref="B500:U500" si="499">IF($A500&gt;0,Megyeinapi!B500/'megyelakosság'!B$2*100000," ")</f>
        <v>0.1991159253</v>
      </c>
      <c r="C500" s="1">
        <f t="shared" si="499"/>
        <v>1.949268885</v>
      </c>
      <c r="D500" s="1">
        <f t="shared" si="499"/>
        <v>0.6050668296</v>
      </c>
      <c r="E500" s="1">
        <f t="shared" si="499"/>
        <v>0.6278804013</v>
      </c>
      <c r="F500" s="1">
        <f t="shared" si="499"/>
        <v>1.142716099</v>
      </c>
      <c r="G500" s="1">
        <f t="shared" si="499"/>
        <v>0</v>
      </c>
      <c r="H500" s="1">
        <f t="shared" si="499"/>
        <v>0.4777796624</v>
      </c>
      <c r="I500" s="1">
        <f t="shared" si="499"/>
        <v>1.056767433</v>
      </c>
      <c r="J500" s="1">
        <f t="shared" si="499"/>
        <v>0.5695550067</v>
      </c>
      <c r="K500" s="1">
        <f t="shared" si="499"/>
        <v>1.70403618</v>
      </c>
      <c r="L500" s="1">
        <f t="shared" si="499"/>
        <v>0.2725501152</v>
      </c>
      <c r="M500" s="1">
        <f t="shared" si="499"/>
        <v>0</v>
      </c>
      <c r="N500" s="1">
        <f t="shared" si="499"/>
        <v>0.5316547222</v>
      </c>
      <c r="O500" s="1">
        <f t="shared" si="499"/>
        <v>0.925139272</v>
      </c>
      <c r="P500" s="1">
        <f t="shared" si="499"/>
        <v>2.667111185</v>
      </c>
      <c r="Q500" s="1">
        <f t="shared" si="499"/>
        <v>0.728560292</v>
      </c>
      <c r="R500" s="1">
        <f t="shared" si="499"/>
        <v>0</v>
      </c>
      <c r="S500" s="1">
        <f t="shared" si="499"/>
        <v>1.573954206</v>
      </c>
      <c r="T500" s="1">
        <f t="shared" si="499"/>
        <v>0</v>
      </c>
      <c r="U500" s="1">
        <f t="shared" si="499"/>
        <v>0.3741520779</v>
      </c>
    </row>
    <row r="501">
      <c r="A501" s="3">
        <f>IFERROR(__xludf.DUMMYFUNCTION("""COMPUTED_VALUE"""),44420.0)</f>
        <v>44420</v>
      </c>
      <c r="B501" s="1">
        <f t="shared" ref="B501:U501" si="500">IF($A501&gt;0,Megyeinapi!B501/'megyelakosság'!B$2*100000," ")</f>
        <v>0.3982318506</v>
      </c>
      <c r="C501" s="1">
        <f t="shared" si="500"/>
        <v>0.8354009507</v>
      </c>
      <c r="D501" s="1">
        <f t="shared" si="500"/>
        <v>0.6050668296</v>
      </c>
      <c r="E501" s="1">
        <f t="shared" si="500"/>
        <v>0.1569701003</v>
      </c>
      <c r="F501" s="1">
        <f t="shared" si="500"/>
        <v>1.371259319</v>
      </c>
      <c r="G501" s="1">
        <f t="shared" si="500"/>
        <v>1.004187462</v>
      </c>
      <c r="H501" s="1">
        <f t="shared" si="500"/>
        <v>0.4777796624</v>
      </c>
      <c r="I501" s="1">
        <f t="shared" si="500"/>
        <v>1.690827893</v>
      </c>
      <c r="J501" s="1">
        <f t="shared" si="500"/>
        <v>1.139110013</v>
      </c>
      <c r="K501" s="1">
        <f t="shared" si="500"/>
        <v>2.726457888</v>
      </c>
      <c r="L501" s="1">
        <f t="shared" si="500"/>
        <v>0.5451002303</v>
      </c>
      <c r="M501" s="1">
        <f t="shared" si="500"/>
        <v>0.3322314324</v>
      </c>
      <c r="N501" s="1">
        <f t="shared" si="500"/>
        <v>1.063309444</v>
      </c>
      <c r="O501" s="1">
        <f t="shared" si="500"/>
        <v>1.079329151</v>
      </c>
      <c r="P501" s="1">
        <f t="shared" si="500"/>
        <v>0.3333888981</v>
      </c>
      <c r="Q501" s="1">
        <f t="shared" si="500"/>
        <v>0.546420219</v>
      </c>
      <c r="R501" s="1">
        <f t="shared" si="500"/>
        <v>0.4640069787</v>
      </c>
      <c r="S501" s="1">
        <f t="shared" si="500"/>
        <v>0</v>
      </c>
      <c r="T501" s="1">
        <f t="shared" si="500"/>
        <v>0.2931201763</v>
      </c>
      <c r="U501" s="1">
        <f t="shared" si="500"/>
        <v>0.3741520779</v>
      </c>
    </row>
    <row r="502">
      <c r="A502" s="3">
        <f>IFERROR(__xludf.DUMMYFUNCTION("""COMPUTED_VALUE"""),44421.0)</f>
        <v>44421</v>
      </c>
      <c r="B502" s="1">
        <f t="shared" ref="B502:U502" si="501">IF($A502&gt;0,Megyeinapi!B502/'megyelakosság'!B$2*100000," ")</f>
        <v>0.5973477759</v>
      </c>
      <c r="C502" s="1">
        <f t="shared" si="501"/>
        <v>0.5569339671</v>
      </c>
      <c r="D502" s="1">
        <f t="shared" si="501"/>
        <v>0.6050668296</v>
      </c>
      <c r="E502" s="1">
        <f t="shared" si="501"/>
        <v>0.470910301</v>
      </c>
      <c r="F502" s="1">
        <f t="shared" si="501"/>
        <v>2.285432198</v>
      </c>
      <c r="G502" s="1">
        <f t="shared" si="501"/>
        <v>0.7531405963</v>
      </c>
      <c r="H502" s="1">
        <f t="shared" si="501"/>
        <v>1.194449156</v>
      </c>
      <c r="I502" s="1">
        <f t="shared" si="501"/>
        <v>2.536241839</v>
      </c>
      <c r="J502" s="1">
        <f t="shared" si="501"/>
        <v>0.3797033378</v>
      </c>
      <c r="K502" s="1">
        <f t="shared" si="501"/>
        <v>2.044843416</v>
      </c>
      <c r="L502" s="1">
        <f t="shared" si="501"/>
        <v>0.5451002303</v>
      </c>
      <c r="M502" s="1">
        <f t="shared" si="501"/>
        <v>0.3322314324</v>
      </c>
      <c r="N502" s="1">
        <f t="shared" si="501"/>
        <v>1.063309444</v>
      </c>
      <c r="O502" s="1">
        <f t="shared" si="501"/>
        <v>0.6167595147</v>
      </c>
      <c r="P502" s="1">
        <f t="shared" si="501"/>
        <v>0.6667777963</v>
      </c>
      <c r="Q502" s="1">
        <f t="shared" si="501"/>
        <v>0.546420219</v>
      </c>
      <c r="R502" s="1">
        <f t="shared" si="501"/>
        <v>0.4640069787</v>
      </c>
      <c r="S502" s="1">
        <f t="shared" si="501"/>
        <v>0.3934885515</v>
      </c>
      <c r="T502" s="1">
        <f t="shared" si="501"/>
        <v>1.172480705</v>
      </c>
      <c r="U502" s="1">
        <f t="shared" si="501"/>
        <v>0.7483041557</v>
      </c>
    </row>
    <row r="503">
      <c r="A503" s="3">
        <f>IFERROR(__xludf.DUMMYFUNCTION("""COMPUTED_VALUE"""),44422.0)</f>
        <v>44422</v>
      </c>
      <c r="B503" s="1">
        <f t="shared" ref="B503:U503" si="502">IF($A503&gt;0,Megyeinapi!B503/'megyelakosság'!B$2*100000," ")</f>
        <v>0</v>
      </c>
      <c r="C503" s="1">
        <f t="shared" si="502"/>
        <v>0</v>
      </c>
      <c r="D503" s="1">
        <f t="shared" si="502"/>
        <v>0</v>
      </c>
      <c r="E503" s="1">
        <f t="shared" si="502"/>
        <v>0</v>
      </c>
      <c r="F503" s="1">
        <f t="shared" si="502"/>
        <v>0</v>
      </c>
      <c r="G503" s="1">
        <f t="shared" si="502"/>
        <v>0</v>
      </c>
      <c r="H503" s="1">
        <f t="shared" si="502"/>
        <v>0</v>
      </c>
      <c r="I503" s="1">
        <f t="shared" si="502"/>
        <v>0</v>
      </c>
      <c r="J503" s="1">
        <f t="shared" si="502"/>
        <v>0</v>
      </c>
      <c r="K503" s="1">
        <f t="shared" si="502"/>
        <v>0</v>
      </c>
      <c r="L503" s="1">
        <f t="shared" si="502"/>
        <v>0</v>
      </c>
      <c r="M503" s="1">
        <f t="shared" si="502"/>
        <v>0</v>
      </c>
      <c r="N503" s="1">
        <f t="shared" si="502"/>
        <v>0</v>
      </c>
      <c r="O503" s="1">
        <f t="shared" si="502"/>
        <v>0</v>
      </c>
      <c r="P503" s="1">
        <f t="shared" si="502"/>
        <v>0</v>
      </c>
      <c r="Q503" s="1">
        <f t="shared" si="502"/>
        <v>0</v>
      </c>
      <c r="R503" s="1">
        <f t="shared" si="502"/>
        <v>0</v>
      </c>
      <c r="S503" s="1">
        <f t="shared" si="502"/>
        <v>0</v>
      </c>
      <c r="T503" s="1">
        <f t="shared" si="502"/>
        <v>0</v>
      </c>
      <c r="U503" s="1">
        <f t="shared" si="502"/>
        <v>0</v>
      </c>
    </row>
    <row r="504">
      <c r="A504" s="3">
        <f>IFERROR(__xludf.DUMMYFUNCTION("""COMPUTED_VALUE"""),44423.0)</f>
        <v>44423</v>
      </c>
      <c r="B504" s="1">
        <f t="shared" ref="B504:U504" si="503">IF($A504&gt;0,Megyeinapi!B504/'megyelakosság'!B$2*100000," ")</f>
        <v>0</v>
      </c>
      <c r="C504" s="1">
        <f t="shared" si="503"/>
        <v>0</v>
      </c>
      <c r="D504" s="1">
        <f t="shared" si="503"/>
        <v>0</v>
      </c>
      <c r="E504" s="1">
        <f t="shared" si="503"/>
        <v>0</v>
      </c>
      <c r="F504" s="1">
        <f t="shared" si="503"/>
        <v>0</v>
      </c>
      <c r="G504" s="1">
        <f t="shared" si="503"/>
        <v>0</v>
      </c>
      <c r="H504" s="1">
        <f t="shared" si="503"/>
        <v>0</v>
      </c>
      <c r="I504" s="1">
        <f t="shared" si="503"/>
        <v>0</v>
      </c>
      <c r="J504" s="1">
        <f t="shared" si="503"/>
        <v>0</v>
      </c>
      <c r="K504" s="1">
        <f t="shared" si="503"/>
        <v>0</v>
      </c>
      <c r="L504" s="1">
        <f t="shared" si="503"/>
        <v>0</v>
      </c>
      <c r="M504" s="1">
        <f t="shared" si="503"/>
        <v>0</v>
      </c>
      <c r="N504" s="1">
        <f t="shared" si="503"/>
        <v>0</v>
      </c>
      <c r="O504" s="1">
        <f t="shared" si="503"/>
        <v>0</v>
      </c>
      <c r="P504" s="1">
        <f t="shared" si="503"/>
        <v>0</v>
      </c>
      <c r="Q504" s="1">
        <f t="shared" si="503"/>
        <v>0</v>
      </c>
      <c r="R504" s="1">
        <f t="shared" si="503"/>
        <v>0</v>
      </c>
      <c r="S504" s="1">
        <f t="shared" si="503"/>
        <v>0</v>
      </c>
      <c r="T504" s="1">
        <f t="shared" si="503"/>
        <v>0</v>
      </c>
      <c r="U504" s="1">
        <f t="shared" si="503"/>
        <v>0</v>
      </c>
    </row>
    <row r="505">
      <c r="A505" s="3">
        <f>IFERROR(__xludf.DUMMYFUNCTION("""COMPUTED_VALUE"""),44424.0)</f>
        <v>44424</v>
      </c>
      <c r="B505" s="1">
        <f t="shared" ref="B505:U505" si="504">IF($A505&gt;0,Megyeinapi!B505/'megyelakosság'!B$2*100000," ")</f>
        <v>0.3982318506</v>
      </c>
      <c r="C505" s="1">
        <f t="shared" si="504"/>
        <v>1.113867934</v>
      </c>
      <c r="D505" s="1">
        <f t="shared" si="504"/>
        <v>0.9076002444</v>
      </c>
      <c r="E505" s="1">
        <f t="shared" si="504"/>
        <v>1.412730903</v>
      </c>
      <c r="F505" s="1">
        <f t="shared" si="504"/>
        <v>4.685136006</v>
      </c>
      <c r="G505" s="1">
        <f t="shared" si="504"/>
        <v>1.255234327</v>
      </c>
      <c r="H505" s="1">
        <f t="shared" si="504"/>
        <v>0.9555593247</v>
      </c>
      <c r="I505" s="1">
        <f t="shared" si="504"/>
        <v>0.8454139464</v>
      </c>
      <c r="J505" s="1">
        <f t="shared" si="504"/>
        <v>1.898516689</v>
      </c>
      <c r="K505" s="1">
        <f t="shared" si="504"/>
        <v>2.044843416</v>
      </c>
      <c r="L505" s="1">
        <f t="shared" si="504"/>
        <v>0.5451002303</v>
      </c>
      <c r="M505" s="1">
        <f t="shared" si="504"/>
        <v>0.6644628648</v>
      </c>
      <c r="N505" s="1">
        <f t="shared" si="504"/>
        <v>2.126618889</v>
      </c>
      <c r="O505" s="1">
        <f t="shared" si="504"/>
        <v>2.467038059</v>
      </c>
      <c r="P505" s="1">
        <f t="shared" si="504"/>
        <v>1.333555593</v>
      </c>
      <c r="Q505" s="1">
        <f t="shared" si="504"/>
        <v>1.092840438</v>
      </c>
      <c r="R505" s="1">
        <f t="shared" si="504"/>
        <v>0.9280139573</v>
      </c>
      <c r="S505" s="1">
        <f t="shared" si="504"/>
        <v>1.180465654</v>
      </c>
      <c r="T505" s="1">
        <f t="shared" si="504"/>
        <v>0.879360529</v>
      </c>
      <c r="U505" s="1">
        <f t="shared" si="504"/>
        <v>0.3741520779</v>
      </c>
    </row>
    <row r="506">
      <c r="A506" s="3">
        <f>IFERROR(__xludf.DUMMYFUNCTION("""COMPUTED_VALUE"""),44425.0)</f>
        <v>44425</v>
      </c>
      <c r="B506" s="1">
        <f t="shared" ref="B506:U506" si="505">IF($A506&gt;0,Megyeinapi!B506/'megyelakosság'!B$2*100000," ")</f>
        <v>0.9955796265</v>
      </c>
      <c r="C506" s="1">
        <f t="shared" si="505"/>
        <v>0.8354009507</v>
      </c>
      <c r="D506" s="1">
        <f t="shared" si="505"/>
        <v>0.3025334148</v>
      </c>
      <c r="E506" s="1">
        <f t="shared" si="505"/>
        <v>0</v>
      </c>
      <c r="F506" s="1">
        <f t="shared" si="505"/>
        <v>0.9141728792</v>
      </c>
      <c r="G506" s="1">
        <f t="shared" si="505"/>
        <v>0.2510468654</v>
      </c>
      <c r="H506" s="1">
        <f t="shared" si="505"/>
        <v>1.433338987</v>
      </c>
      <c r="I506" s="1">
        <f t="shared" si="505"/>
        <v>0.4227069732</v>
      </c>
      <c r="J506" s="1">
        <f t="shared" si="505"/>
        <v>0.1898516689</v>
      </c>
      <c r="K506" s="1">
        <f t="shared" si="505"/>
        <v>0.340807236</v>
      </c>
      <c r="L506" s="1">
        <f t="shared" si="505"/>
        <v>0.2725501152</v>
      </c>
      <c r="M506" s="1">
        <f t="shared" si="505"/>
        <v>0</v>
      </c>
      <c r="N506" s="1">
        <f t="shared" si="505"/>
        <v>0</v>
      </c>
      <c r="O506" s="1">
        <f t="shared" si="505"/>
        <v>0.1541898787</v>
      </c>
      <c r="P506" s="1">
        <f t="shared" si="505"/>
        <v>0.6667777963</v>
      </c>
      <c r="Q506" s="1">
        <f t="shared" si="505"/>
        <v>0.182140073</v>
      </c>
      <c r="R506" s="1">
        <f t="shared" si="505"/>
        <v>0</v>
      </c>
      <c r="S506" s="1">
        <f t="shared" si="505"/>
        <v>0.3934885515</v>
      </c>
      <c r="T506" s="1">
        <f t="shared" si="505"/>
        <v>0.5862403527</v>
      </c>
      <c r="U506" s="1">
        <f t="shared" si="505"/>
        <v>0</v>
      </c>
    </row>
    <row r="507">
      <c r="A507" s="3">
        <f>IFERROR(__xludf.DUMMYFUNCTION("""COMPUTED_VALUE"""),44426.0)</f>
        <v>44426</v>
      </c>
      <c r="B507" s="1">
        <f t="shared" ref="B507:U507" si="506">IF($A507&gt;0,Megyeinapi!B507/'megyelakosság'!B$2*100000," ")</f>
        <v>1.393811477</v>
      </c>
      <c r="C507" s="1">
        <f t="shared" si="506"/>
        <v>1.670801901</v>
      </c>
      <c r="D507" s="1">
        <f t="shared" si="506"/>
        <v>0.9076002444</v>
      </c>
      <c r="E507" s="1">
        <f t="shared" si="506"/>
        <v>0.6278804013</v>
      </c>
      <c r="F507" s="1">
        <f t="shared" si="506"/>
        <v>1.714074149</v>
      </c>
      <c r="G507" s="1">
        <f t="shared" si="506"/>
        <v>0.7531405963</v>
      </c>
      <c r="H507" s="1">
        <f t="shared" si="506"/>
        <v>2.627788143</v>
      </c>
      <c r="I507" s="1">
        <f t="shared" si="506"/>
        <v>1.056767433</v>
      </c>
      <c r="J507" s="1">
        <f t="shared" si="506"/>
        <v>1.328961682</v>
      </c>
      <c r="K507" s="1">
        <f t="shared" si="506"/>
        <v>0.340807236</v>
      </c>
      <c r="L507" s="1">
        <f t="shared" si="506"/>
        <v>1.635300691</v>
      </c>
      <c r="M507" s="1">
        <f t="shared" si="506"/>
        <v>0</v>
      </c>
      <c r="N507" s="1">
        <f t="shared" si="506"/>
        <v>1.063309444</v>
      </c>
      <c r="O507" s="1">
        <f t="shared" si="506"/>
        <v>1.310613969</v>
      </c>
      <c r="P507" s="1">
        <f t="shared" si="506"/>
        <v>0.3333888981</v>
      </c>
      <c r="Q507" s="1">
        <f t="shared" si="506"/>
        <v>0.546420219</v>
      </c>
      <c r="R507" s="1">
        <f t="shared" si="506"/>
        <v>0</v>
      </c>
      <c r="S507" s="1">
        <f t="shared" si="506"/>
        <v>0</v>
      </c>
      <c r="T507" s="1">
        <f t="shared" si="506"/>
        <v>0.879360529</v>
      </c>
      <c r="U507" s="1">
        <f t="shared" si="506"/>
        <v>0</v>
      </c>
    </row>
    <row r="508">
      <c r="A508" s="3">
        <f>IFERROR(__xludf.DUMMYFUNCTION("""COMPUTED_VALUE"""),44427.0)</f>
        <v>44427</v>
      </c>
      <c r="B508" s="1">
        <f t="shared" ref="B508:U508" si="507">IF($A508&gt;0,Megyeinapi!B508/'megyelakosság'!B$2*100000," ")</f>
        <v>1.194695552</v>
      </c>
      <c r="C508" s="1">
        <f t="shared" si="507"/>
        <v>0.2784669836</v>
      </c>
      <c r="D508" s="1">
        <f t="shared" si="507"/>
        <v>0</v>
      </c>
      <c r="E508" s="1">
        <f t="shared" si="507"/>
        <v>0.7848505017</v>
      </c>
      <c r="F508" s="1">
        <f t="shared" si="507"/>
        <v>2.571111223</v>
      </c>
      <c r="G508" s="1">
        <f t="shared" si="507"/>
        <v>0.7531405963</v>
      </c>
      <c r="H508" s="1">
        <f t="shared" si="507"/>
        <v>0.9555593247</v>
      </c>
      <c r="I508" s="1">
        <f t="shared" si="507"/>
        <v>1.690827893</v>
      </c>
      <c r="J508" s="1">
        <f t="shared" si="507"/>
        <v>0.7594066756</v>
      </c>
      <c r="K508" s="1">
        <f t="shared" si="507"/>
        <v>1.70403618</v>
      </c>
      <c r="L508" s="1">
        <f t="shared" si="507"/>
        <v>1.090200461</v>
      </c>
      <c r="M508" s="1">
        <f t="shared" si="507"/>
        <v>0.6644628648</v>
      </c>
      <c r="N508" s="1">
        <f t="shared" si="507"/>
        <v>2.658273611</v>
      </c>
      <c r="O508" s="1">
        <f t="shared" si="507"/>
        <v>1.079329151</v>
      </c>
      <c r="P508" s="1">
        <f t="shared" si="507"/>
        <v>1.000166694</v>
      </c>
      <c r="Q508" s="1">
        <f t="shared" si="507"/>
        <v>0.546420219</v>
      </c>
      <c r="R508" s="1">
        <f t="shared" si="507"/>
        <v>1.392020936</v>
      </c>
      <c r="S508" s="1">
        <f t="shared" si="507"/>
        <v>0.3934885515</v>
      </c>
      <c r="T508" s="1">
        <f t="shared" si="507"/>
        <v>1.172480705</v>
      </c>
      <c r="U508" s="1">
        <f t="shared" si="507"/>
        <v>1.122456234</v>
      </c>
    </row>
    <row r="509">
      <c r="A509" s="3">
        <f>IFERROR(__xludf.DUMMYFUNCTION("""COMPUTED_VALUE"""),44428.0)</f>
        <v>44428</v>
      </c>
      <c r="B509" s="1">
        <f t="shared" ref="B509:U509" si="508">IF($A509&gt;0,Megyeinapi!B509/'megyelakosság'!B$2*100000," ")</f>
        <v>0</v>
      </c>
      <c r="C509" s="1">
        <f t="shared" si="508"/>
        <v>0</v>
      </c>
      <c r="D509" s="1">
        <f t="shared" si="508"/>
        <v>0</v>
      </c>
      <c r="E509" s="1">
        <f t="shared" si="508"/>
        <v>0</v>
      </c>
      <c r="F509" s="1">
        <f t="shared" si="508"/>
        <v>0</v>
      </c>
      <c r="G509" s="1">
        <f t="shared" si="508"/>
        <v>0</v>
      </c>
      <c r="H509" s="1">
        <f t="shared" si="508"/>
        <v>0</v>
      </c>
      <c r="I509" s="1">
        <f t="shared" si="508"/>
        <v>0</v>
      </c>
      <c r="J509" s="1">
        <f t="shared" si="508"/>
        <v>0</v>
      </c>
      <c r="K509" s="1">
        <f t="shared" si="508"/>
        <v>0</v>
      </c>
      <c r="L509" s="1">
        <f t="shared" si="508"/>
        <v>0</v>
      </c>
      <c r="M509" s="1">
        <f t="shared" si="508"/>
        <v>0</v>
      </c>
      <c r="N509" s="1">
        <f t="shared" si="508"/>
        <v>0</v>
      </c>
      <c r="O509" s="1">
        <f t="shared" si="508"/>
        <v>0</v>
      </c>
      <c r="P509" s="1">
        <f t="shared" si="508"/>
        <v>0</v>
      </c>
      <c r="Q509" s="1">
        <f t="shared" si="508"/>
        <v>0</v>
      </c>
      <c r="R509" s="1">
        <f t="shared" si="508"/>
        <v>0</v>
      </c>
      <c r="S509" s="1">
        <f t="shared" si="508"/>
        <v>0</v>
      </c>
      <c r="T509" s="1">
        <f t="shared" si="508"/>
        <v>0</v>
      </c>
      <c r="U509" s="1">
        <f t="shared" si="508"/>
        <v>0</v>
      </c>
    </row>
    <row r="510">
      <c r="A510" s="3">
        <f>IFERROR(__xludf.DUMMYFUNCTION("""COMPUTED_VALUE"""),44429.0)</f>
        <v>44429</v>
      </c>
      <c r="B510" s="1">
        <f t="shared" ref="B510:U510" si="509">IF($A510&gt;0,Megyeinapi!B510/'megyelakosság'!B$2*100000," ")</f>
        <v>0</v>
      </c>
      <c r="C510" s="1">
        <f t="shared" si="509"/>
        <v>0</v>
      </c>
      <c r="D510" s="1">
        <f t="shared" si="509"/>
        <v>0</v>
      </c>
      <c r="E510" s="1">
        <f t="shared" si="509"/>
        <v>0</v>
      </c>
      <c r="F510" s="1">
        <f t="shared" si="509"/>
        <v>0</v>
      </c>
      <c r="G510" s="1">
        <f t="shared" si="509"/>
        <v>0</v>
      </c>
      <c r="H510" s="1">
        <f t="shared" si="509"/>
        <v>0</v>
      </c>
      <c r="I510" s="1">
        <f t="shared" si="509"/>
        <v>0</v>
      </c>
      <c r="J510" s="1">
        <f t="shared" si="509"/>
        <v>0</v>
      </c>
      <c r="K510" s="1">
        <f t="shared" si="509"/>
        <v>0</v>
      </c>
      <c r="L510" s="1">
        <f t="shared" si="509"/>
        <v>0</v>
      </c>
      <c r="M510" s="1">
        <f t="shared" si="509"/>
        <v>0</v>
      </c>
      <c r="N510" s="1">
        <f t="shared" si="509"/>
        <v>0</v>
      </c>
      <c r="O510" s="1">
        <f t="shared" si="509"/>
        <v>0</v>
      </c>
      <c r="P510" s="1">
        <f t="shared" si="509"/>
        <v>0</v>
      </c>
      <c r="Q510" s="1">
        <f t="shared" si="509"/>
        <v>0</v>
      </c>
      <c r="R510" s="1">
        <f t="shared" si="509"/>
        <v>0</v>
      </c>
      <c r="S510" s="1">
        <f t="shared" si="509"/>
        <v>0</v>
      </c>
      <c r="T510" s="1">
        <f t="shared" si="509"/>
        <v>0</v>
      </c>
      <c r="U510" s="1">
        <f t="shared" si="509"/>
        <v>0</v>
      </c>
    </row>
    <row r="511">
      <c r="A511" s="3">
        <f>IFERROR(__xludf.DUMMYFUNCTION("""COMPUTED_VALUE"""),44430.0)</f>
        <v>44430</v>
      </c>
      <c r="B511" s="1">
        <f t="shared" ref="B511:U511" si="510">IF($A511&gt;0,Megyeinapi!B511/'megyelakosság'!B$2*100000," ")</f>
        <v>0</v>
      </c>
      <c r="C511" s="1">
        <f t="shared" si="510"/>
        <v>0</v>
      </c>
      <c r="D511" s="1">
        <f t="shared" si="510"/>
        <v>0</v>
      </c>
      <c r="E511" s="1">
        <f t="shared" si="510"/>
        <v>0</v>
      </c>
      <c r="F511" s="1">
        <f t="shared" si="510"/>
        <v>0</v>
      </c>
      <c r="G511" s="1">
        <f t="shared" si="510"/>
        <v>0</v>
      </c>
      <c r="H511" s="1">
        <f t="shared" si="510"/>
        <v>0</v>
      </c>
      <c r="I511" s="1">
        <f t="shared" si="510"/>
        <v>0</v>
      </c>
      <c r="J511" s="1">
        <f t="shared" si="510"/>
        <v>0</v>
      </c>
      <c r="K511" s="1">
        <f t="shared" si="510"/>
        <v>0</v>
      </c>
      <c r="L511" s="1">
        <f t="shared" si="510"/>
        <v>0</v>
      </c>
      <c r="M511" s="1">
        <f t="shared" si="510"/>
        <v>0</v>
      </c>
      <c r="N511" s="1">
        <f t="shared" si="510"/>
        <v>0</v>
      </c>
      <c r="O511" s="1">
        <f t="shared" si="510"/>
        <v>0</v>
      </c>
      <c r="P511" s="1">
        <f t="shared" si="510"/>
        <v>0</v>
      </c>
      <c r="Q511" s="1">
        <f t="shared" si="510"/>
        <v>0</v>
      </c>
      <c r="R511" s="1">
        <f t="shared" si="510"/>
        <v>0</v>
      </c>
      <c r="S511" s="1">
        <f t="shared" si="510"/>
        <v>0</v>
      </c>
      <c r="T511" s="1">
        <f t="shared" si="510"/>
        <v>0</v>
      </c>
      <c r="U511" s="1">
        <f t="shared" si="510"/>
        <v>0</v>
      </c>
    </row>
    <row r="512">
      <c r="A512" s="3">
        <f>IFERROR(__xludf.DUMMYFUNCTION("""COMPUTED_VALUE"""),44431.0)</f>
        <v>44431</v>
      </c>
      <c r="B512" s="1">
        <f t="shared" ref="B512:U512" si="511">IF($A512&gt;0,Megyeinapi!B512/'megyelakosság'!B$2*100000," ")</f>
        <v>2.588507029</v>
      </c>
      <c r="C512" s="1">
        <f t="shared" si="511"/>
        <v>2.227735868</v>
      </c>
      <c r="D512" s="1">
        <f t="shared" si="511"/>
        <v>1.210133659</v>
      </c>
      <c r="E512" s="1">
        <f t="shared" si="511"/>
        <v>2.040611304</v>
      </c>
      <c r="F512" s="1">
        <f t="shared" si="511"/>
        <v>6.742024984</v>
      </c>
      <c r="G512" s="1">
        <f t="shared" si="511"/>
        <v>5.774077905</v>
      </c>
      <c r="H512" s="1">
        <f t="shared" si="511"/>
        <v>3.105567805</v>
      </c>
      <c r="I512" s="1">
        <f t="shared" si="511"/>
        <v>2.958948812</v>
      </c>
      <c r="J512" s="1">
        <f t="shared" si="511"/>
        <v>1.518813351</v>
      </c>
      <c r="K512" s="1">
        <f t="shared" si="511"/>
        <v>2.044843416</v>
      </c>
      <c r="L512" s="1">
        <f t="shared" si="511"/>
        <v>5.178452188</v>
      </c>
      <c r="M512" s="1">
        <f t="shared" si="511"/>
        <v>2.325620027</v>
      </c>
      <c r="N512" s="1">
        <f t="shared" si="511"/>
        <v>4.784892499</v>
      </c>
      <c r="O512" s="1">
        <f t="shared" si="511"/>
        <v>4.317316603</v>
      </c>
      <c r="P512" s="1">
        <f t="shared" si="511"/>
        <v>2.333722287</v>
      </c>
      <c r="Q512" s="1">
        <f t="shared" si="511"/>
        <v>0.910700365</v>
      </c>
      <c r="R512" s="1">
        <f t="shared" si="511"/>
        <v>0.9280139573</v>
      </c>
      <c r="S512" s="1">
        <f t="shared" si="511"/>
        <v>1.573954206</v>
      </c>
      <c r="T512" s="1">
        <f t="shared" si="511"/>
        <v>2.931201763</v>
      </c>
      <c r="U512" s="1">
        <f t="shared" si="511"/>
        <v>0.3741520779</v>
      </c>
    </row>
    <row r="513">
      <c r="A513" s="3">
        <f>IFERROR(__xludf.DUMMYFUNCTION("""COMPUTED_VALUE"""),44432.0)</f>
        <v>44432</v>
      </c>
      <c r="B513" s="1">
        <f t="shared" ref="B513:U513" si="512">IF($A513&gt;0,Megyeinapi!B513/'megyelakosság'!B$2*100000," ")</f>
        <v>0.5973477759</v>
      </c>
      <c r="C513" s="1">
        <f t="shared" si="512"/>
        <v>1.670801901</v>
      </c>
      <c r="D513" s="1">
        <f t="shared" si="512"/>
        <v>0</v>
      </c>
      <c r="E513" s="1">
        <f t="shared" si="512"/>
        <v>0.470910301</v>
      </c>
      <c r="F513" s="1">
        <f t="shared" si="512"/>
        <v>1.999753173</v>
      </c>
      <c r="G513" s="1">
        <f t="shared" si="512"/>
        <v>0.7531405963</v>
      </c>
      <c r="H513" s="1">
        <f t="shared" si="512"/>
        <v>0.9555593247</v>
      </c>
      <c r="I513" s="1">
        <f t="shared" si="512"/>
        <v>0.6340604598</v>
      </c>
      <c r="J513" s="1">
        <f t="shared" si="512"/>
        <v>0.1898516689</v>
      </c>
      <c r="K513" s="1">
        <f t="shared" si="512"/>
        <v>0.340807236</v>
      </c>
      <c r="L513" s="1">
        <f t="shared" si="512"/>
        <v>0.5451002303</v>
      </c>
      <c r="M513" s="1">
        <f t="shared" si="512"/>
        <v>0</v>
      </c>
      <c r="N513" s="1">
        <f t="shared" si="512"/>
        <v>0</v>
      </c>
      <c r="O513" s="1">
        <f t="shared" si="512"/>
        <v>0.925139272</v>
      </c>
      <c r="P513" s="1">
        <f t="shared" si="512"/>
        <v>0.3333888981</v>
      </c>
      <c r="Q513" s="1">
        <f t="shared" si="512"/>
        <v>0.728560292</v>
      </c>
      <c r="R513" s="1">
        <f t="shared" si="512"/>
        <v>0.4640069787</v>
      </c>
      <c r="S513" s="1">
        <f t="shared" si="512"/>
        <v>0</v>
      </c>
      <c r="T513" s="1">
        <f t="shared" si="512"/>
        <v>0.5862403527</v>
      </c>
      <c r="U513" s="1">
        <f t="shared" si="512"/>
        <v>0.3741520779</v>
      </c>
    </row>
    <row r="514">
      <c r="A514" s="3">
        <f>IFERROR(__xludf.DUMMYFUNCTION("""COMPUTED_VALUE"""),44433.0)</f>
        <v>44433</v>
      </c>
      <c r="B514" s="1">
        <f t="shared" ref="B514:U514" si="513">IF($A514&gt;0,Megyeinapi!B514/'megyelakosság'!B$2*100000," ")</f>
        <v>0.7964637012</v>
      </c>
      <c r="C514" s="1">
        <f t="shared" si="513"/>
        <v>0.8354009507</v>
      </c>
      <c r="D514" s="1">
        <f t="shared" si="513"/>
        <v>0.3025334148</v>
      </c>
      <c r="E514" s="1">
        <f t="shared" si="513"/>
        <v>0.941820602</v>
      </c>
      <c r="F514" s="1">
        <f t="shared" si="513"/>
        <v>2.913926053</v>
      </c>
      <c r="G514" s="1">
        <f t="shared" si="513"/>
        <v>0.7531405963</v>
      </c>
      <c r="H514" s="1">
        <f t="shared" si="513"/>
        <v>1.911118649</v>
      </c>
      <c r="I514" s="1">
        <f t="shared" si="513"/>
        <v>1.690827893</v>
      </c>
      <c r="J514" s="1">
        <f t="shared" si="513"/>
        <v>0.3797033378</v>
      </c>
      <c r="K514" s="1">
        <f t="shared" si="513"/>
        <v>1.022421708</v>
      </c>
      <c r="L514" s="1">
        <f t="shared" si="513"/>
        <v>0.5451002303</v>
      </c>
      <c r="M514" s="1">
        <f t="shared" si="513"/>
        <v>0</v>
      </c>
      <c r="N514" s="1">
        <f t="shared" si="513"/>
        <v>3.721583055</v>
      </c>
      <c r="O514" s="1">
        <f t="shared" si="513"/>
        <v>2.31284818</v>
      </c>
      <c r="P514" s="1">
        <f t="shared" si="513"/>
        <v>1.333555593</v>
      </c>
      <c r="Q514" s="1">
        <f t="shared" si="513"/>
        <v>0</v>
      </c>
      <c r="R514" s="1">
        <f t="shared" si="513"/>
        <v>0</v>
      </c>
      <c r="S514" s="1">
        <f t="shared" si="513"/>
        <v>0</v>
      </c>
      <c r="T514" s="1">
        <f t="shared" si="513"/>
        <v>0.2931201763</v>
      </c>
      <c r="U514" s="1">
        <f t="shared" si="513"/>
        <v>0.3741520779</v>
      </c>
    </row>
    <row r="515">
      <c r="A515" s="3">
        <f>IFERROR(__xludf.DUMMYFUNCTION("""COMPUTED_VALUE"""),44434.0)</f>
        <v>44434</v>
      </c>
      <c r="B515" s="1">
        <f t="shared" ref="B515:U515" si="514">IF($A515&gt;0,Megyeinapi!B515/'megyelakosság'!B$2*100000," ")</f>
        <v>1.592927402</v>
      </c>
      <c r="C515" s="1">
        <f t="shared" si="514"/>
        <v>1.949268885</v>
      </c>
      <c r="D515" s="1">
        <f t="shared" si="514"/>
        <v>0.6050668296</v>
      </c>
      <c r="E515" s="1">
        <f t="shared" si="514"/>
        <v>0.7848505017</v>
      </c>
      <c r="F515" s="1">
        <f t="shared" si="514"/>
        <v>3.313876687</v>
      </c>
      <c r="G515" s="1">
        <f t="shared" si="514"/>
        <v>2.510468654</v>
      </c>
      <c r="H515" s="1">
        <f t="shared" si="514"/>
        <v>2.388898312</v>
      </c>
      <c r="I515" s="1">
        <f t="shared" si="514"/>
        <v>1.056767433</v>
      </c>
      <c r="J515" s="1">
        <f t="shared" si="514"/>
        <v>0.9492583445</v>
      </c>
      <c r="K515" s="1">
        <f t="shared" si="514"/>
        <v>1.70403618</v>
      </c>
      <c r="L515" s="1">
        <f t="shared" si="514"/>
        <v>1.090200461</v>
      </c>
      <c r="M515" s="1">
        <f t="shared" si="514"/>
        <v>0.3322314324</v>
      </c>
      <c r="N515" s="1">
        <f t="shared" si="514"/>
        <v>1.594964166</v>
      </c>
      <c r="O515" s="1">
        <f t="shared" si="514"/>
        <v>2.929607695</v>
      </c>
      <c r="P515" s="1">
        <f t="shared" si="514"/>
        <v>2.000333389</v>
      </c>
      <c r="Q515" s="1">
        <f t="shared" si="514"/>
        <v>0.364280146</v>
      </c>
      <c r="R515" s="1">
        <f t="shared" si="514"/>
        <v>0.4640069787</v>
      </c>
      <c r="S515" s="1">
        <f t="shared" si="514"/>
        <v>0</v>
      </c>
      <c r="T515" s="1">
        <f t="shared" si="514"/>
        <v>2.344961411</v>
      </c>
      <c r="U515" s="1">
        <f t="shared" si="514"/>
        <v>0.7483041557</v>
      </c>
    </row>
    <row r="516">
      <c r="A516" s="3">
        <f>IFERROR(__xludf.DUMMYFUNCTION("""COMPUTED_VALUE"""),44435.0)</f>
        <v>44435</v>
      </c>
      <c r="B516" s="1">
        <f t="shared" ref="B516:U516" si="515">IF($A516&gt;0,Megyeinapi!B516/'megyelakosság'!B$2*100000," ")</f>
        <v>1.991159253</v>
      </c>
      <c r="C516" s="1">
        <f t="shared" si="515"/>
        <v>0.5569339671</v>
      </c>
      <c r="D516" s="1">
        <f t="shared" si="515"/>
        <v>1.512667074</v>
      </c>
      <c r="E516" s="1">
        <f t="shared" si="515"/>
        <v>1.255760803</v>
      </c>
      <c r="F516" s="1">
        <f t="shared" si="515"/>
        <v>4.856543421</v>
      </c>
      <c r="G516" s="1">
        <f t="shared" si="515"/>
        <v>1.004187462</v>
      </c>
      <c r="H516" s="1">
        <f t="shared" si="515"/>
        <v>2.150008481</v>
      </c>
      <c r="I516" s="1">
        <f t="shared" si="515"/>
        <v>1.056767433</v>
      </c>
      <c r="J516" s="1">
        <f t="shared" si="515"/>
        <v>0.1898516689</v>
      </c>
      <c r="K516" s="1">
        <f t="shared" si="515"/>
        <v>1.363228944</v>
      </c>
      <c r="L516" s="1">
        <f t="shared" si="515"/>
        <v>1.090200461</v>
      </c>
      <c r="M516" s="1">
        <f t="shared" si="515"/>
        <v>0.9966942972</v>
      </c>
      <c r="N516" s="1">
        <f t="shared" si="515"/>
        <v>2.126618889</v>
      </c>
      <c r="O516" s="1">
        <f t="shared" si="515"/>
        <v>1.773183605</v>
      </c>
      <c r="P516" s="1">
        <f t="shared" si="515"/>
        <v>2.667111185</v>
      </c>
      <c r="Q516" s="1">
        <f t="shared" si="515"/>
        <v>0.546420219</v>
      </c>
      <c r="R516" s="1">
        <f t="shared" si="515"/>
        <v>0</v>
      </c>
      <c r="S516" s="1">
        <f t="shared" si="515"/>
        <v>1.180465654</v>
      </c>
      <c r="T516" s="1">
        <f t="shared" si="515"/>
        <v>0.2931201763</v>
      </c>
      <c r="U516" s="1">
        <f t="shared" si="515"/>
        <v>2.619064545</v>
      </c>
    </row>
    <row r="517">
      <c r="A517" s="3">
        <f>IFERROR(__xludf.DUMMYFUNCTION("""COMPUTED_VALUE"""),44436.0)</f>
        <v>44436</v>
      </c>
      <c r="B517" s="1">
        <f t="shared" ref="B517:U517" si="516">IF($A517&gt;0,Megyeinapi!B517/'megyelakosság'!B$2*100000," ")</f>
        <v>0</v>
      </c>
      <c r="C517" s="1">
        <f t="shared" si="516"/>
        <v>0</v>
      </c>
      <c r="D517" s="1">
        <f t="shared" si="516"/>
        <v>0</v>
      </c>
      <c r="E517" s="1">
        <f t="shared" si="516"/>
        <v>0</v>
      </c>
      <c r="F517" s="1">
        <f t="shared" si="516"/>
        <v>0</v>
      </c>
      <c r="G517" s="1">
        <f t="shared" si="516"/>
        <v>0</v>
      </c>
      <c r="H517" s="1">
        <f t="shared" si="516"/>
        <v>0</v>
      </c>
      <c r="I517" s="1">
        <f t="shared" si="516"/>
        <v>0</v>
      </c>
      <c r="J517" s="1">
        <f t="shared" si="516"/>
        <v>0</v>
      </c>
      <c r="K517" s="1">
        <f t="shared" si="516"/>
        <v>0</v>
      </c>
      <c r="L517" s="1">
        <f t="shared" si="516"/>
        <v>0</v>
      </c>
      <c r="M517" s="1">
        <f t="shared" si="516"/>
        <v>0</v>
      </c>
      <c r="N517" s="1">
        <f t="shared" si="516"/>
        <v>0</v>
      </c>
      <c r="O517" s="1">
        <f t="shared" si="516"/>
        <v>0</v>
      </c>
      <c r="P517" s="1">
        <f t="shared" si="516"/>
        <v>0</v>
      </c>
      <c r="Q517" s="1">
        <f t="shared" si="516"/>
        <v>0</v>
      </c>
      <c r="R517" s="1">
        <f t="shared" si="516"/>
        <v>0</v>
      </c>
      <c r="S517" s="1">
        <f t="shared" si="516"/>
        <v>0</v>
      </c>
      <c r="T517" s="1">
        <f t="shared" si="516"/>
        <v>0</v>
      </c>
      <c r="U517" s="1">
        <f t="shared" si="516"/>
        <v>0</v>
      </c>
    </row>
    <row r="518">
      <c r="A518" s="3">
        <f>IFERROR(__xludf.DUMMYFUNCTION("""COMPUTED_VALUE"""),44437.0)</f>
        <v>44437</v>
      </c>
      <c r="B518" s="1">
        <f t="shared" ref="B518:U518" si="517">IF($A518&gt;0,Megyeinapi!B518/'megyelakosság'!B$2*100000," ")</f>
        <v>0</v>
      </c>
      <c r="C518" s="1">
        <f t="shared" si="517"/>
        <v>0</v>
      </c>
      <c r="D518" s="1">
        <f t="shared" si="517"/>
        <v>0</v>
      </c>
      <c r="E518" s="1">
        <f t="shared" si="517"/>
        <v>0</v>
      </c>
      <c r="F518" s="1">
        <f t="shared" si="517"/>
        <v>0</v>
      </c>
      <c r="G518" s="1">
        <f t="shared" si="517"/>
        <v>0</v>
      </c>
      <c r="H518" s="1">
        <f t="shared" si="517"/>
        <v>0</v>
      </c>
      <c r="I518" s="1">
        <f t="shared" si="517"/>
        <v>0</v>
      </c>
      <c r="J518" s="1">
        <f t="shared" si="517"/>
        <v>0</v>
      </c>
      <c r="K518" s="1">
        <f t="shared" si="517"/>
        <v>0</v>
      </c>
      <c r="L518" s="1">
        <f t="shared" si="517"/>
        <v>0</v>
      </c>
      <c r="M518" s="1">
        <f t="shared" si="517"/>
        <v>0</v>
      </c>
      <c r="N518" s="1">
        <f t="shared" si="517"/>
        <v>0</v>
      </c>
      <c r="O518" s="1">
        <f t="shared" si="517"/>
        <v>0</v>
      </c>
      <c r="P518" s="1">
        <f t="shared" si="517"/>
        <v>0</v>
      </c>
      <c r="Q518" s="1">
        <f t="shared" si="517"/>
        <v>0</v>
      </c>
      <c r="R518" s="1">
        <f t="shared" si="517"/>
        <v>0</v>
      </c>
      <c r="S518" s="1">
        <f t="shared" si="517"/>
        <v>0</v>
      </c>
      <c r="T518" s="1">
        <f t="shared" si="517"/>
        <v>0</v>
      </c>
      <c r="U518" s="1">
        <f t="shared" si="517"/>
        <v>0</v>
      </c>
    </row>
    <row r="519">
      <c r="A519" s="3">
        <f>IFERROR(__xludf.DUMMYFUNCTION("""COMPUTED_VALUE"""),44438.0)</f>
        <v>44438</v>
      </c>
      <c r="B519" s="1">
        <f t="shared" ref="B519:U519" si="518">IF($A519&gt;0,Megyeinapi!B519/'megyelakosság'!B$2*100000," ")</f>
        <v>3.982318506</v>
      </c>
      <c r="C519" s="1">
        <f t="shared" si="518"/>
        <v>3.89853777</v>
      </c>
      <c r="D519" s="1">
        <f t="shared" si="518"/>
        <v>1.512667074</v>
      </c>
      <c r="E519" s="1">
        <f t="shared" si="518"/>
        <v>2.825461806</v>
      </c>
      <c r="F519" s="1">
        <f t="shared" si="518"/>
        <v>11.25575358</v>
      </c>
      <c r="G519" s="1">
        <f t="shared" si="518"/>
        <v>5.271984174</v>
      </c>
      <c r="H519" s="1">
        <f t="shared" si="518"/>
        <v>4.300016961</v>
      </c>
      <c r="I519" s="1">
        <f t="shared" si="518"/>
        <v>5.706544138</v>
      </c>
      <c r="J519" s="1">
        <f t="shared" si="518"/>
        <v>2.278220027</v>
      </c>
      <c r="K519" s="1">
        <f t="shared" si="518"/>
        <v>3.748879596</v>
      </c>
      <c r="L519" s="1">
        <f t="shared" si="518"/>
        <v>5.178452188</v>
      </c>
      <c r="M519" s="1">
        <f t="shared" si="518"/>
        <v>6.976860081</v>
      </c>
      <c r="N519" s="1">
        <f t="shared" si="518"/>
        <v>6.379856666</v>
      </c>
      <c r="O519" s="1">
        <f t="shared" si="518"/>
        <v>6.167595147</v>
      </c>
      <c r="P519" s="1">
        <f t="shared" si="518"/>
        <v>3.66727788</v>
      </c>
      <c r="Q519" s="1">
        <f t="shared" si="518"/>
        <v>1.639260657</v>
      </c>
      <c r="R519" s="1">
        <f t="shared" si="518"/>
        <v>1.856027915</v>
      </c>
      <c r="S519" s="1">
        <f t="shared" si="518"/>
        <v>1.967442757</v>
      </c>
      <c r="T519" s="1">
        <f t="shared" si="518"/>
        <v>3.810562292</v>
      </c>
      <c r="U519" s="1">
        <f t="shared" si="518"/>
        <v>1.496608311</v>
      </c>
    </row>
    <row r="520">
      <c r="A520" s="3">
        <f>IFERROR(__xludf.DUMMYFUNCTION("""COMPUTED_VALUE"""),44439.0)</f>
        <v>44439</v>
      </c>
      <c r="B520" s="1">
        <f t="shared" ref="B520:U520" si="519">IF($A520&gt;0,Megyeinapi!B520/'megyelakosság'!B$2*100000," ")</f>
        <v>0.9955796265</v>
      </c>
      <c r="C520" s="1">
        <f t="shared" si="519"/>
        <v>0.2784669836</v>
      </c>
      <c r="D520" s="1">
        <f t="shared" si="519"/>
        <v>2.420267319</v>
      </c>
      <c r="E520" s="1">
        <f t="shared" si="519"/>
        <v>0.470910301</v>
      </c>
      <c r="F520" s="1">
        <f t="shared" si="519"/>
        <v>2.571111223</v>
      </c>
      <c r="G520" s="1">
        <f t="shared" si="519"/>
        <v>0.7531405963</v>
      </c>
      <c r="H520" s="1">
        <f t="shared" si="519"/>
        <v>0.9555593247</v>
      </c>
      <c r="I520" s="1">
        <f t="shared" si="519"/>
        <v>1.056767433</v>
      </c>
      <c r="J520" s="1">
        <f t="shared" si="519"/>
        <v>0.5695550067</v>
      </c>
      <c r="K520" s="1">
        <f t="shared" si="519"/>
        <v>0.340807236</v>
      </c>
      <c r="L520" s="1">
        <f t="shared" si="519"/>
        <v>0.2725501152</v>
      </c>
      <c r="M520" s="1">
        <f t="shared" si="519"/>
        <v>1.661157162</v>
      </c>
      <c r="N520" s="1">
        <f t="shared" si="519"/>
        <v>0.5316547222</v>
      </c>
      <c r="O520" s="1">
        <f t="shared" si="519"/>
        <v>1.079329151</v>
      </c>
      <c r="P520" s="1">
        <f t="shared" si="519"/>
        <v>1.666944491</v>
      </c>
      <c r="Q520" s="1">
        <f t="shared" si="519"/>
        <v>0.364280146</v>
      </c>
      <c r="R520" s="1">
        <f t="shared" si="519"/>
        <v>0.4640069787</v>
      </c>
      <c r="S520" s="1">
        <f t="shared" si="519"/>
        <v>0.7869771029</v>
      </c>
      <c r="T520" s="1">
        <f t="shared" si="519"/>
        <v>0.2931201763</v>
      </c>
      <c r="U520" s="1">
        <f t="shared" si="519"/>
        <v>0</v>
      </c>
    </row>
    <row r="521">
      <c r="A521" s="3">
        <f>IFERROR(__xludf.DUMMYFUNCTION("""COMPUTED_VALUE"""),44440.0)</f>
        <v>44440</v>
      </c>
      <c r="B521" s="1">
        <f t="shared" ref="B521:U521" si="520">IF($A521&gt;0,Megyeinapi!B521/'megyelakosság'!B$2*100000," ")</f>
        <v>0.7964637012</v>
      </c>
      <c r="C521" s="1">
        <f t="shared" si="520"/>
        <v>0.8354009507</v>
      </c>
      <c r="D521" s="1">
        <f t="shared" si="520"/>
        <v>0</v>
      </c>
      <c r="E521" s="1">
        <f t="shared" si="520"/>
        <v>0.7848505017</v>
      </c>
      <c r="F521" s="1">
        <f t="shared" si="520"/>
        <v>3.313876687</v>
      </c>
      <c r="G521" s="1">
        <f t="shared" si="520"/>
        <v>1.004187462</v>
      </c>
      <c r="H521" s="1">
        <f t="shared" si="520"/>
        <v>1.672228818</v>
      </c>
      <c r="I521" s="1">
        <f t="shared" si="520"/>
        <v>2.536241839</v>
      </c>
      <c r="J521" s="1">
        <f t="shared" si="520"/>
        <v>1.328961682</v>
      </c>
      <c r="K521" s="1">
        <f t="shared" si="520"/>
        <v>1.363228944</v>
      </c>
      <c r="L521" s="1">
        <f t="shared" si="520"/>
        <v>1.907850806</v>
      </c>
      <c r="M521" s="1">
        <f t="shared" si="520"/>
        <v>1.661157162</v>
      </c>
      <c r="N521" s="1">
        <f t="shared" si="520"/>
        <v>4.784892499</v>
      </c>
      <c r="O521" s="1">
        <f t="shared" si="520"/>
        <v>3.46927227</v>
      </c>
      <c r="P521" s="1">
        <f t="shared" si="520"/>
        <v>2.000333389</v>
      </c>
      <c r="Q521" s="1">
        <f t="shared" si="520"/>
        <v>0</v>
      </c>
      <c r="R521" s="1">
        <f t="shared" si="520"/>
        <v>0.4640069787</v>
      </c>
      <c r="S521" s="1">
        <f t="shared" si="520"/>
        <v>3.147908412</v>
      </c>
      <c r="T521" s="1">
        <f t="shared" si="520"/>
        <v>1.172480705</v>
      </c>
      <c r="U521" s="1">
        <f t="shared" si="520"/>
        <v>1.870760389</v>
      </c>
    </row>
    <row r="522">
      <c r="A522" s="3">
        <f>IFERROR(__xludf.DUMMYFUNCTION("""COMPUTED_VALUE"""),44441.0)</f>
        <v>44441</v>
      </c>
      <c r="B522" s="1">
        <f t="shared" ref="B522:U522" si="521">IF($A522&gt;0,Megyeinapi!B522/'megyelakosság'!B$2*100000," ")</f>
        <v>2.787622954</v>
      </c>
      <c r="C522" s="1">
        <f t="shared" si="521"/>
        <v>1.392334918</v>
      </c>
      <c r="D522" s="1">
        <f t="shared" si="521"/>
        <v>1.815200489</v>
      </c>
      <c r="E522" s="1">
        <f t="shared" si="521"/>
        <v>2.354551505</v>
      </c>
      <c r="F522" s="1">
        <f t="shared" si="521"/>
        <v>4.570864396</v>
      </c>
      <c r="G522" s="1">
        <f t="shared" si="521"/>
        <v>2.76151552</v>
      </c>
      <c r="H522" s="1">
        <f t="shared" si="521"/>
        <v>3.105567805</v>
      </c>
      <c r="I522" s="1">
        <f t="shared" si="521"/>
        <v>2.747595326</v>
      </c>
      <c r="J522" s="1">
        <f t="shared" si="521"/>
        <v>0.7594066756</v>
      </c>
      <c r="K522" s="1">
        <f t="shared" si="521"/>
        <v>1.70403618</v>
      </c>
      <c r="L522" s="1">
        <f t="shared" si="521"/>
        <v>1.635300691</v>
      </c>
      <c r="M522" s="1">
        <f t="shared" si="521"/>
        <v>0.3322314324</v>
      </c>
      <c r="N522" s="1">
        <f t="shared" si="521"/>
        <v>4.784892499</v>
      </c>
      <c r="O522" s="1">
        <f t="shared" si="521"/>
        <v>3.392177331</v>
      </c>
      <c r="P522" s="1">
        <f t="shared" si="521"/>
        <v>2.333722287</v>
      </c>
      <c r="Q522" s="1">
        <f t="shared" si="521"/>
        <v>1.457120584</v>
      </c>
      <c r="R522" s="1">
        <f t="shared" si="521"/>
        <v>1.392020936</v>
      </c>
      <c r="S522" s="1">
        <f t="shared" si="521"/>
        <v>1.967442757</v>
      </c>
      <c r="T522" s="1">
        <f t="shared" si="521"/>
        <v>2.344961411</v>
      </c>
      <c r="U522" s="1">
        <f t="shared" si="521"/>
        <v>1.870760389</v>
      </c>
    </row>
    <row r="523">
      <c r="A523" s="3">
        <f>IFERROR(__xludf.DUMMYFUNCTION("""COMPUTED_VALUE"""),44442.0)</f>
        <v>44442</v>
      </c>
      <c r="B523" s="1">
        <f t="shared" ref="B523:U523" si="522">IF($A523&gt;0,Megyeinapi!B523/'megyelakosság'!B$2*100000," ")</f>
        <v>3.185854805</v>
      </c>
      <c r="C523" s="1">
        <f t="shared" si="522"/>
        <v>1.949268885</v>
      </c>
      <c r="D523" s="1">
        <f t="shared" si="522"/>
        <v>2.420267319</v>
      </c>
      <c r="E523" s="1">
        <f t="shared" si="522"/>
        <v>1.726671104</v>
      </c>
      <c r="F523" s="1">
        <f t="shared" si="522"/>
        <v>4.056642152</v>
      </c>
      <c r="G523" s="1">
        <f t="shared" si="522"/>
        <v>0.7531405963</v>
      </c>
      <c r="H523" s="1">
        <f t="shared" si="522"/>
        <v>0.4777796624</v>
      </c>
      <c r="I523" s="1">
        <f t="shared" si="522"/>
        <v>3.804362759</v>
      </c>
      <c r="J523" s="1">
        <f t="shared" si="522"/>
        <v>2.088368358</v>
      </c>
      <c r="K523" s="1">
        <f t="shared" si="522"/>
        <v>3.748879596</v>
      </c>
      <c r="L523" s="1">
        <f t="shared" si="522"/>
        <v>1.635300691</v>
      </c>
      <c r="M523" s="1">
        <f t="shared" si="522"/>
        <v>1.32892573</v>
      </c>
      <c r="N523" s="1">
        <f t="shared" si="522"/>
        <v>3.721583055</v>
      </c>
      <c r="O523" s="1">
        <f t="shared" si="522"/>
        <v>2.775417816</v>
      </c>
      <c r="P523" s="1">
        <f t="shared" si="522"/>
        <v>1.333555593</v>
      </c>
      <c r="Q523" s="1">
        <f t="shared" si="522"/>
        <v>0.728560292</v>
      </c>
      <c r="R523" s="1">
        <f t="shared" si="522"/>
        <v>5.104076765</v>
      </c>
      <c r="S523" s="1">
        <f t="shared" si="522"/>
        <v>2.360931309</v>
      </c>
      <c r="T523" s="1">
        <f t="shared" si="522"/>
        <v>2.638081587</v>
      </c>
      <c r="U523" s="1">
        <f t="shared" si="522"/>
        <v>0.7483041557</v>
      </c>
    </row>
    <row r="524">
      <c r="A524" s="3">
        <f>IFERROR(__xludf.DUMMYFUNCTION("""COMPUTED_VALUE"""),44443.0)</f>
        <v>44443</v>
      </c>
      <c r="B524" s="1">
        <f t="shared" ref="B524:U524" si="523">IF($A524&gt;0,Megyeinapi!B524/'megyelakosság'!B$2*100000," ")</f>
        <v>0</v>
      </c>
      <c r="C524" s="1">
        <f t="shared" si="523"/>
        <v>0</v>
      </c>
      <c r="D524" s="1">
        <f t="shared" si="523"/>
        <v>0</v>
      </c>
      <c r="E524" s="1">
        <f t="shared" si="523"/>
        <v>0</v>
      </c>
      <c r="F524" s="1">
        <f t="shared" si="523"/>
        <v>0</v>
      </c>
      <c r="G524" s="1">
        <f t="shared" si="523"/>
        <v>0</v>
      </c>
      <c r="H524" s="1">
        <f t="shared" si="523"/>
        <v>0</v>
      </c>
      <c r="I524" s="1">
        <f t="shared" si="523"/>
        <v>0</v>
      </c>
      <c r="J524" s="1">
        <f t="shared" si="523"/>
        <v>0</v>
      </c>
      <c r="K524" s="1">
        <f t="shared" si="523"/>
        <v>0</v>
      </c>
      <c r="L524" s="1">
        <f t="shared" si="523"/>
        <v>0</v>
      </c>
      <c r="M524" s="1">
        <f t="shared" si="523"/>
        <v>0</v>
      </c>
      <c r="N524" s="1">
        <f t="shared" si="523"/>
        <v>0</v>
      </c>
      <c r="O524" s="1">
        <f t="shared" si="523"/>
        <v>0</v>
      </c>
      <c r="P524" s="1">
        <f t="shared" si="523"/>
        <v>0</v>
      </c>
      <c r="Q524" s="1">
        <f t="shared" si="523"/>
        <v>0</v>
      </c>
      <c r="R524" s="1">
        <f t="shared" si="523"/>
        <v>0</v>
      </c>
      <c r="S524" s="1">
        <f t="shared" si="523"/>
        <v>0</v>
      </c>
      <c r="T524" s="1">
        <f t="shared" si="523"/>
        <v>0</v>
      </c>
      <c r="U524" s="1">
        <f t="shared" si="523"/>
        <v>0</v>
      </c>
    </row>
    <row r="525">
      <c r="A525" s="3">
        <f>IFERROR(__xludf.DUMMYFUNCTION("""COMPUTED_VALUE"""),44444.0)</f>
        <v>44444</v>
      </c>
      <c r="B525" s="1">
        <f t="shared" ref="B525:U525" si="524">IF($A525&gt;0,Megyeinapi!B525/'megyelakosság'!B$2*100000," ")</f>
        <v>0</v>
      </c>
      <c r="C525" s="1">
        <f t="shared" si="524"/>
        <v>0</v>
      </c>
      <c r="D525" s="1">
        <f t="shared" si="524"/>
        <v>0</v>
      </c>
      <c r="E525" s="1">
        <f t="shared" si="524"/>
        <v>0</v>
      </c>
      <c r="F525" s="1">
        <f t="shared" si="524"/>
        <v>0</v>
      </c>
      <c r="G525" s="1">
        <f t="shared" si="524"/>
        <v>0</v>
      </c>
      <c r="H525" s="1">
        <f t="shared" si="524"/>
        <v>0</v>
      </c>
      <c r="I525" s="1">
        <f t="shared" si="524"/>
        <v>0</v>
      </c>
      <c r="J525" s="1">
        <f t="shared" si="524"/>
        <v>0</v>
      </c>
      <c r="K525" s="1">
        <f t="shared" si="524"/>
        <v>0</v>
      </c>
      <c r="L525" s="1">
        <f t="shared" si="524"/>
        <v>0</v>
      </c>
      <c r="M525" s="1">
        <f t="shared" si="524"/>
        <v>0</v>
      </c>
      <c r="N525" s="1">
        <f t="shared" si="524"/>
        <v>0</v>
      </c>
      <c r="O525" s="1">
        <f t="shared" si="524"/>
        <v>0</v>
      </c>
      <c r="P525" s="1">
        <f t="shared" si="524"/>
        <v>0</v>
      </c>
      <c r="Q525" s="1">
        <f t="shared" si="524"/>
        <v>0</v>
      </c>
      <c r="R525" s="1">
        <f t="shared" si="524"/>
        <v>0</v>
      </c>
      <c r="S525" s="1">
        <f t="shared" si="524"/>
        <v>0</v>
      </c>
      <c r="T525" s="1">
        <f t="shared" si="524"/>
        <v>0</v>
      </c>
      <c r="U525" s="1">
        <f t="shared" si="524"/>
        <v>0</v>
      </c>
    </row>
    <row r="526">
      <c r="A526" s="3">
        <f>IFERROR(__xludf.DUMMYFUNCTION("""COMPUTED_VALUE"""),44445.0)</f>
        <v>44445</v>
      </c>
      <c r="B526" s="1">
        <f t="shared" ref="B526:U526" si="525">IF($A526&gt;0,Megyeinapi!B526/'megyelakosság'!B$2*100000," ")</f>
        <v>4.380550356</v>
      </c>
      <c r="C526" s="1">
        <f t="shared" si="525"/>
        <v>7.518608556</v>
      </c>
      <c r="D526" s="1">
        <f t="shared" si="525"/>
        <v>6.655735126</v>
      </c>
      <c r="E526" s="1">
        <f t="shared" si="525"/>
        <v>4.238192709</v>
      </c>
      <c r="F526" s="1">
        <f t="shared" si="525"/>
        <v>12.34133387</v>
      </c>
      <c r="G526" s="1">
        <f t="shared" si="525"/>
        <v>7.531405963</v>
      </c>
      <c r="H526" s="1">
        <f t="shared" si="525"/>
        <v>5.255576286</v>
      </c>
      <c r="I526" s="1">
        <f t="shared" si="525"/>
        <v>8.454139464</v>
      </c>
      <c r="J526" s="1">
        <f t="shared" si="525"/>
        <v>3.986885047</v>
      </c>
      <c r="K526" s="1">
        <f t="shared" si="525"/>
        <v>4.771301304</v>
      </c>
      <c r="L526" s="1">
        <f t="shared" si="525"/>
        <v>5.996102533</v>
      </c>
      <c r="M526" s="1">
        <f t="shared" si="525"/>
        <v>1.661157162</v>
      </c>
      <c r="N526" s="1">
        <f t="shared" si="525"/>
        <v>10.10143972</v>
      </c>
      <c r="O526" s="1">
        <f t="shared" si="525"/>
        <v>7.169829358</v>
      </c>
      <c r="P526" s="1">
        <f t="shared" si="525"/>
        <v>3.333888981</v>
      </c>
      <c r="Q526" s="1">
        <f t="shared" si="525"/>
        <v>2.185680876</v>
      </c>
      <c r="R526" s="1">
        <f t="shared" si="525"/>
        <v>6.496097701</v>
      </c>
      <c r="S526" s="1">
        <f t="shared" si="525"/>
        <v>3.541396963</v>
      </c>
      <c r="T526" s="1">
        <f t="shared" si="525"/>
        <v>5.862403527</v>
      </c>
      <c r="U526" s="1">
        <f t="shared" si="525"/>
        <v>1.122456234</v>
      </c>
    </row>
    <row r="527">
      <c r="A527" s="3">
        <f>IFERROR(__xludf.DUMMYFUNCTION("""COMPUTED_VALUE"""),44446.0)</f>
        <v>44446</v>
      </c>
      <c r="B527" s="1">
        <f t="shared" ref="B527:U527" si="526">IF($A527&gt;0,Megyeinapi!B527/'megyelakosság'!B$2*100000," ")</f>
        <v>2.190275178</v>
      </c>
      <c r="C527" s="1">
        <f t="shared" si="526"/>
        <v>1.392334918</v>
      </c>
      <c r="D527" s="1">
        <f t="shared" si="526"/>
        <v>1.210133659</v>
      </c>
      <c r="E527" s="1">
        <f t="shared" si="526"/>
        <v>1.883641204</v>
      </c>
      <c r="F527" s="1">
        <f t="shared" si="526"/>
        <v>2.114024783</v>
      </c>
      <c r="G527" s="1">
        <f t="shared" si="526"/>
        <v>1.255234327</v>
      </c>
      <c r="H527" s="1">
        <f t="shared" si="526"/>
        <v>0.9555593247</v>
      </c>
      <c r="I527" s="1">
        <f t="shared" si="526"/>
        <v>0.2113534866</v>
      </c>
      <c r="J527" s="1">
        <f t="shared" si="526"/>
        <v>0.3797033378</v>
      </c>
      <c r="K527" s="1">
        <f t="shared" si="526"/>
        <v>1.363228944</v>
      </c>
      <c r="L527" s="1">
        <f t="shared" si="526"/>
        <v>0.8176503455</v>
      </c>
      <c r="M527" s="1">
        <f t="shared" si="526"/>
        <v>0.3322314324</v>
      </c>
      <c r="N527" s="1">
        <f t="shared" si="526"/>
        <v>1.594964166</v>
      </c>
      <c r="O527" s="1">
        <f t="shared" si="526"/>
        <v>1.696088665</v>
      </c>
      <c r="P527" s="1">
        <f t="shared" si="526"/>
        <v>1.000166694</v>
      </c>
      <c r="Q527" s="1">
        <f t="shared" si="526"/>
        <v>0.364280146</v>
      </c>
      <c r="R527" s="1">
        <f t="shared" si="526"/>
        <v>0.4640069787</v>
      </c>
      <c r="S527" s="1">
        <f t="shared" si="526"/>
        <v>1.967442757</v>
      </c>
      <c r="T527" s="1">
        <f t="shared" si="526"/>
        <v>0.2931201763</v>
      </c>
      <c r="U527" s="1">
        <f t="shared" si="526"/>
        <v>1.496608311</v>
      </c>
    </row>
    <row r="528">
      <c r="A528" s="3">
        <f>IFERROR(__xludf.DUMMYFUNCTION("""COMPUTED_VALUE"""),44447.0)</f>
        <v>44447</v>
      </c>
      <c r="B528" s="1">
        <f t="shared" ref="B528:U528" si="527">IF($A528&gt;0,Megyeinapi!B528/'megyelakosság'!B$2*100000," ")</f>
        <v>1.792043328</v>
      </c>
      <c r="C528" s="1">
        <f t="shared" si="527"/>
        <v>3.620070786</v>
      </c>
      <c r="D528" s="1">
        <f t="shared" si="527"/>
        <v>0.6050668296</v>
      </c>
      <c r="E528" s="1">
        <f t="shared" si="527"/>
        <v>0.7848505017</v>
      </c>
      <c r="F528" s="1">
        <f t="shared" si="527"/>
        <v>4.342321176</v>
      </c>
      <c r="G528" s="1">
        <f t="shared" si="527"/>
        <v>1.255234327</v>
      </c>
      <c r="H528" s="1">
        <f t="shared" si="527"/>
        <v>2.627788143</v>
      </c>
      <c r="I528" s="1">
        <f t="shared" si="527"/>
        <v>1.902181379</v>
      </c>
      <c r="J528" s="1">
        <f t="shared" si="527"/>
        <v>2.847775033</v>
      </c>
      <c r="K528" s="1">
        <f t="shared" si="527"/>
        <v>1.022421708</v>
      </c>
      <c r="L528" s="1">
        <f t="shared" si="527"/>
        <v>1.635300691</v>
      </c>
      <c r="M528" s="1">
        <f t="shared" si="527"/>
        <v>0.6644628648</v>
      </c>
      <c r="N528" s="1">
        <f t="shared" si="527"/>
        <v>5.848201944</v>
      </c>
      <c r="O528" s="1">
        <f t="shared" si="527"/>
        <v>4.086031785</v>
      </c>
      <c r="P528" s="1">
        <f t="shared" si="527"/>
        <v>1.666944491</v>
      </c>
      <c r="Q528" s="1">
        <f t="shared" si="527"/>
        <v>0.728560292</v>
      </c>
      <c r="R528" s="1">
        <f t="shared" si="527"/>
        <v>1.392020936</v>
      </c>
      <c r="S528" s="1">
        <f t="shared" si="527"/>
        <v>3.147908412</v>
      </c>
      <c r="T528" s="1">
        <f t="shared" si="527"/>
        <v>1.172480705</v>
      </c>
      <c r="U528" s="1">
        <f t="shared" si="527"/>
        <v>0.7483041557</v>
      </c>
    </row>
    <row r="529">
      <c r="A529" s="3">
        <f>IFERROR(__xludf.DUMMYFUNCTION("""COMPUTED_VALUE"""),44448.0)</f>
        <v>44448</v>
      </c>
      <c r="B529" s="1">
        <f t="shared" ref="B529:U529" si="528">IF($A529&gt;0,Megyeinapi!B529/'megyelakosság'!B$2*100000," ")</f>
        <v>3.584086655</v>
      </c>
      <c r="C529" s="1">
        <f t="shared" si="528"/>
        <v>1.670801901</v>
      </c>
      <c r="D529" s="1">
        <f t="shared" si="528"/>
        <v>2.117733904</v>
      </c>
      <c r="E529" s="1">
        <f t="shared" si="528"/>
        <v>3.139402007</v>
      </c>
      <c r="F529" s="1">
        <f t="shared" si="528"/>
        <v>5.370765665</v>
      </c>
      <c r="G529" s="1">
        <f t="shared" si="528"/>
        <v>5.523031039</v>
      </c>
      <c r="H529" s="1">
        <f t="shared" si="528"/>
        <v>4.06112713</v>
      </c>
      <c r="I529" s="1">
        <f t="shared" si="528"/>
        <v>1.902181379</v>
      </c>
      <c r="J529" s="1">
        <f t="shared" si="528"/>
        <v>2.278220027</v>
      </c>
      <c r="K529" s="1">
        <f t="shared" si="528"/>
        <v>6.134530248</v>
      </c>
      <c r="L529" s="1">
        <f t="shared" si="528"/>
        <v>1.907850806</v>
      </c>
      <c r="M529" s="1">
        <f t="shared" si="528"/>
        <v>3.322314324</v>
      </c>
      <c r="N529" s="1">
        <f t="shared" si="528"/>
        <v>6.911511388</v>
      </c>
      <c r="O529" s="1">
        <f t="shared" si="528"/>
        <v>3.546367209</v>
      </c>
      <c r="P529" s="1">
        <f t="shared" si="528"/>
        <v>2.667111185</v>
      </c>
      <c r="Q529" s="1">
        <f t="shared" si="528"/>
        <v>0.182140073</v>
      </c>
      <c r="R529" s="1">
        <f t="shared" si="528"/>
        <v>6.032090723</v>
      </c>
      <c r="S529" s="1">
        <f t="shared" si="528"/>
        <v>2.360931309</v>
      </c>
      <c r="T529" s="1">
        <f t="shared" si="528"/>
        <v>4.689922821</v>
      </c>
      <c r="U529" s="1">
        <f t="shared" si="528"/>
        <v>0.7483041557</v>
      </c>
    </row>
    <row r="530">
      <c r="A530" s="3">
        <f>IFERROR(__xludf.DUMMYFUNCTION("""COMPUTED_VALUE"""),44449.0)</f>
        <v>44449</v>
      </c>
      <c r="B530" s="1">
        <f t="shared" ref="B530:U530" si="529">IF($A530&gt;0,Megyeinapi!B530/'megyelakosság'!B$2*100000," ")</f>
        <v>2.986738879</v>
      </c>
      <c r="C530" s="1">
        <f t="shared" si="529"/>
        <v>1.392334918</v>
      </c>
      <c r="D530" s="1">
        <f t="shared" si="529"/>
        <v>1.815200489</v>
      </c>
      <c r="E530" s="1">
        <f t="shared" si="529"/>
        <v>2.668491706</v>
      </c>
      <c r="F530" s="1">
        <f t="shared" si="529"/>
        <v>5.599308885</v>
      </c>
      <c r="G530" s="1">
        <f t="shared" si="529"/>
        <v>5.271984174</v>
      </c>
      <c r="H530" s="1">
        <f t="shared" si="529"/>
        <v>1.911118649</v>
      </c>
      <c r="I530" s="1">
        <f t="shared" si="529"/>
        <v>2.324888353</v>
      </c>
      <c r="J530" s="1">
        <f t="shared" si="529"/>
        <v>3.41733004</v>
      </c>
      <c r="K530" s="1">
        <f t="shared" si="529"/>
        <v>4.430494068</v>
      </c>
      <c r="L530" s="1">
        <f t="shared" si="529"/>
        <v>1.362750576</v>
      </c>
      <c r="M530" s="1">
        <f t="shared" si="529"/>
        <v>0.6644628648</v>
      </c>
      <c r="N530" s="1">
        <f t="shared" si="529"/>
        <v>5.316547222</v>
      </c>
      <c r="O530" s="1">
        <f t="shared" si="529"/>
        <v>3.623462149</v>
      </c>
      <c r="P530" s="1">
        <f t="shared" si="529"/>
        <v>3.000500083</v>
      </c>
      <c r="Q530" s="1">
        <f t="shared" si="529"/>
        <v>1.274980511</v>
      </c>
      <c r="R530" s="1">
        <f t="shared" si="529"/>
        <v>0.9280139573</v>
      </c>
      <c r="S530" s="1">
        <f t="shared" si="529"/>
        <v>3.147908412</v>
      </c>
      <c r="T530" s="1">
        <f t="shared" si="529"/>
        <v>5.862403527</v>
      </c>
      <c r="U530" s="1">
        <f t="shared" si="529"/>
        <v>0.3741520779</v>
      </c>
    </row>
    <row r="531">
      <c r="A531" s="3">
        <f>IFERROR(__xludf.DUMMYFUNCTION("""COMPUTED_VALUE"""),44450.0)</f>
        <v>44450</v>
      </c>
      <c r="B531" s="1">
        <f t="shared" ref="B531:U531" si="530">IF($A531&gt;0,Megyeinapi!B531/'megyelakosság'!B$2*100000," ")</f>
        <v>0</v>
      </c>
      <c r="C531" s="1">
        <f t="shared" si="530"/>
        <v>0</v>
      </c>
      <c r="D531" s="1">
        <f t="shared" si="530"/>
        <v>0</v>
      </c>
      <c r="E531" s="1">
        <f t="shared" si="530"/>
        <v>0</v>
      </c>
      <c r="F531" s="1">
        <f t="shared" si="530"/>
        <v>0</v>
      </c>
      <c r="G531" s="1">
        <f t="shared" si="530"/>
        <v>0</v>
      </c>
      <c r="H531" s="1">
        <f t="shared" si="530"/>
        <v>0</v>
      </c>
      <c r="I531" s="1">
        <f t="shared" si="530"/>
        <v>0</v>
      </c>
      <c r="J531" s="1">
        <f t="shared" si="530"/>
        <v>0</v>
      </c>
      <c r="K531" s="1">
        <f t="shared" si="530"/>
        <v>0</v>
      </c>
      <c r="L531" s="1">
        <f t="shared" si="530"/>
        <v>0</v>
      </c>
      <c r="M531" s="1">
        <f t="shared" si="530"/>
        <v>0</v>
      </c>
      <c r="N531" s="1">
        <f t="shared" si="530"/>
        <v>0</v>
      </c>
      <c r="O531" s="1">
        <f t="shared" si="530"/>
        <v>0</v>
      </c>
      <c r="P531" s="1">
        <f t="shared" si="530"/>
        <v>0</v>
      </c>
      <c r="Q531" s="1">
        <f t="shared" si="530"/>
        <v>0</v>
      </c>
      <c r="R531" s="1">
        <f t="shared" si="530"/>
        <v>0</v>
      </c>
      <c r="S531" s="1">
        <f t="shared" si="530"/>
        <v>0</v>
      </c>
      <c r="T531" s="1">
        <f t="shared" si="530"/>
        <v>0</v>
      </c>
      <c r="U531" s="1">
        <f t="shared" si="530"/>
        <v>0</v>
      </c>
    </row>
    <row r="532">
      <c r="A532" s="3">
        <f>IFERROR(__xludf.DUMMYFUNCTION("""COMPUTED_VALUE"""),44451.0)</f>
        <v>44451</v>
      </c>
      <c r="B532" s="1">
        <f t="shared" ref="B532:U532" si="531">IF($A532&gt;0,Megyeinapi!B532/'megyelakosság'!B$2*100000," ")</f>
        <v>0</v>
      </c>
      <c r="C532" s="1">
        <f t="shared" si="531"/>
        <v>0</v>
      </c>
      <c r="D532" s="1">
        <f t="shared" si="531"/>
        <v>0</v>
      </c>
      <c r="E532" s="1">
        <f t="shared" si="531"/>
        <v>0</v>
      </c>
      <c r="F532" s="1">
        <f t="shared" si="531"/>
        <v>0</v>
      </c>
      <c r="G532" s="1">
        <f t="shared" si="531"/>
        <v>0</v>
      </c>
      <c r="H532" s="1">
        <f t="shared" si="531"/>
        <v>0</v>
      </c>
      <c r="I532" s="1">
        <f t="shared" si="531"/>
        <v>0</v>
      </c>
      <c r="J532" s="1">
        <f t="shared" si="531"/>
        <v>0</v>
      </c>
      <c r="K532" s="1">
        <f t="shared" si="531"/>
        <v>0</v>
      </c>
      <c r="L532" s="1">
        <f t="shared" si="531"/>
        <v>0</v>
      </c>
      <c r="M532" s="1">
        <f t="shared" si="531"/>
        <v>0</v>
      </c>
      <c r="N532" s="1">
        <f t="shared" si="531"/>
        <v>0</v>
      </c>
      <c r="O532" s="1">
        <f t="shared" si="531"/>
        <v>0</v>
      </c>
      <c r="P532" s="1">
        <f t="shared" si="531"/>
        <v>0</v>
      </c>
      <c r="Q532" s="1">
        <f t="shared" si="531"/>
        <v>0</v>
      </c>
      <c r="R532" s="1">
        <f t="shared" si="531"/>
        <v>0</v>
      </c>
      <c r="S532" s="1">
        <f t="shared" si="531"/>
        <v>0</v>
      </c>
      <c r="T532" s="1">
        <f t="shared" si="531"/>
        <v>0</v>
      </c>
      <c r="U532" s="1">
        <f t="shared" si="531"/>
        <v>0</v>
      </c>
    </row>
    <row r="533">
      <c r="A533" s="3">
        <f>IFERROR(__xludf.DUMMYFUNCTION("""COMPUTED_VALUE"""),44452.0)</f>
        <v>44452</v>
      </c>
      <c r="B533" s="1">
        <f t="shared" ref="B533:U533" si="532">IF($A533&gt;0,Megyeinapi!B533/'megyelakosság'!B$2*100000," ")</f>
        <v>8.761100713</v>
      </c>
      <c r="C533" s="1">
        <f t="shared" si="532"/>
        <v>6.683207605</v>
      </c>
      <c r="D533" s="1">
        <f t="shared" si="532"/>
        <v>6.353201711</v>
      </c>
      <c r="E533" s="1">
        <f t="shared" si="532"/>
        <v>7.848505017</v>
      </c>
      <c r="F533" s="1">
        <f t="shared" si="532"/>
        <v>14.9695809</v>
      </c>
      <c r="G533" s="1">
        <f t="shared" si="532"/>
        <v>9.539780886</v>
      </c>
      <c r="H533" s="1">
        <f t="shared" si="532"/>
        <v>4.538906792</v>
      </c>
      <c r="I533" s="1">
        <f t="shared" si="532"/>
        <v>9.510906897</v>
      </c>
      <c r="J533" s="1">
        <f t="shared" si="532"/>
        <v>6.83466008</v>
      </c>
      <c r="K533" s="1">
        <f t="shared" si="532"/>
        <v>10.22421708</v>
      </c>
      <c r="L533" s="1">
        <f t="shared" si="532"/>
        <v>7.631403224</v>
      </c>
      <c r="M533" s="1">
        <f t="shared" si="532"/>
        <v>4.319008621</v>
      </c>
      <c r="N533" s="1">
        <f t="shared" si="532"/>
        <v>13.82302278</v>
      </c>
      <c r="O533" s="1">
        <f t="shared" si="532"/>
        <v>10.40781681</v>
      </c>
      <c r="P533" s="1">
        <f t="shared" si="532"/>
        <v>7.001166861</v>
      </c>
      <c r="Q533" s="1">
        <f t="shared" si="532"/>
        <v>4.007081606</v>
      </c>
      <c r="R533" s="1">
        <f t="shared" si="532"/>
        <v>3.712055829</v>
      </c>
      <c r="S533" s="1">
        <f t="shared" si="532"/>
        <v>5.50883972</v>
      </c>
      <c r="T533" s="1">
        <f t="shared" si="532"/>
        <v>6.741764056</v>
      </c>
      <c r="U533" s="1">
        <f t="shared" si="532"/>
        <v>5.23812909</v>
      </c>
    </row>
    <row r="534">
      <c r="A534" s="3">
        <f>IFERROR(__xludf.DUMMYFUNCTION("""COMPUTED_VALUE"""),44453.0)</f>
        <v>44453</v>
      </c>
      <c r="B534" s="1">
        <f t="shared" ref="B534:U534" si="533">IF($A534&gt;0,Megyeinapi!B534/'megyelakosság'!B$2*100000," ")</f>
        <v>1.393811477</v>
      </c>
      <c r="C534" s="1">
        <f t="shared" si="533"/>
        <v>0.8354009507</v>
      </c>
      <c r="D534" s="1">
        <f t="shared" si="533"/>
        <v>3.025334148</v>
      </c>
      <c r="E534" s="1">
        <f t="shared" si="533"/>
        <v>1.883641204</v>
      </c>
      <c r="F534" s="1">
        <f t="shared" si="533"/>
        <v>4.570864396</v>
      </c>
      <c r="G534" s="1">
        <f t="shared" si="533"/>
        <v>2.259421789</v>
      </c>
      <c r="H534" s="1">
        <f t="shared" si="533"/>
        <v>0.9555593247</v>
      </c>
      <c r="I534" s="1">
        <f t="shared" si="533"/>
        <v>1.902181379</v>
      </c>
      <c r="J534" s="1">
        <f t="shared" si="533"/>
        <v>1.70866502</v>
      </c>
      <c r="K534" s="1">
        <f t="shared" si="533"/>
        <v>3.067265124</v>
      </c>
      <c r="L534" s="1">
        <f t="shared" si="533"/>
        <v>1.090200461</v>
      </c>
      <c r="M534" s="1">
        <f t="shared" si="533"/>
        <v>1.993388594</v>
      </c>
      <c r="N534" s="1">
        <f t="shared" si="533"/>
        <v>6.379856666</v>
      </c>
      <c r="O534" s="1">
        <f t="shared" si="533"/>
        <v>3.160892513</v>
      </c>
      <c r="P534" s="1">
        <f t="shared" si="533"/>
        <v>0.6667777963</v>
      </c>
      <c r="Q534" s="1">
        <f t="shared" si="533"/>
        <v>1.274980511</v>
      </c>
      <c r="R534" s="1">
        <f t="shared" si="533"/>
        <v>0.4640069787</v>
      </c>
      <c r="S534" s="1">
        <f t="shared" si="533"/>
        <v>1.573954206</v>
      </c>
      <c r="T534" s="1">
        <f t="shared" si="533"/>
        <v>2.638081587</v>
      </c>
      <c r="U534" s="1">
        <f t="shared" si="533"/>
        <v>2.993216623</v>
      </c>
    </row>
    <row r="535">
      <c r="A535" s="3">
        <f>IFERROR(__xludf.DUMMYFUNCTION("""COMPUTED_VALUE"""),44454.0)</f>
        <v>44454</v>
      </c>
      <c r="B535" s="1">
        <f t="shared" ref="B535:U535" si="534">IF($A535&gt;0,Megyeinapi!B535/'megyelakosság'!B$2*100000," ")</f>
        <v>2.588507029</v>
      </c>
      <c r="C535" s="1">
        <f t="shared" si="534"/>
        <v>4.177004753</v>
      </c>
      <c r="D535" s="1">
        <f t="shared" si="534"/>
        <v>4.538001222</v>
      </c>
      <c r="E535" s="1">
        <f t="shared" si="534"/>
        <v>2.197581405</v>
      </c>
      <c r="F535" s="1">
        <f t="shared" si="534"/>
        <v>5.599308885</v>
      </c>
      <c r="G535" s="1">
        <f t="shared" si="534"/>
        <v>3.263609251</v>
      </c>
      <c r="H535" s="1">
        <f t="shared" si="534"/>
        <v>2.150008481</v>
      </c>
      <c r="I535" s="1">
        <f t="shared" si="534"/>
        <v>2.958948812</v>
      </c>
      <c r="J535" s="1">
        <f t="shared" si="534"/>
        <v>4.366588384</v>
      </c>
      <c r="K535" s="1">
        <f t="shared" si="534"/>
        <v>3.40807236</v>
      </c>
      <c r="L535" s="1">
        <f t="shared" si="534"/>
        <v>4.360801842</v>
      </c>
      <c r="M535" s="1">
        <f t="shared" si="534"/>
        <v>1.993388594</v>
      </c>
      <c r="N535" s="1">
        <f t="shared" si="534"/>
        <v>9.038130277</v>
      </c>
      <c r="O535" s="1">
        <f t="shared" si="534"/>
        <v>4.62569636</v>
      </c>
      <c r="P535" s="1">
        <f t="shared" si="534"/>
        <v>2.333722287</v>
      </c>
      <c r="Q535" s="1">
        <f t="shared" si="534"/>
        <v>2.185680876</v>
      </c>
      <c r="R535" s="1">
        <f t="shared" si="534"/>
        <v>2.320034893</v>
      </c>
      <c r="S535" s="1">
        <f t="shared" si="534"/>
        <v>3.147908412</v>
      </c>
      <c r="T535" s="1">
        <f t="shared" si="534"/>
        <v>2.051841234</v>
      </c>
      <c r="U535" s="1">
        <f t="shared" si="534"/>
        <v>3.367368701</v>
      </c>
    </row>
    <row r="536">
      <c r="A536" s="3">
        <f>IFERROR(__xludf.DUMMYFUNCTION("""COMPUTED_VALUE"""),44455.0)</f>
        <v>44455</v>
      </c>
      <c r="B536" s="1">
        <f t="shared" ref="B536:U536" si="535">IF($A536&gt;0,Megyeinapi!B536/'megyelakosság'!B$2*100000," ")</f>
        <v>3.982318506</v>
      </c>
      <c r="C536" s="1">
        <f t="shared" si="535"/>
        <v>3.341603803</v>
      </c>
      <c r="D536" s="1">
        <f t="shared" si="535"/>
        <v>4.235467807</v>
      </c>
      <c r="E536" s="1">
        <f t="shared" si="535"/>
        <v>5.807893712</v>
      </c>
      <c r="F536" s="1">
        <f t="shared" si="535"/>
        <v>5.99925952</v>
      </c>
      <c r="G536" s="1">
        <f t="shared" si="535"/>
        <v>4.769890443</v>
      </c>
      <c r="H536" s="1">
        <f t="shared" si="535"/>
        <v>1.672228818</v>
      </c>
      <c r="I536" s="1">
        <f t="shared" si="535"/>
        <v>3.804362759</v>
      </c>
      <c r="J536" s="1">
        <f t="shared" si="535"/>
        <v>4.936143391</v>
      </c>
      <c r="K536" s="1">
        <f t="shared" si="535"/>
        <v>6.475337484</v>
      </c>
      <c r="L536" s="1">
        <f t="shared" si="535"/>
        <v>5.451002303</v>
      </c>
      <c r="M536" s="1">
        <f t="shared" si="535"/>
        <v>1.32892573</v>
      </c>
      <c r="N536" s="1">
        <f t="shared" si="535"/>
        <v>4.784892499</v>
      </c>
      <c r="O536" s="1">
        <f t="shared" si="535"/>
        <v>5.936310329</v>
      </c>
      <c r="P536" s="1">
        <f t="shared" si="535"/>
        <v>6.001000167</v>
      </c>
      <c r="Q536" s="1">
        <f t="shared" si="535"/>
        <v>1.82140073</v>
      </c>
      <c r="R536" s="1">
        <f t="shared" si="535"/>
        <v>1.856027915</v>
      </c>
      <c r="S536" s="1">
        <f t="shared" si="535"/>
        <v>3.934885515</v>
      </c>
      <c r="T536" s="1">
        <f t="shared" si="535"/>
        <v>4.103682469</v>
      </c>
      <c r="U536" s="1">
        <f t="shared" si="535"/>
        <v>5.612281168</v>
      </c>
    </row>
    <row r="537">
      <c r="A537" s="3">
        <f>IFERROR(__xludf.DUMMYFUNCTION("""COMPUTED_VALUE"""),44456.0)</f>
        <v>44456</v>
      </c>
      <c r="B537" s="1">
        <f t="shared" ref="B537:U537" si="536">IF($A537&gt;0,Megyeinapi!B537/'megyelakosság'!B$2*100000," ")</f>
        <v>3.185854805</v>
      </c>
      <c r="C537" s="1">
        <f t="shared" si="536"/>
        <v>4.733938721</v>
      </c>
      <c r="D537" s="1">
        <f t="shared" si="536"/>
        <v>3.932934393</v>
      </c>
      <c r="E537" s="1">
        <f t="shared" si="536"/>
        <v>3.767282408</v>
      </c>
      <c r="F537" s="1">
        <f t="shared" si="536"/>
        <v>8.170420108</v>
      </c>
      <c r="G537" s="1">
        <f t="shared" si="536"/>
        <v>5.523031039</v>
      </c>
      <c r="H537" s="1">
        <f t="shared" si="536"/>
        <v>3.344457636</v>
      </c>
      <c r="I537" s="1">
        <f t="shared" si="536"/>
        <v>2.747595326</v>
      </c>
      <c r="J537" s="1">
        <f t="shared" si="536"/>
        <v>3.797033378</v>
      </c>
      <c r="K537" s="1">
        <f t="shared" si="536"/>
        <v>5.793723012</v>
      </c>
      <c r="L537" s="1">
        <f t="shared" si="536"/>
        <v>3.270601382</v>
      </c>
      <c r="M537" s="1">
        <f t="shared" si="536"/>
        <v>4.983471486</v>
      </c>
      <c r="N537" s="1">
        <f t="shared" si="536"/>
        <v>6.911511388</v>
      </c>
      <c r="O537" s="1">
        <f t="shared" si="536"/>
        <v>5.242455875</v>
      </c>
      <c r="P537" s="1">
        <f t="shared" si="536"/>
        <v>4.000666778</v>
      </c>
      <c r="Q537" s="1">
        <f t="shared" si="536"/>
        <v>4.189221679</v>
      </c>
      <c r="R537" s="1">
        <f t="shared" si="536"/>
        <v>1.392020936</v>
      </c>
      <c r="S537" s="1">
        <f t="shared" si="536"/>
        <v>4.328374066</v>
      </c>
      <c r="T537" s="1">
        <f t="shared" si="536"/>
        <v>2.931201763</v>
      </c>
      <c r="U537" s="1">
        <f t="shared" si="536"/>
        <v>4.863977012</v>
      </c>
    </row>
    <row r="538">
      <c r="A538" s="3">
        <f>IFERROR(__xludf.DUMMYFUNCTION("""COMPUTED_VALUE"""),44457.0)</f>
        <v>44457</v>
      </c>
      <c r="B538" s="1">
        <f t="shared" ref="B538:U538" si="537">IF($A538&gt;0,Megyeinapi!B538/'megyelakosság'!B$2*100000," ")</f>
        <v>0</v>
      </c>
      <c r="C538" s="1">
        <f t="shared" si="537"/>
        <v>0</v>
      </c>
      <c r="D538" s="1">
        <f t="shared" si="537"/>
        <v>0</v>
      </c>
      <c r="E538" s="1">
        <f t="shared" si="537"/>
        <v>0</v>
      </c>
      <c r="F538" s="1">
        <f t="shared" si="537"/>
        <v>0</v>
      </c>
      <c r="G538" s="1">
        <f t="shared" si="537"/>
        <v>0</v>
      </c>
      <c r="H538" s="1">
        <f t="shared" si="537"/>
        <v>0</v>
      </c>
      <c r="I538" s="1">
        <f t="shared" si="537"/>
        <v>0</v>
      </c>
      <c r="J538" s="1">
        <f t="shared" si="537"/>
        <v>0</v>
      </c>
      <c r="K538" s="1">
        <f t="shared" si="537"/>
        <v>0</v>
      </c>
      <c r="L538" s="1">
        <f t="shared" si="537"/>
        <v>0</v>
      </c>
      <c r="M538" s="1">
        <f t="shared" si="537"/>
        <v>0</v>
      </c>
      <c r="N538" s="1">
        <f t="shared" si="537"/>
        <v>0</v>
      </c>
      <c r="O538" s="1">
        <f t="shared" si="537"/>
        <v>0</v>
      </c>
      <c r="P538" s="1">
        <f t="shared" si="537"/>
        <v>0</v>
      </c>
      <c r="Q538" s="1">
        <f t="shared" si="537"/>
        <v>0</v>
      </c>
      <c r="R538" s="1">
        <f t="shared" si="537"/>
        <v>0</v>
      </c>
      <c r="S538" s="1">
        <f t="shared" si="537"/>
        <v>0</v>
      </c>
      <c r="T538" s="1">
        <f t="shared" si="537"/>
        <v>0</v>
      </c>
      <c r="U538" s="1">
        <f t="shared" si="537"/>
        <v>0</v>
      </c>
    </row>
    <row r="539">
      <c r="A539" s="3">
        <f>IFERROR(__xludf.DUMMYFUNCTION("""COMPUTED_VALUE"""),44458.0)</f>
        <v>44458</v>
      </c>
      <c r="B539" s="1">
        <f t="shared" ref="B539:U539" si="538">IF($A539&gt;0,Megyeinapi!B539/'megyelakosság'!B$2*100000," ")</f>
        <v>0</v>
      </c>
      <c r="C539" s="1">
        <f t="shared" si="538"/>
        <v>0</v>
      </c>
      <c r="D539" s="1">
        <f t="shared" si="538"/>
        <v>0</v>
      </c>
      <c r="E539" s="1">
        <f t="shared" si="538"/>
        <v>0</v>
      </c>
      <c r="F539" s="1">
        <f t="shared" si="538"/>
        <v>0</v>
      </c>
      <c r="G539" s="1">
        <f t="shared" si="538"/>
        <v>0</v>
      </c>
      <c r="H539" s="1">
        <f t="shared" si="538"/>
        <v>0</v>
      </c>
      <c r="I539" s="1">
        <f t="shared" si="538"/>
        <v>0</v>
      </c>
      <c r="J539" s="1">
        <f t="shared" si="538"/>
        <v>0</v>
      </c>
      <c r="K539" s="1">
        <f t="shared" si="538"/>
        <v>0</v>
      </c>
      <c r="L539" s="1">
        <f t="shared" si="538"/>
        <v>0</v>
      </c>
      <c r="M539" s="1">
        <f t="shared" si="538"/>
        <v>0</v>
      </c>
      <c r="N539" s="1">
        <f t="shared" si="538"/>
        <v>0</v>
      </c>
      <c r="O539" s="1">
        <f t="shared" si="538"/>
        <v>0</v>
      </c>
      <c r="P539" s="1">
        <f t="shared" si="538"/>
        <v>0</v>
      </c>
      <c r="Q539" s="1">
        <f t="shared" si="538"/>
        <v>0</v>
      </c>
      <c r="R539" s="1">
        <f t="shared" si="538"/>
        <v>0</v>
      </c>
      <c r="S539" s="1">
        <f t="shared" si="538"/>
        <v>0</v>
      </c>
      <c r="T539" s="1">
        <f t="shared" si="538"/>
        <v>0</v>
      </c>
      <c r="U539" s="1">
        <f t="shared" si="538"/>
        <v>0</v>
      </c>
    </row>
    <row r="540">
      <c r="A540" s="3">
        <f>IFERROR(__xludf.DUMMYFUNCTION("""COMPUTED_VALUE"""),44459.0)</f>
        <v>44459</v>
      </c>
      <c r="B540" s="1">
        <f t="shared" ref="B540:U540" si="539">IF($A540&gt;0,Megyeinapi!B540/'megyelakosság'!B$2*100000," ")</f>
        <v>11.15049182</v>
      </c>
      <c r="C540" s="1">
        <f t="shared" si="539"/>
        <v>13.64488219</v>
      </c>
      <c r="D540" s="1">
        <f t="shared" si="539"/>
        <v>8.77346903</v>
      </c>
      <c r="E540" s="1">
        <f t="shared" si="539"/>
        <v>15.69701003</v>
      </c>
      <c r="F540" s="1">
        <f t="shared" si="539"/>
        <v>14.91244509</v>
      </c>
      <c r="G540" s="1">
        <f t="shared" si="539"/>
        <v>10.54396835</v>
      </c>
      <c r="H540" s="1">
        <f t="shared" si="539"/>
        <v>5.972245779</v>
      </c>
      <c r="I540" s="1">
        <f t="shared" si="539"/>
        <v>9.29955341</v>
      </c>
      <c r="J540" s="1">
        <f t="shared" si="539"/>
        <v>8.923028438</v>
      </c>
      <c r="K540" s="1">
        <f t="shared" si="539"/>
        <v>13.63228944</v>
      </c>
      <c r="L540" s="1">
        <f t="shared" si="539"/>
        <v>7.086302994</v>
      </c>
      <c r="M540" s="1">
        <f t="shared" si="539"/>
        <v>3.986777189</v>
      </c>
      <c r="N540" s="1">
        <f t="shared" si="539"/>
        <v>16.48129639</v>
      </c>
      <c r="O540" s="1">
        <f t="shared" si="539"/>
        <v>13.87708908</v>
      </c>
      <c r="P540" s="1">
        <f t="shared" si="539"/>
        <v>11.00183364</v>
      </c>
      <c r="Q540" s="1">
        <f t="shared" si="539"/>
        <v>5.46420219</v>
      </c>
      <c r="R540" s="1">
        <f t="shared" si="539"/>
        <v>1.856027915</v>
      </c>
      <c r="S540" s="1">
        <f t="shared" si="539"/>
        <v>4.328374066</v>
      </c>
      <c r="T540" s="1">
        <f t="shared" si="539"/>
        <v>8.500485114</v>
      </c>
      <c r="U540" s="1">
        <f t="shared" si="539"/>
        <v>8.605497791</v>
      </c>
    </row>
    <row r="541">
      <c r="A541" s="3">
        <f>IFERROR(__xludf.DUMMYFUNCTION("""COMPUTED_VALUE"""),44460.0)</f>
        <v>44460</v>
      </c>
      <c r="B541" s="1">
        <f t="shared" ref="B541:U541" si="540">IF($A541&gt;0,Megyeinapi!B541/'megyelakosság'!B$2*100000," ")</f>
        <v>1.592927402</v>
      </c>
      <c r="C541" s="1">
        <f t="shared" si="540"/>
        <v>2.227735868</v>
      </c>
      <c r="D541" s="1">
        <f t="shared" si="540"/>
        <v>3.932934393</v>
      </c>
      <c r="E541" s="1">
        <f t="shared" si="540"/>
        <v>2.825461806</v>
      </c>
      <c r="F541" s="1">
        <f t="shared" si="540"/>
        <v>5.142222446</v>
      </c>
      <c r="G541" s="1">
        <f t="shared" si="540"/>
        <v>2.008374923</v>
      </c>
      <c r="H541" s="1">
        <f t="shared" si="540"/>
        <v>1.433338987</v>
      </c>
      <c r="I541" s="1">
        <f t="shared" si="540"/>
        <v>2.113534866</v>
      </c>
      <c r="J541" s="1">
        <f t="shared" si="540"/>
        <v>1.518813351</v>
      </c>
      <c r="K541" s="1">
        <f t="shared" si="540"/>
        <v>0.681614472</v>
      </c>
      <c r="L541" s="1">
        <f t="shared" si="540"/>
        <v>2.452951036</v>
      </c>
      <c r="M541" s="1">
        <f t="shared" si="540"/>
        <v>1.993388594</v>
      </c>
      <c r="N541" s="1">
        <f t="shared" si="540"/>
        <v>2.658273611</v>
      </c>
      <c r="O541" s="1">
        <f t="shared" si="540"/>
        <v>5.088265996</v>
      </c>
      <c r="P541" s="1">
        <f t="shared" si="540"/>
        <v>1.666944491</v>
      </c>
      <c r="Q541" s="1">
        <f t="shared" si="540"/>
        <v>1.82140073</v>
      </c>
      <c r="R541" s="1">
        <f t="shared" si="540"/>
        <v>0</v>
      </c>
      <c r="S541" s="1">
        <f t="shared" si="540"/>
        <v>0.3934885515</v>
      </c>
      <c r="T541" s="1">
        <f t="shared" si="540"/>
        <v>2.051841234</v>
      </c>
      <c r="U541" s="1">
        <f t="shared" si="540"/>
        <v>3.367368701</v>
      </c>
    </row>
    <row r="542">
      <c r="A542" s="3">
        <f>IFERROR(__xludf.DUMMYFUNCTION("""COMPUTED_VALUE"""),44461.0)</f>
        <v>44461</v>
      </c>
      <c r="B542" s="1">
        <f t="shared" ref="B542:U542" si="541">IF($A542&gt;0,Megyeinapi!B542/'megyelakosság'!B$2*100000," ")</f>
        <v>3.783202581</v>
      </c>
      <c r="C542" s="1">
        <f t="shared" si="541"/>
        <v>3.341603803</v>
      </c>
      <c r="D542" s="1">
        <f t="shared" si="541"/>
        <v>3.630400978</v>
      </c>
      <c r="E542" s="1">
        <f t="shared" si="541"/>
        <v>6.435774114</v>
      </c>
      <c r="F542" s="1">
        <f t="shared" si="541"/>
        <v>8.913185573</v>
      </c>
      <c r="G542" s="1">
        <f t="shared" si="541"/>
        <v>4.267796712</v>
      </c>
      <c r="H542" s="1">
        <f t="shared" si="541"/>
        <v>2.866677974</v>
      </c>
      <c r="I542" s="1">
        <f t="shared" si="541"/>
        <v>3.170302299</v>
      </c>
      <c r="J542" s="1">
        <f t="shared" si="541"/>
        <v>5.505698398</v>
      </c>
      <c r="K542" s="1">
        <f t="shared" si="541"/>
        <v>3.40807236</v>
      </c>
      <c r="L542" s="1">
        <f t="shared" si="541"/>
        <v>4.905902073</v>
      </c>
      <c r="M542" s="1">
        <f t="shared" si="541"/>
        <v>0.3322314324</v>
      </c>
      <c r="N542" s="1">
        <f t="shared" si="541"/>
        <v>7.44316611</v>
      </c>
      <c r="O542" s="1">
        <f t="shared" si="541"/>
        <v>6.090500207</v>
      </c>
      <c r="P542" s="1">
        <f t="shared" si="541"/>
        <v>3.333888981</v>
      </c>
      <c r="Q542" s="1">
        <f t="shared" si="541"/>
        <v>2.185680876</v>
      </c>
      <c r="R542" s="1">
        <f t="shared" si="541"/>
        <v>0.9280139573</v>
      </c>
      <c r="S542" s="1">
        <f t="shared" si="541"/>
        <v>3.934885515</v>
      </c>
      <c r="T542" s="1">
        <f t="shared" si="541"/>
        <v>5.276163174</v>
      </c>
      <c r="U542" s="1">
        <f t="shared" si="541"/>
        <v>5.23812909</v>
      </c>
    </row>
    <row r="543">
      <c r="A543" s="3">
        <f>IFERROR(__xludf.DUMMYFUNCTION("""COMPUTED_VALUE"""),44462.0)</f>
        <v>44462</v>
      </c>
      <c r="B543" s="1">
        <f t="shared" ref="B543:U543" si="542">IF($A543&gt;0,Megyeinapi!B543/'megyelakosság'!B$2*100000," ")</f>
        <v>4.579666282</v>
      </c>
      <c r="C543" s="1">
        <f t="shared" si="542"/>
        <v>6.404740622</v>
      </c>
      <c r="D543" s="1">
        <f t="shared" si="542"/>
        <v>3.327867563</v>
      </c>
      <c r="E543" s="1">
        <f t="shared" si="542"/>
        <v>6.435774114</v>
      </c>
      <c r="F543" s="1">
        <f t="shared" si="542"/>
        <v>7.256247229</v>
      </c>
      <c r="G543" s="1">
        <f t="shared" si="542"/>
        <v>7.531405963</v>
      </c>
      <c r="H543" s="1">
        <f t="shared" si="542"/>
        <v>3.105567805</v>
      </c>
      <c r="I543" s="1">
        <f t="shared" si="542"/>
        <v>2.747595326</v>
      </c>
      <c r="J543" s="1">
        <f t="shared" si="542"/>
        <v>6.644808411</v>
      </c>
      <c r="K543" s="1">
        <f t="shared" si="542"/>
        <v>4.430494068</v>
      </c>
      <c r="L543" s="1">
        <f t="shared" si="542"/>
        <v>5.178452188</v>
      </c>
      <c r="M543" s="1">
        <f t="shared" si="542"/>
        <v>2.657851459</v>
      </c>
      <c r="N543" s="1">
        <f t="shared" si="542"/>
        <v>9.569784999</v>
      </c>
      <c r="O543" s="1">
        <f t="shared" si="542"/>
        <v>5.011171057</v>
      </c>
      <c r="P543" s="1">
        <f t="shared" si="542"/>
        <v>4.000666778</v>
      </c>
      <c r="Q543" s="1">
        <f t="shared" si="542"/>
        <v>3.460661387</v>
      </c>
      <c r="R543" s="1">
        <f t="shared" si="542"/>
        <v>4.176062808</v>
      </c>
      <c r="S543" s="1">
        <f t="shared" si="542"/>
        <v>3.147908412</v>
      </c>
      <c r="T543" s="1">
        <f t="shared" si="542"/>
        <v>4.396802645</v>
      </c>
      <c r="U543" s="1">
        <f t="shared" si="542"/>
        <v>8.979649868</v>
      </c>
    </row>
    <row r="544">
      <c r="A544" s="3">
        <f>IFERROR(__xludf.DUMMYFUNCTION("""COMPUTED_VALUE"""),44463.0)</f>
        <v>44463</v>
      </c>
      <c r="B544" s="1">
        <f t="shared" ref="B544:U544" si="543">IF($A544&gt;0,Megyeinapi!B544/'megyelakosság'!B$2*100000," ")</f>
        <v>2.190275178</v>
      </c>
      <c r="C544" s="1">
        <f t="shared" si="543"/>
        <v>4.177004753</v>
      </c>
      <c r="D544" s="1">
        <f t="shared" si="543"/>
        <v>4.538001222</v>
      </c>
      <c r="E544" s="1">
        <f t="shared" si="543"/>
        <v>6.906684415</v>
      </c>
      <c r="F544" s="1">
        <f t="shared" si="543"/>
        <v>6.22780274</v>
      </c>
      <c r="G544" s="1">
        <f t="shared" si="543"/>
        <v>8.284546559</v>
      </c>
      <c r="H544" s="1">
        <f t="shared" si="543"/>
        <v>4.300016961</v>
      </c>
      <c r="I544" s="1">
        <f t="shared" si="543"/>
        <v>4.015716245</v>
      </c>
      <c r="J544" s="1">
        <f t="shared" si="543"/>
        <v>5.12599506</v>
      </c>
      <c r="K544" s="1">
        <f t="shared" si="543"/>
        <v>5.452915776</v>
      </c>
      <c r="L544" s="1">
        <f t="shared" si="543"/>
        <v>5.996102533</v>
      </c>
      <c r="M544" s="1">
        <f t="shared" si="543"/>
        <v>2.657851459</v>
      </c>
      <c r="N544" s="1">
        <f t="shared" si="543"/>
        <v>7.974820832</v>
      </c>
      <c r="O544" s="1">
        <f t="shared" si="543"/>
        <v>7.786588873</v>
      </c>
      <c r="P544" s="1">
        <f t="shared" si="543"/>
        <v>5.667611269</v>
      </c>
      <c r="Q544" s="1">
        <f t="shared" si="543"/>
        <v>2.367820949</v>
      </c>
      <c r="R544" s="1">
        <f t="shared" si="543"/>
        <v>2.320034893</v>
      </c>
      <c r="S544" s="1">
        <f t="shared" si="543"/>
        <v>4.328374066</v>
      </c>
      <c r="T544" s="1">
        <f t="shared" si="543"/>
        <v>7.034884232</v>
      </c>
      <c r="U544" s="1">
        <f t="shared" si="543"/>
        <v>2.993216623</v>
      </c>
    </row>
    <row r="545">
      <c r="A545" s="3">
        <f>IFERROR(__xludf.DUMMYFUNCTION("""COMPUTED_VALUE"""),44464.0)</f>
        <v>44464</v>
      </c>
      <c r="B545" s="1">
        <f t="shared" ref="B545:U545" si="544">IF($A545&gt;0,Megyeinapi!B545/'megyelakosság'!B$2*100000," ")</f>
        <v>0</v>
      </c>
      <c r="C545" s="1">
        <f t="shared" si="544"/>
        <v>0</v>
      </c>
      <c r="D545" s="1">
        <f t="shared" si="544"/>
        <v>0</v>
      </c>
      <c r="E545" s="1">
        <f t="shared" si="544"/>
        <v>0</v>
      </c>
      <c r="F545" s="1">
        <f t="shared" si="544"/>
        <v>0</v>
      </c>
      <c r="G545" s="1">
        <f t="shared" si="544"/>
        <v>0</v>
      </c>
      <c r="H545" s="1">
        <f t="shared" si="544"/>
        <v>0</v>
      </c>
      <c r="I545" s="1">
        <f t="shared" si="544"/>
        <v>0</v>
      </c>
      <c r="J545" s="1">
        <f t="shared" si="544"/>
        <v>0</v>
      </c>
      <c r="K545" s="1">
        <f t="shared" si="544"/>
        <v>0</v>
      </c>
      <c r="L545" s="1">
        <f t="shared" si="544"/>
        <v>0</v>
      </c>
      <c r="M545" s="1">
        <f t="shared" si="544"/>
        <v>0</v>
      </c>
      <c r="N545" s="1">
        <f t="shared" si="544"/>
        <v>0</v>
      </c>
      <c r="O545" s="1">
        <f t="shared" si="544"/>
        <v>0</v>
      </c>
      <c r="P545" s="1">
        <f t="shared" si="544"/>
        <v>0</v>
      </c>
      <c r="Q545" s="1">
        <f t="shared" si="544"/>
        <v>0</v>
      </c>
      <c r="R545" s="1">
        <f t="shared" si="544"/>
        <v>0</v>
      </c>
      <c r="S545" s="1">
        <f t="shared" si="544"/>
        <v>0</v>
      </c>
      <c r="T545" s="1">
        <f t="shared" si="544"/>
        <v>0</v>
      </c>
      <c r="U545" s="1">
        <f t="shared" si="544"/>
        <v>0</v>
      </c>
    </row>
    <row r="546">
      <c r="A546" s="3">
        <f>IFERROR(__xludf.DUMMYFUNCTION("""COMPUTED_VALUE"""),44465.0)</f>
        <v>44465</v>
      </c>
      <c r="B546" s="1">
        <f t="shared" ref="B546:U546" si="545">IF($A546&gt;0,Megyeinapi!B546/'megyelakosság'!B$2*100000," ")</f>
        <v>0</v>
      </c>
      <c r="C546" s="1">
        <f t="shared" si="545"/>
        <v>0</v>
      </c>
      <c r="D546" s="1">
        <f t="shared" si="545"/>
        <v>0</v>
      </c>
      <c r="E546" s="1">
        <f t="shared" si="545"/>
        <v>0</v>
      </c>
      <c r="F546" s="1">
        <f t="shared" si="545"/>
        <v>0</v>
      </c>
      <c r="G546" s="1">
        <f t="shared" si="545"/>
        <v>0</v>
      </c>
      <c r="H546" s="1">
        <f t="shared" si="545"/>
        <v>0</v>
      </c>
      <c r="I546" s="1">
        <f t="shared" si="545"/>
        <v>0</v>
      </c>
      <c r="J546" s="1">
        <f t="shared" si="545"/>
        <v>0</v>
      </c>
      <c r="K546" s="1">
        <f t="shared" si="545"/>
        <v>0</v>
      </c>
      <c r="L546" s="1">
        <f t="shared" si="545"/>
        <v>0</v>
      </c>
      <c r="M546" s="1">
        <f t="shared" si="545"/>
        <v>0</v>
      </c>
      <c r="N546" s="1">
        <f t="shared" si="545"/>
        <v>0</v>
      </c>
      <c r="O546" s="1">
        <f t="shared" si="545"/>
        <v>0</v>
      </c>
      <c r="P546" s="1">
        <f t="shared" si="545"/>
        <v>0</v>
      </c>
      <c r="Q546" s="1">
        <f t="shared" si="545"/>
        <v>0</v>
      </c>
      <c r="R546" s="1">
        <f t="shared" si="545"/>
        <v>0</v>
      </c>
      <c r="S546" s="1">
        <f t="shared" si="545"/>
        <v>0</v>
      </c>
      <c r="T546" s="1">
        <f t="shared" si="545"/>
        <v>0</v>
      </c>
      <c r="U546" s="1">
        <f t="shared" si="545"/>
        <v>0</v>
      </c>
    </row>
    <row r="547">
      <c r="A547" s="3">
        <f>IFERROR(__xludf.DUMMYFUNCTION("""COMPUTED_VALUE"""),44466.0)</f>
        <v>44466</v>
      </c>
      <c r="B547" s="1">
        <f t="shared" ref="B547:U547" si="546">IF($A547&gt;0,Megyeinapi!B547/'megyelakosság'!B$2*100000," ")</f>
        <v>11.15049182</v>
      </c>
      <c r="C547" s="1">
        <f t="shared" si="546"/>
        <v>11.69561331</v>
      </c>
      <c r="D547" s="1">
        <f t="shared" si="546"/>
        <v>11.79880318</v>
      </c>
      <c r="E547" s="1">
        <f t="shared" si="546"/>
        <v>16.95277084</v>
      </c>
      <c r="F547" s="1">
        <f t="shared" si="546"/>
        <v>15.94088958</v>
      </c>
      <c r="G547" s="1">
        <f t="shared" si="546"/>
        <v>15.56490566</v>
      </c>
      <c r="H547" s="1">
        <f t="shared" si="546"/>
        <v>7.405584766</v>
      </c>
      <c r="I547" s="1">
        <f t="shared" si="546"/>
        <v>12.89256268</v>
      </c>
      <c r="J547" s="1">
        <f t="shared" si="546"/>
        <v>12.15050681</v>
      </c>
      <c r="K547" s="1">
        <f t="shared" si="546"/>
        <v>9.883409845</v>
      </c>
      <c r="L547" s="1">
        <f t="shared" si="546"/>
        <v>16.35300691</v>
      </c>
      <c r="M547" s="1">
        <f t="shared" si="546"/>
        <v>6.644628648</v>
      </c>
      <c r="N547" s="1">
        <f t="shared" si="546"/>
        <v>17.54460583</v>
      </c>
      <c r="O547" s="1">
        <f t="shared" si="546"/>
        <v>13.7228992</v>
      </c>
      <c r="P547" s="1">
        <f t="shared" si="546"/>
        <v>3.66727788</v>
      </c>
      <c r="Q547" s="1">
        <f t="shared" si="546"/>
        <v>3.096381241</v>
      </c>
      <c r="R547" s="1">
        <f t="shared" si="546"/>
        <v>3.248048851</v>
      </c>
      <c r="S547" s="1">
        <f t="shared" si="546"/>
        <v>9.443725235</v>
      </c>
      <c r="T547" s="1">
        <f t="shared" si="546"/>
        <v>11.1385667</v>
      </c>
      <c r="U547" s="1">
        <f t="shared" si="546"/>
        <v>8.979649868</v>
      </c>
    </row>
    <row r="548">
      <c r="A548" s="3">
        <f>IFERROR(__xludf.DUMMYFUNCTION("""COMPUTED_VALUE"""),44467.0)</f>
        <v>44467</v>
      </c>
      <c r="B548" s="1">
        <f t="shared" ref="B548:U548" si="547">IF($A548&gt;0,Megyeinapi!B548/'megyelakosság'!B$2*100000," ")</f>
        <v>1.194695552</v>
      </c>
      <c r="C548" s="1">
        <f t="shared" si="547"/>
        <v>1.113867934</v>
      </c>
      <c r="D548" s="1">
        <f t="shared" si="547"/>
        <v>3.630400978</v>
      </c>
      <c r="E548" s="1">
        <f t="shared" si="547"/>
        <v>2.040611304</v>
      </c>
      <c r="F548" s="1">
        <f t="shared" si="547"/>
        <v>4.056642152</v>
      </c>
      <c r="G548" s="1">
        <f t="shared" si="547"/>
        <v>3.514656116</v>
      </c>
      <c r="H548" s="1">
        <f t="shared" si="547"/>
        <v>1.433338987</v>
      </c>
      <c r="I548" s="1">
        <f t="shared" si="547"/>
        <v>1.26812092</v>
      </c>
      <c r="J548" s="1">
        <f t="shared" si="547"/>
        <v>2.278220027</v>
      </c>
      <c r="K548" s="1">
        <f t="shared" si="547"/>
        <v>2.726457888</v>
      </c>
      <c r="L548" s="1">
        <f t="shared" si="547"/>
        <v>2.452951036</v>
      </c>
      <c r="M548" s="1">
        <f t="shared" si="547"/>
        <v>0.9966942972</v>
      </c>
      <c r="N548" s="1">
        <f t="shared" si="547"/>
        <v>4.253237777</v>
      </c>
      <c r="O548" s="1">
        <f t="shared" si="547"/>
        <v>5.011171057</v>
      </c>
      <c r="P548" s="1">
        <f t="shared" si="547"/>
        <v>1.333555593</v>
      </c>
      <c r="Q548" s="1">
        <f t="shared" si="547"/>
        <v>0.546420219</v>
      </c>
      <c r="R548" s="1">
        <f t="shared" si="547"/>
        <v>0.9280139573</v>
      </c>
      <c r="S548" s="1">
        <f t="shared" si="547"/>
        <v>1.573954206</v>
      </c>
      <c r="T548" s="1">
        <f t="shared" si="547"/>
        <v>2.344961411</v>
      </c>
      <c r="U548" s="1">
        <f t="shared" si="547"/>
        <v>2.619064545</v>
      </c>
    </row>
    <row r="549">
      <c r="A549" s="3">
        <f>IFERROR(__xludf.DUMMYFUNCTION("""COMPUTED_VALUE"""),44468.0)</f>
        <v>44468</v>
      </c>
      <c r="B549" s="1">
        <f t="shared" ref="B549:U549" si="548">IF($A549&gt;0,Megyeinapi!B549/'megyelakosság'!B$2*100000," ")</f>
        <v>1.792043328</v>
      </c>
      <c r="C549" s="1">
        <f t="shared" si="548"/>
        <v>6.683207605</v>
      </c>
      <c r="D549" s="1">
        <f t="shared" si="548"/>
        <v>6.050668296</v>
      </c>
      <c r="E549" s="1">
        <f t="shared" si="548"/>
        <v>8.319415318</v>
      </c>
      <c r="F549" s="1">
        <f t="shared" si="548"/>
        <v>6.856296594</v>
      </c>
      <c r="G549" s="1">
        <f t="shared" si="548"/>
        <v>8.535593425</v>
      </c>
      <c r="H549" s="1">
        <f t="shared" si="548"/>
        <v>2.627788143</v>
      </c>
      <c r="I549" s="1">
        <f t="shared" si="548"/>
        <v>5.072483678</v>
      </c>
      <c r="J549" s="1">
        <f t="shared" si="548"/>
        <v>4.936143391</v>
      </c>
      <c r="K549" s="1">
        <f t="shared" si="548"/>
        <v>5.11210854</v>
      </c>
      <c r="L549" s="1">
        <f t="shared" si="548"/>
        <v>8.9941538</v>
      </c>
      <c r="M549" s="1">
        <f t="shared" si="548"/>
        <v>2.990082892</v>
      </c>
      <c r="N549" s="1">
        <f t="shared" si="548"/>
        <v>8.506475555</v>
      </c>
      <c r="O549" s="1">
        <f t="shared" si="548"/>
        <v>7.246924297</v>
      </c>
      <c r="P549" s="1">
        <f t="shared" si="548"/>
        <v>2.333722287</v>
      </c>
      <c r="Q549" s="1">
        <f t="shared" si="548"/>
        <v>0.364280146</v>
      </c>
      <c r="R549" s="1">
        <f t="shared" si="548"/>
        <v>3.248048851</v>
      </c>
      <c r="S549" s="1">
        <f t="shared" si="548"/>
        <v>5.50883972</v>
      </c>
      <c r="T549" s="1">
        <f t="shared" si="548"/>
        <v>5.862403527</v>
      </c>
      <c r="U549" s="1">
        <f t="shared" si="548"/>
        <v>2.993216623</v>
      </c>
    </row>
    <row r="550">
      <c r="A550" s="3">
        <f>IFERROR(__xludf.DUMMYFUNCTION("""COMPUTED_VALUE"""),44469.0)</f>
        <v>44469</v>
      </c>
      <c r="B550" s="1">
        <f t="shared" ref="B550:U550" si="549">IF($A550&gt;0,Megyeinapi!B550/'megyelakosság'!B$2*100000," ")</f>
        <v>7.566405161</v>
      </c>
      <c r="C550" s="1">
        <f t="shared" si="549"/>
        <v>5.847806655</v>
      </c>
      <c r="D550" s="1">
        <f t="shared" si="549"/>
        <v>5.143068052</v>
      </c>
      <c r="E550" s="1">
        <f t="shared" si="549"/>
        <v>8.947295719</v>
      </c>
      <c r="F550" s="1">
        <f t="shared" si="549"/>
        <v>6.970568204</v>
      </c>
      <c r="G550" s="1">
        <f t="shared" si="549"/>
        <v>6.276171636</v>
      </c>
      <c r="H550" s="1">
        <f t="shared" si="549"/>
        <v>3.822237299</v>
      </c>
      <c r="I550" s="1">
        <f t="shared" si="549"/>
        <v>4.861130192</v>
      </c>
      <c r="J550" s="1">
        <f t="shared" si="549"/>
        <v>5.315846729</v>
      </c>
      <c r="K550" s="1">
        <f t="shared" si="549"/>
        <v>6.81614472</v>
      </c>
      <c r="L550" s="1">
        <f t="shared" si="549"/>
        <v>8.176503455</v>
      </c>
      <c r="M550" s="1">
        <f t="shared" si="549"/>
        <v>4.651240054</v>
      </c>
      <c r="N550" s="1">
        <f t="shared" si="549"/>
        <v>10.63309444</v>
      </c>
      <c r="O550" s="1">
        <f t="shared" si="549"/>
        <v>8.711728145</v>
      </c>
      <c r="P550" s="1">
        <f t="shared" si="549"/>
        <v>3.000500083</v>
      </c>
      <c r="Q550" s="1">
        <f t="shared" si="549"/>
        <v>3.278521314</v>
      </c>
      <c r="R550" s="1">
        <f t="shared" si="549"/>
        <v>0.9280139573</v>
      </c>
      <c r="S550" s="1">
        <f t="shared" si="549"/>
        <v>6.295816823</v>
      </c>
      <c r="T550" s="1">
        <f t="shared" si="549"/>
        <v>8.207364938</v>
      </c>
      <c r="U550" s="1">
        <f t="shared" si="549"/>
        <v>5.986433246</v>
      </c>
    </row>
    <row r="551">
      <c r="A551" s="3">
        <f>IFERROR(__xludf.DUMMYFUNCTION("""COMPUTED_VALUE"""),44470.0)</f>
        <v>44470</v>
      </c>
      <c r="B551" s="1">
        <f t="shared" ref="B551:U551" si="550">IF($A551&gt;0,Megyeinapi!B551/'megyelakosság'!B$2*100000," ")</f>
        <v>5.774361833</v>
      </c>
      <c r="C551" s="1">
        <f t="shared" si="550"/>
        <v>10.58174538</v>
      </c>
      <c r="D551" s="1">
        <f t="shared" si="550"/>
        <v>5.445601467</v>
      </c>
      <c r="E551" s="1">
        <f t="shared" si="550"/>
        <v>8.947295719</v>
      </c>
      <c r="F551" s="1">
        <f t="shared" si="550"/>
        <v>8.570370743</v>
      </c>
      <c r="G551" s="1">
        <f t="shared" si="550"/>
        <v>6.527218501</v>
      </c>
      <c r="H551" s="1">
        <f t="shared" si="550"/>
        <v>5.494466117</v>
      </c>
      <c r="I551" s="1">
        <f t="shared" si="550"/>
        <v>4.015716245</v>
      </c>
      <c r="J551" s="1">
        <f t="shared" si="550"/>
        <v>7.783918425</v>
      </c>
      <c r="K551" s="1">
        <f t="shared" si="550"/>
        <v>8.179373664</v>
      </c>
      <c r="L551" s="1">
        <f t="shared" si="550"/>
        <v>11.17455472</v>
      </c>
      <c r="M551" s="1">
        <f t="shared" si="550"/>
        <v>3.986777189</v>
      </c>
      <c r="N551" s="1">
        <f t="shared" si="550"/>
        <v>15.41798694</v>
      </c>
      <c r="O551" s="1">
        <f t="shared" si="550"/>
        <v>6.553069843</v>
      </c>
      <c r="P551" s="1">
        <f t="shared" si="550"/>
        <v>3.66727788</v>
      </c>
      <c r="Q551" s="1">
        <f t="shared" si="550"/>
        <v>2.914241168</v>
      </c>
      <c r="R551" s="1">
        <f t="shared" si="550"/>
        <v>1.392020936</v>
      </c>
      <c r="S551" s="1">
        <f t="shared" si="550"/>
        <v>5.902328272</v>
      </c>
      <c r="T551" s="1">
        <f t="shared" si="550"/>
        <v>7.328004409</v>
      </c>
      <c r="U551" s="1">
        <f t="shared" si="550"/>
        <v>6.360585324</v>
      </c>
    </row>
    <row r="552">
      <c r="A552" s="3">
        <f>IFERROR(__xludf.DUMMYFUNCTION("""COMPUTED_VALUE"""),44471.0)</f>
        <v>44471</v>
      </c>
      <c r="B552" s="1">
        <f t="shared" ref="B552:U552" si="551">IF($A552&gt;0,Megyeinapi!B552/'megyelakosság'!B$2*100000," ")</f>
        <v>0</v>
      </c>
      <c r="C552" s="1">
        <f t="shared" si="551"/>
        <v>0</v>
      </c>
      <c r="D552" s="1">
        <f t="shared" si="551"/>
        <v>0</v>
      </c>
      <c r="E552" s="1">
        <f t="shared" si="551"/>
        <v>0</v>
      </c>
      <c r="F552" s="1">
        <f t="shared" si="551"/>
        <v>0</v>
      </c>
      <c r="G552" s="1">
        <f t="shared" si="551"/>
        <v>0</v>
      </c>
      <c r="H552" s="1">
        <f t="shared" si="551"/>
        <v>0</v>
      </c>
      <c r="I552" s="1">
        <f t="shared" si="551"/>
        <v>0</v>
      </c>
      <c r="J552" s="1">
        <f t="shared" si="551"/>
        <v>0</v>
      </c>
      <c r="K552" s="1">
        <f t="shared" si="551"/>
        <v>0</v>
      </c>
      <c r="L552" s="1">
        <f t="shared" si="551"/>
        <v>0</v>
      </c>
      <c r="M552" s="1">
        <f t="shared" si="551"/>
        <v>0</v>
      </c>
      <c r="N552" s="1">
        <f t="shared" si="551"/>
        <v>0</v>
      </c>
      <c r="O552" s="1">
        <f t="shared" si="551"/>
        <v>0</v>
      </c>
      <c r="P552" s="1">
        <f t="shared" si="551"/>
        <v>0</v>
      </c>
      <c r="Q552" s="1">
        <f t="shared" si="551"/>
        <v>0</v>
      </c>
      <c r="R552" s="1">
        <f t="shared" si="551"/>
        <v>0</v>
      </c>
      <c r="S552" s="1">
        <f t="shared" si="551"/>
        <v>0</v>
      </c>
      <c r="T552" s="1">
        <f t="shared" si="551"/>
        <v>0</v>
      </c>
      <c r="U552" s="1">
        <f t="shared" si="551"/>
        <v>0</v>
      </c>
    </row>
    <row r="553">
      <c r="A553" s="3">
        <f>IFERROR(__xludf.DUMMYFUNCTION("""COMPUTED_VALUE"""),44472.0)</f>
        <v>44472</v>
      </c>
      <c r="B553" s="1">
        <f t="shared" ref="B553:U553" si="552">IF($A553&gt;0,Megyeinapi!B553/'megyelakosság'!B$2*100000," ")</f>
        <v>0</v>
      </c>
      <c r="C553" s="1">
        <f t="shared" si="552"/>
        <v>0</v>
      </c>
      <c r="D553" s="1">
        <f t="shared" si="552"/>
        <v>0</v>
      </c>
      <c r="E553" s="1">
        <f t="shared" si="552"/>
        <v>0</v>
      </c>
      <c r="F553" s="1">
        <f t="shared" si="552"/>
        <v>0</v>
      </c>
      <c r="G553" s="1">
        <f t="shared" si="552"/>
        <v>0</v>
      </c>
      <c r="H553" s="1">
        <f t="shared" si="552"/>
        <v>0</v>
      </c>
      <c r="I553" s="1">
        <f t="shared" si="552"/>
        <v>0</v>
      </c>
      <c r="J553" s="1">
        <f t="shared" si="552"/>
        <v>0</v>
      </c>
      <c r="K553" s="1">
        <f t="shared" si="552"/>
        <v>0</v>
      </c>
      <c r="L553" s="1">
        <f t="shared" si="552"/>
        <v>0</v>
      </c>
      <c r="M553" s="1">
        <f t="shared" si="552"/>
        <v>0</v>
      </c>
      <c r="N553" s="1">
        <f t="shared" si="552"/>
        <v>0</v>
      </c>
      <c r="O553" s="1">
        <f t="shared" si="552"/>
        <v>0</v>
      </c>
      <c r="P553" s="1">
        <f t="shared" si="552"/>
        <v>0</v>
      </c>
      <c r="Q553" s="1">
        <f t="shared" si="552"/>
        <v>0</v>
      </c>
      <c r="R553" s="1">
        <f t="shared" si="552"/>
        <v>0</v>
      </c>
      <c r="S553" s="1">
        <f t="shared" si="552"/>
        <v>0</v>
      </c>
      <c r="T553" s="1">
        <f t="shared" si="552"/>
        <v>0</v>
      </c>
      <c r="U553" s="1">
        <f t="shared" si="552"/>
        <v>0</v>
      </c>
    </row>
    <row r="554">
      <c r="A554" s="3">
        <f>IFERROR(__xludf.DUMMYFUNCTION("""COMPUTED_VALUE"""),44473.0)</f>
        <v>44473</v>
      </c>
      <c r="B554" s="1">
        <f t="shared" ref="B554:U554" si="553">IF($A554&gt;0,Megyeinapi!B554/'megyelakosság'!B$2*100000," ")</f>
        <v>14.53546255</v>
      </c>
      <c r="C554" s="1">
        <f t="shared" si="553"/>
        <v>17.54341996</v>
      </c>
      <c r="D554" s="1">
        <f t="shared" si="553"/>
        <v>14.52160391</v>
      </c>
      <c r="E554" s="1">
        <f t="shared" si="553"/>
        <v>24.48733565</v>
      </c>
      <c r="F554" s="1">
        <f t="shared" si="553"/>
        <v>16.68365505</v>
      </c>
      <c r="G554" s="1">
        <f t="shared" si="553"/>
        <v>18.32642118</v>
      </c>
      <c r="H554" s="1">
        <f t="shared" si="553"/>
        <v>7.883364429</v>
      </c>
      <c r="I554" s="1">
        <f t="shared" si="553"/>
        <v>12.04714874</v>
      </c>
      <c r="J554" s="1">
        <f t="shared" si="553"/>
        <v>16.32724352</v>
      </c>
      <c r="K554" s="1">
        <f t="shared" si="553"/>
        <v>21.47085587</v>
      </c>
      <c r="L554" s="1">
        <f t="shared" si="553"/>
        <v>21.5314591</v>
      </c>
      <c r="M554" s="1">
        <f t="shared" si="553"/>
        <v>5.315702919</v>
      </c>
      <c r="N554" s="1">
        <f t="shared" si="553"/>
        <v>31.36762861</v>
      </c>
      <c r="O554" s="1">
        <f t="shared" si="553"/>
        <v>17.65474111</v>
      </c>
      <c r="P554" s="1">
        <f t="shared" si="553"/>
        <v>6.667777963</v>
      </c>
      <c r="Q554" s="1">
        <f t="shared" si="553"/>
        <v>5.646342263</v>
      </c>
      <c r="R554" s="1">
        <f t="shared" si="553"/>
        <v>2.784041872</v>
      </c>
      <c r="S554" s="1">
        <f t="shared" si="553"/>
        <v>13.37861075</v>
      </c>
      <c r="T554" s="1">
        <f t="shared" si="553"/>
        <v>14.94912899</v>
      </c>
      <c r="U554" s="1">
        <f t="shared" si="553"/>
        <v>8.605497791</v>
      </c>
    </row>
    <row r="555">
      <c r="A555" s="3">
        <f>IFERROR(__xludf.DUMMYFUNCTION("""COMPUTED_VALUE"""),44474.0)</f>
        <v>44474</v>
      </c>
      <c r="B555" s="1">
        <f t="shared" ref="B555:U555" si="554">IF($A555&gt;0,Megyeinapi!B555/'megyelakosság'!B$2*100000," ")</f>
        <v>1.792043328</v>
      </c>
      <c r="C555" s="1">
        <f t="shared" si="554"/>
        <v>2.227735868</v>
      </c>
      <c r="D555" s="1">
        <f t="shared" si="554"/>
        <v>6.958268541</v>
      </c>
      <c r="E555" s="1">
        <f t="shared" si="554"/>
        <v>1.412730903</v>
      </c>
      <c r="F555" s="1">
        <f t="shared" si="554"/>
        <v>3.828098932</v>
      </c>
      <c r="G555" s="1">
        <f t="shared" si="554"/>
        <v>2.76151552</v>
      </c>
      <c r="H555" s="1">
        <f t="shared" si="554"/>
        <v>2.150008481</v>
      </c>
      <c r="I555" s="1">
        <f t="shared" si="554"/>
        <v>4.015716245</v>
      </c>
      <c r="J555" s="1">
        <f t="shared" si="554"/>
        <v>3.227478371</v>
      </c>
      <c r="K555" s="1">
        <f t="shared" si="554"/>
        <v>1.70403618</v>
      </c>
      <c r="L555" s="1">
        <f t="shared" si="554"/>
        <v>2.998051267</v>
      </c>
      <c r="M555" s="1">
        <f t="shared" si="554"/>
        <v>2.325620027</v>
      </c>
      <c r="N555" s="1">
        <f t="shared" si="554"/>
        <v>4.784892499</v>
      </c>
      <c r="O555" s="1">
        <f t="shared" si="554"/>
        <v>4.62569636</v>
      </c>
      <c r="P555" s="1">
        <f t="shared" si="554"/>
        <v>0.3333888981</v>
      </c>
      <c r="Q555" s="1">
        <f t="shared" si="554"/>
        <v>1.274980511</v>
      </c>
      <c r="R555" s="1">
        <f t="shared" si="554"/>
        <v>0.9280139573</v>
      </c>
      <c r="S555" s="1">
        <f t="shared" si="554"/>
        <v>3.147908412</v>
      </c>
      <c r="T555" s="1">
        <f t="shared" si="554"/>
        <v>1.172480705</v>
      </c>
      <c r="U555" s="1">
        <f t="shared" si="554"/>
        <v>2.993216623</v>
      </c>
    </row>
    <row r="556">
      <c r="A556" s="3">
        <f>IFERROR(__xludf.DUMMYFUNCTION("""COMPUTED_VALUE"""),44475.0)</f>
        <v>44475</v>
      </c>
      <c r="B556" s="1">
        <f t="shared" ref="B556:U556" si="555">IF($A556&gt;0,Megyeinapi!B556/'megyelakosság'!B$2*100000," ")</f>
        <v>4.181434431</v>
      </c>
      <c r="C556" s="1">
        <f t="shared" si="555"/>
        <v>5.569339671</v>
      </c>
      <c r="D556" s="1">
        <f t="shared" si="555"/>
        <v>10.89120293</v>
      </c>
      <c r="E556" s="1">
        <f t="shared" si="555"/>
        <v>11.30184722</v>
      </c>
      <c r="F556" s="1">
        <f t="shared" si="555"/>
        <v>7.084839814</v>
      </c>
      <c r="G556" s="1">
        <f t="shared" si="555"/>
        <v>9.539780886</v>
      </c>
      <c r="H556" s="1">
        <f t="shared" si="555"/>
        <v>1.911118649</v>
      </c>
      <c r="I556" s="1">
        <f t="shared" si="555"/>
        <v>4.649776705</v>
      </c>
      <c r="J556" s="1">
        <f t="shared" si="555"/>
        <v>8.353473431</v>
      </c>
      <c r="K556" s="1">
        <f t="shared" si="555"/>
        <v>4.089686832</v>
      </c>
      <c r="L556" s="1">
        <f t="shared" si="555"/>
        <v>7.086302994</v>
      </c>
      <c r="M556" s="1">
        <f t="shared" si="555"/>
        <v>1.32892573</v>
      </c>
      <c r="N556" s="1">
        <f t="shared" si="555"/>
        <v>19.13957</v>
      </c>
      <c r="O556" s="1">
        <f t="shared" si="555"/>
        <v>7.246924297</v>
      </c>
      <c r="P556" s="1">
        <f t="shared" si="555"/>
        <v>3.333888981</v>
      </c>
      <c r="Q556" s="1">
        <f t="shared" si="555"/>
        <v>2.732101095</v>
      </c>
      <c r="R556" s="1">
        <f t="shared" si="555"/>
        <v>2.320034893</v>
      </c>
      <c r="S556" s="1">
        <f t="shared" si="555"/>
        <v>6.689305375</v>
      </c>
      <c r="T556" s="1">
        <f t="shared" si="555"/>
        <v>4.103682469</v>
      </c>
      <c r="U556" s="1">
        <f t="shared" si="555"/>
        <v>4.115672856</v>
      </c>
    </row>
    <row r="557">
      <c r="A557" s="3">
        <f>IFERROR(__xludf.DUMMYFUNCTION("""COMPUTED_VALUE"""),44476.0)</f>
        <v>44476</v>
      </c>
      <c r="B557" s="1">
        <f t="shared" ref="B557:U557" si="556">IF($A557&gt;0,Megyeinapi!B557/'megyelakosság'!B$2*100000," ")</f>
        <v>6.570825535</v>
      </c>
      <c r="C557" s="1">
        <f t="shared" si="556"/>
        <v>9.746344425</v>
      </c>
      <c r="D557" s="1">
        <f t="shared" si="556"/>
        <v>6.958268541</v>
      </c>
      <c r="E557" s="1">
        <f t="shared" si="556"/>
        <v>11.92972763</v>
      </c>
      <c r="F557" s="1">
        <f t="shared" si="556"/>
        <v>8.570370743</v>
      </c>
      <c r="G557" s="1">
        <f t="shared" si="556"/>
        <v>16.31804625</v>
      </c>
      <c r="H557" s="1">
        <f t="shared" si="556"/>
        <v>5.255576286</v>
      </c>
      <c r="I557" s="1">
        <f t="shared" si="556"/>
        <v>6.974665058</v>
      </c>
      <c r="J557" s="1">
        <f t="shared" si="556"/>
        <v>9.872286782</v>
      </c>
      <c r="K557" s="1">
        <f t="shared" si="556"/>
        <v>11.24663879</v>
      </c>
      <c r="L557" s="1">
        <f t="shared" si="556"/>
        <v>11.99220507</v>
      </c>
      <c r="M557" s="1">
        <f t="shared" si="556"/>
        <v>3.322314324</v>
      </c>
      <c r="N557" s="1">
        <f t="shared" si="556"/>
        <v>17.01295111</v>
      </c>
      <c r="O557" s="1">
        <f t="shared" si="556"/>
        <v>9.174297781</v>
      </c>
      <c r="P557" s="1">
        <f t="shared" si="556"/>
        <v>4.000666778</v>
      </c>
      <c r="Q557" s="1">
        <f t="shared" si="556"/>
        <v>5.46420219</v>
      </c>
      <c r="R557" s="1">
        <f t="shared" si="556"/>
        <v>2.784041872</v>
      </c>
      <c r="S557" s="1">
        <f t="shared" si="556"/>
        <v>9.050236683</v>
      </c>
      <c r="T557" s="1">
        <f t="shared" si="556"/>
        <v>7.034884232</v>
      </c>
      <c r="U557" s="1">
        <f t="shared" si="556"/>
        <v>5.612281168</v>
      </c>
    </row>
    <row r="558">
      <c r="A558" s="3">
        <f>IFERROR(__xludf.DUMMYFUNCTION("""COMPUTED_VALUE"""),44477.0)</f>
        <v>44477</v>
      </c>
      <c r="B558" s="1">
        <f t="shared" ref="B558:U558" si="557">IF($A558&gt;0,Megyeinapi!B558/'megyelakosság'!B$2*100000," ")</f>
        <v>2.986738879</v>
      </c>
      <c r="C558" s="1">
        <f t="shared" si="557"/>
        <v>7.240141573</v>
      </c>
      <c r="D558" s="1">
        <f t="shared" si="557"/>
        <v>12.10133659</v>
      </c>
      <c r="E558" s="1">
        <f t="shared" si="557"/>
        <v>12.24366783</v>
      </c>
      <c r="F558" s="1">
        <f t="shared" si="557"/>
        <v>7.999012693</v>
      </c>
      <c r="G558" s="1">
        <f t="shared" si="557"/>
        <v>16.56909312</v>
      </c>
      <c r="H558" s="1">
        <f t="shared" si="557"/>
        <v>4.777796624</v>
      </c>
      <c r="I558" s="1">
        <f t="shared" si="557"/>
        <v>8.66549295</v>
      </c>
      <c r="J558" s="1">
        <f t="shared" si="557"/>
        <v>8.5433251</v>
      </c>
      <c r="K558" s="1">
        <f t="shared" si="557"/>
        <v>8.179373664</v>
      </c>
      <c r="L558" s="1">
        <f t="shared" si="557"/>
        <v>7.903953339</v>
      </c>
      <c r="M558" s="1">
        <f t="shared" si="557"/>
        <v>2.990082892</v>
      </c>
      <c r="N558" s="1">
        <f t="shared" si="557"/>
        <v>11.16474917</v>
      </c>
      <c r="O558" s="1">
        <f t="shared" si="557"/>
        <v>9.097202841</v>
      </c>
      <c r="P558" s="1">
        <f t="shared" si="557"/>
        <v>5.33422237</v>
      </c>
      <c r="Q558" s="1">
        <f t="shared" si="557"/>
        <v>4.553501825</v>
      </c>
      <c r="R558" s="1">
        <f t="shared" si="557"/>
        <v>2.320034893</v>
      </c>
      <c r="S558" s="1">
        <f t="shared" si="557"/>
        <v>5.902328272</v>
      </c>
      <c r="T558" s="1">
        <f t="shared" si="557"/>
        <v>7.328004409</v>
      </c>
      <c r="U558" s="1">
        <f t="shared" si="557"/>
        <v>5.986433246</v>
      </c>
    </row>
    <row r="559">
      <c r="A559" s="3">
        <f>IFERROR(__xludf.DUMMYFUNCTION("""COMPUTED_VALUE"""),44478.0)</f>
        <v>44478</v>
      </c>
      <c r="B559" s="1">
        <f t="shared" ref="B559:U559" si="558">IF($A559&gt;0,Megyeinapi!B559/'megyelakosság'!B$2*100000," ")</f>
        <v>0</v>
      </c>
      <c r="C559" s="1">
        <f t="shared" si="558"/>
        <v>0</v>
      </c>
      <c r="D559" s="1">
        <f t="shared" si="558"/>
        <v>0</v>
      </c>
      <c r="E559" s="1">
        <f t="shared" si="558"/>
        <v>0</v>
      </c>
      <c r="F559" s="1">
        <f t="shared" si="558"/>
        <v>0</v>
      </c>
      <c r="G559" s="1">
        <f t="shared" si="558"/>
        <v>0</v>
      </c>
      <c r="H559" s="1">
        <f t="shared" si="558"/>
        <v>0</v>
      </c>
      <c r="I559" s="1">
        <f t="shared" si="558"/>
        <v>0</v>
      </c>
      <c r="J559" s="1">
        <f t="shared" si="558"/>
        <v>0</v>
      </c>
      <c r="K559" s="1">
        <f t="shared" si="558"/>
        <v>0</v>
      </c>
      <c r="L559" s="1">
        <f t="shared" si="558"/>
        <v>0</v>
      </c>
      <c r="M559" s="1">
        <f t="shared" si="558"/>
        <v>0</v>
      </c>
      <c r="N559" s="1">
        <f t="shared" si="558"/>
        <v>0</v>
      </c>
      <c r="O559" s="1">
        <f t="shared" si="558"/>
        <v>0</v>
      </c>
      <c r="P559" s="1">
        <f t="shared" si="558"/>
        <v>0</v>
      </c>
      <c r="Q559" s="1">
        <f t="shared" si="558"/>
        <v>0</v>
      </c>
      <c r="R559" s="1">
        <f t="shared" si="558"/>
        <v>0</v>
      </c>
      <c r="S559" s="1">
        <f t="shared" si="558"/>
        <v>0</v>
      </c>
      <c r="T559" s="1">
        <f t="shared" si="558"/>
        <v>0</v>
      </c>
      <c r="U559" s="1">
        <f t="shared" si="558"/>
        <v>0</v>
      </c>
    </row>
    <row r="560">
      <c r="A560" s="3">
        <f>IFERROR(__xludf.DUMMYFUNCTION("""COMPUTED_VALUE"""),44479.0)</f>
        <v>44479</v>
      </c>
      <c r="B560" s="1">
        <f t="shared" ref="B560:U560" si="559">IF($A560&gt;0,Megyeinapi!B560/'megyelakosság'!B$2*100000," ")</f>
        <v>0</v>
      </c>
      <c r="C560" s="1">
        <f t="shared" si="559"/>
        <v>0</v>
      </c>
      <c r="D560" s="1">
        <f t="shared" si="559"/>
        <v>0</v>
      </c>
      <c r="E560" s="1">
        <f t="shared" si="559"/>
        <v>0</v>
      </c>
      <c r="F560" s="1">
        <f t="shared" si="559"/>
        <v>0</v>
      </c>
      <c r="G560" s="1">
        <f t="shared" si="559"/>
        <v>0</v>
      </c>
      <c r="H560" s="1">
        <f t="shared" si="559"/>
        <v>0</v>
      </c>
      <c r="I560" s="1">
        <f t="shared" si="559"/>
        <v>0</v>
      </c>
      <c r="J560" s="1">
        <f t="shared" si="559"/>
        <v>0</v>
      </c>
      <c r="K560" s="1">
        <f t="shared" si="559"/>
        <v>0</v>
      </c>
      <c r="L560" s="1">
        <f t="shared" si="559"/>
        <v>0</v>
      </c>
      <c r="M560" s="1">
        <f t="shared" si="559"/>
        <v>0</v>
      </c>
      <c r="N560" s="1">
        <f t="shared" si="559"/>
        <v>0</v>
      </c>
      <c r="O560" s="1">
        <f t="shared" si="559"/>
        <v>0</v>
      </c>
      <c r="P560" s="1">
        <f t="shared" si="559"/>
        <v>0</v>
      </c>
      <c r="Q560" s="1">
        <f t="shared" si="559"/>
        <v>0</v>
      </c>
      <c r="R560" s="1">
        <f t="shared" si="559"/>
        <v>0</v>
      </c>
      <c r="S560" s="1">
        <f t="shared" si="559"/>
        <v>0</v>
      </c>
      <c r="T560" s="1">
        <f t="shared" si="559"/>
        <v>0</v>
      </c>
      <c r="U560" s="1">
        <f t="shared" si="559"/>
        <v>0</v>
      </c>
    </row>
    <row r="561">
      <c r="A561" s="3">
        <f>IFERROR(__xludf.DUMMYFUNCTION("""COMPUTED_VALUE"""),44480.0)</f>
        <v>44480</v>
      </c>
      <c r="B561" s="1">
        <f t="shared" ref="B561:U561" si="560">IF($A561&gt;0,Megyeinapi!B561/'megyelakosság'!B$2*100000," ")</f>
        <v>17.52220143</v>
      </c>
      <c r="C561" s="1">
        <f t="shared" si="560"/>
        <v>24.22662757</v>
      </c>
      <c r="D561" s="1">
        <f t="shared" si="560"/>
        <v>29.64827465</v>
      </c>
      <c r="E561" s="1">
        <f t="shared" si="560"/>
        <v>29.35340876</v>
      </c>
      <c r="F561" s="1">
        <f t="shared" si="560"/>
        <v>23.59708745</v>
      </c>
      <c r="G561" s="1">
        <f t="shared" si="560"/>
        <v>46.69471697</v>
      </c>
      <c r="H561" s="1">
        <f t="shared" si="560"/>
        <v>12.66116105</v>
      </c>
      <c r="I561" s="1">
        <f t="shared" si="560"/>
        <v>17.54233939</v>
      </c>
      <c r="J561" s="1">
        <f t="shared" si="560"/>
        <v>25.81982697</v>
      </c>
      <c r="K561" s="1">
        <f t="shared" si="560"/>
        <v>13.63228944</v>
      </c>
      <c r="L561" s="1">
        <f t="shared" si="560"/>
        <v>29.43541244</v>
      </c>
      <c r="M561" s="1">
        <f t="shared" si="560"/>
        <v>6.312397216</v>
      </c>
      <c r="N561" s="1">
        <f t="shared" si="560"/>
        <v>21.79784361</v>
      </c>
      <c r="O561" s="1">
        <f t="shared" si="560"/>
        <v>21.12401338</v>
      </c>
      <c r="P561" s="1">
        <f t="shared" si="560"/>
        <v>11.33522254</v>
      </c>
      <c r="Q561" s="1">
        <f t="shared" si="560"/>
        <v>8.924863577</v>
      </c>
      <c r="R561" s="1">
        <f t="shared" si="560"/>
        <v>8.352125616</v>
      </c>
      <c r="S561" s="1">
        <f t="shared" si="560"/>
        <v>19.67442757</v>
      </c>
      <c r="T561" s="1">
        <f t="shared" si="560"/>
        <v>16.1216097</v>
      </c>
      <c r="U561" s="1">
        <f t="shared" si="560"/>
        <v>10.1021061</v>
      </c>
    </row>
    <row r="562">
      <c r="A562" s="3">
        <f>IFERROR(__xludf.DUMMYFUNCTION("""COMPUTED_VALUE"""),44481.0)</f>
        <v>44481</v>
      </c>
      <c r="B562" s="1">
        <f t="shared" ref="B562:U562" si="561">IF($A562&gt;0,Megyeinapi!B562/'megyelakosság'!B$2*100000," ")</f>
        <v>4.181434431</v>
      </c>
      <c r="C562" s="1">
        <f t="shared" si="561"/>
        <v>8.075542523</v>
      </c>
      <c r="D562" s="1">
        <f t="shared" si="561"/>
        <v>9.983602689</v>
      </c>
      <c r="E562" s="1">
        <f t="shared" si="561"/>
        <v>3.296372107</v>
      </c>
      <c r="F562" s="1">
        <f t="shared" si="561"/>
        <v>5.370765665</v>
      </c>
      <c r="G562" s="1">
        <f t="shared" si="561"/>
        <v>10.04187462</v>
      </c>
      <c r="H562" s="1">
        <f t="shared" si="561"/>
        <v>0.9555593247</v>
      </c>
      <c r="I562" s="1">
        <f t="shared" si="561"/>
        <v>2.747595326</v>
      </c>
      <c r="J562" s="1">
        <f t="shared" si="561"/>
        <v>4.936143391</v>
      </c>
      <c r="K562" s="1">
        <f t="shared" si="561"/>
        <v>7.156951956</v>
      </c>
      <c r="L562" s="1">
        <f t="shared" si="561"/>
        <v>6.541202764</v>
      </c>
      <c r="M562" s="1">
        <f t="shared" si="561"/>
        <v>2.657851459</v>
      </c>
      <c r="N562" s="1">
        <f t="shared" si="561"/>
        <v>1.594964166</v>
      </c>
      <c r="O562" s="1">
        <f t="shared" si="561"/>
        <v>6.167595147</v>
      </c>
      <c r="P562" s="1">
        <f t="shared" si="561"/>
        <v>1.333555593</v>
      </c>
      <c r="Q562" s="1">
        <f t="shared" si="561"/>
        <v>3.096381241</v>
      </c>
      <c r="R562" s="1">
        <f t="shared" si="561"/>
        <v>0.4640069787</v>
      </c>
      <c r="S562" s="1">
        <f t="shared" si="561"/>
        <v>2.360931309</v>
      </c>
      <c r="T562" s="1">
        <f t="shared" si="561"/>
        <v>1.172480705</v>
      </c>
      <c r="U562" s="1">
        <f t="shared" si="561"/>
        <v>2.244912467</v>
      </c>
    </row>
    <row r="563">
      <c r="A563" s="3">
        <f>IFERROR(__xludf.DUMMYFUNCTION("""COMPUTED_VALUE"""),44482.0)</f>
        <v>44482</v>
      </c>
      <c r="B563" s="1">
        <f t="shared" ref="B563:U563" si="562">IF($A563&gt;0,Megyeinapi!B563/'megyelakosság'!B$2*100000," ")</f>
        <v>6.172593684</v>
      </c>
      <c r="C563" s="1">
        <f t="shared" si="562"/>
        <v>10.86021236</v>
      </c>
      <c r="D563" s="1">
        <f t="shared" si="562"/>
        <v>15.73173757</v>
      </c>
      <c r="E563" s="1">
        <f t="shared" si="562"/>
        <v>13.81336883</v>
      </c>
      <c r="F563" s="1">
        <f t="shared" si="562"/>
        <v>9.256000402</v>
      </c>
      <c r="G563" s="1">
        <f t="shared" si="562"/>
        <v>14.81176506</v>
      </c>
      <c r="H563" s="1">
        <f t="shared" si="562"/>
        <v>4.300016961</v>
      </c>
      <c r="I563" s="1">
        <f t="shared" si="562"/>
        <v>5.706544138</v>
      </c>
      <c r="J563" s="1">
        <f t="shared" si="562"/>
        <v>8.353473431</v>
      </c>
      <c r="K563" s="1">
        <f t="shared" si="562"/>
        <v>4.089686832</v>
      </c>
      <c r="L563" s="1">
        <f t="shared" si="562"/>
        <v>7.631403224</v>
      </c>
      <c r="M563" s="1">
        <f t="shared" si="562"/>
        <v>3.986777189</v>
      </c>
      <c r="N563" s="1">
        <f t="shared" si="562"/>
        <v>17.54460583</v>
      </c>
      <c r="O563" s="1">
        <f t="shared" si="562"/>
        <v>9.636867417</v>
      </c>
      <c r="P563" s="1">
        <f t="shared" si="562"/>
        <v>4.667444574</v>
      </c>
      <c r="Q563" s="1">
        <f t="shared" si="562"/>
        <v>2.914241168</v>
      </c>
      <c r="R563" s="1">
        <f t="shared" si="562"/>
        <v>1.392020936</v>
      </c>
      <c r="S563" s="1">
        <f t="shared" si="562"/>
        <v>4.721862617</v>
      </c>
      <c r="T563" s="1">
        <f t="shared" si="562"/>
        <v>7.914244761</v>
      </c>
      <c r="U563" s="1">
        <f t="shared" si="562"/>
        <v>4.489824934</v>
      </c>
    </row>
    <row r="564">
      <c r="A564" s="3">
        <f>IFERROR(__xludf.DUMMYFUNCTION("""COMPUTED_VALUE"""),44483.0)</f>
        <v>44483</v>
      </c>
      <c r="B564" s="1">
        <f t="shared" ref="B564:U564" si="563">IF($A564&gt;0,Megyeinapi!B564/'megyelakosság'!B$2*100000," ")</f>
        <v>9.955796265</v>
      </c>
      <c r="C564" s="1">
        <f t="shared" si="563"/>
        <v>13.64488219</v>
      </c>
      <c r="D564" s="1">
        <f t="shared" si="563"/>
        <v>16.94187123</v>
      </c>
      <c r="E564" s="1">
        <f t="shared" si="563"/>
        <v>19.93520274</v>
      </c>
      <c r="F564" s="1">
        <f t="shared" si="563"/>
        <v>11.14148197</v>
      </c>
      <c r="G564" s="1">
        <f t="shared" si="563"/>
        <v>25.10468654</v>
      </c>
      <c r="H564" s="1">
        <f t="shared" si="563"/>
        <v>10.03337291</v>
      </c>
      <c r="I564" s="1">
        <f t="shared" si="563"/>
        <v>8.66549295</v>
      </c>
      <c r="J564" s="1">
        <f t="shared" si="563"/>
        <v>11.0113968</v>
      </c>
      <c r="K564" s="1">
        <f t="shared" si="563"/>
        <v>10.90583155</v>
      </c>
      <c r="L564" s="1">
        <f t="shared" si="563"/>
        <v>19.62360829</v>
      </c>
      <c r="M564" s="1">
        <f t="shared" si="563"/>
        <v>3.986777189</v>
      </c>
      <c r="N564" s="1">
        <f t="shared" si="563"/>
        <v>14.3546775</v>
      </c>
      <c r="O564" s="1">
        <f t="shared" si="563"/>
        <v>12.33519029</v>
      </c>
      <c r="P564" s="1">
        <f t="shared" si="563"/>
        <v>7.334555759</v>
      </c>
      <c r="Q564" s="1">
        <f t="shared" si="563"/>
        <v>5.099922044</v>
      </c>
      <c r="R564" s="1">
        <f t="shared" si="563"/>
        <v>5.104076765</v>
      </c>
      <c r="S564" s="1">
        <f t="shared" si="563"/>
        <v>5.902328272</v>
      </c>
      <c r="T564" s="1">
        <f t="shared" si="563"/>
        <v>6.155523703</v>
      </c>
      <c r="U564" s="1">
        <f t="shared" si="563"/>
        <v>8.605497791</v>
      </c>
    </row>
    <row r="565">
      <c r="A565" s="3">
        <f>IFERROR(__xludf.DUMMYFUNCTION("""COMPUTED_VALUE"""),44484.0)</f>
        <v>44484</v>
      </c>
      <c r="B565" s="1">
        <f t="shared" ref="B565:U565" si="564">IF($A565&gt;0,Megyeinapi!B565/'megyelakosság'!B$2*100000," ")</f>
        <v>9.557564414</v>
      </c>
      <c r="C565" s="1">
        <f t="shared" si="564"/>
        <v>18.6572879</v>
      </c>
      <c r="D565" s="1">
        <f t="shared" si="564"/>
        <v>18.75707172</v>
      </c>
      <c r="E565" s="1">
        <f t="shared" si="564"/>
        <v>21.50490375</v>
      </c>
      <c r="F565" s="1">
        <f t="shared" si="564"/>
        <v>11.42716099</v>
      </c>
      <c r="G565" s="1">
        <f t="shared" si="564"/>
        <v>31.88295191</v>
      </c>
      <c r="H565" s="1">
        <f t="shared" si="564"/>
        <v>10.7500424</v>
      </c>
      <c r="I565" s="1">
        <f t="shared" si="564"/>
        <v>8.876846437</v>
      </c>
      <c r="J565" s="1">
        <f t="shared" si="564"/>
        <v>13.85917183</v>
      </c>
      <c r="K565" s="1">
        <f t="shared" si="564"/>
        <v>11.92825326</v>
      </c>
      <c r="L565" s="1">
        <f t="shared" si="564"/>
        <v>24.25696025</v>
      </c>
      <c r="M565" s="1">
        <f t="shared" si="564"/>
        <v>3.654545757</v>
      </c>
      <c r="N565" s="1">
        <f t="shared" si="564"/>
        <v>16.48129639</v>
      </c>
      <c r="O565" s="1">
        <f t="shared" si="564"/>
        <v>12.79775993</v>
      </c>
      <c r="P565" s="1">
        <f t="shared" si="564"/>
        <v>6.667777963</v>
      </c>
      <c r="Q565" s="1">
        <f t="shared" si="564"/>
        <v>5.282062117</v>
      </c>
      <c r="R565" s="1">
        <f t="shared" si="564"/>
        <v>4.176062808</v>
      </c>
      <c r="S565" s="1">
        <f t="shared" si="564"/>
        <v>5.50883972</v>
      </c>
      <c r="T565" s="1">
        <f t="shared" si="564"/>
        <v>9.086725467</v>
      </c>
      <c r="U565" s="1">
        <f t="shared" si="564"/>
        <v>4.863977012</v>
      </c>
    </row>
    <row r="566">
      <c r="A566" s="3">
        <f>IFERROR(__xludf.DUMMYFUNCTION("""COMPUTED_VALUE"""),44485.0)</f>
        <v>44485</v>
      </c>
      <c r="B566" s="1">
        <f t="shared" ref="B566:U566" si="565">IF($A566&gt;0,Megyeinapi!B566/'megyelakosság'!B$2*100000," ")</f>
        <v>0</v>
      </c>
      <c r="C566" s="1">
        <f t="shared" si="565"/>
        <v>0</v>
      </c>
      <c r="D566" s="1">
        <f t="shared" si="565"/>
        <v>0</v>
      </c>
      <c r="E566" s="1">
        <f t="shared" si="565"/>
        <v>0</v>
      </c>
      <c r="F566" s="1">
        <f t="shared" si="565"/>
        <v>0</v>
      </c>
      <c r="G566" s="1">
        <f t="shared" si="565"/>
        <v>0</v>
      </c>
      <c r="H566" s="1">
        <f t="shared" si="565"/>
        <v>0</v>
      </c>
      <c r="I566" s="1">
        <f t="shared" si="565"/>
        <v>0</v>
      </c>
      <c r="J566" s="1">
        <f t="shared" si="565"/>
        <v>0</v>
      </c>
      <c r="K566" s="1">
        <f t="shared" si="565"/>
        <v>0</v>
      </c>
      <c r="L566" s="1">
        <f t="shared" si="565"/>
        <v>0</v>
      </c>
      <c r="M566" s="1">
        <f t="shared" si="565"/>
        <v>0</v>
      </c>
      <c r="N566" s="1">
        <f t="shared" si="565"/>
        <v>0</v>
      </c>
      <c r="O566" s="1">
        <f t="shared" si="565"/>
        <v>0</v>
      </c>
      <c r="P566" s="1">
        <f t="shared" si="565"/>
        <v>0</v>
      </c>
      <c r="Q566" s="1">
        <f t="shared" si="565"/>
        <v>0</v>
      </c>
      <c r="R566" s="1">
        <f t="shared" si="565"/>
        <v>0</v>
      </c>
      <c r="S566" s="1">
        <f t="shared" si="565"/>
        <v>0</v>
      </c>
      <c r="T566" s="1">
        <f t="shared" si="565"/>
        <v>0</v>
      </c>
      <c r="U566" s="1">
        <f t="shared" si="565"/>
        <v>0</v>
      </c>
    </row>
    <row r="567">
      <c r="A567" s="3">
        <f>IFERROR(__xludf.DUMMYFUNCTION("""COMPUTED_VALUE"""),44486.0)</f>
        <v>44486</v>
      </c>
      <c r="B567" s="1">
        <f t="shared" ref="B567:U567" si="566">IF($A567&gt;0,Megyeinapi!B567/'megyelakosság'!B$2*100000," ")</f>
        <v>0</v>
      </c>
      <c r="C567" s="1">
        <f t="shared" si="566"/>
        <v>0</v>
      </c>
      <c r="D567" s="1">
        <f t="shared" si="566"/>
        <v>0</v>
      </c>
      <c r="E567" s="1">
        <f t="shared" si="566"/>
        <v>0</v>
      </c>
      <c r="F567" s="1">
        <f t="shared" si="566"/>
        <v>0</v>
      </c>
      <c r="G567" s="1">
        <f t="shared" si="566"/>
        <v>0</v>
      </c>
      <c r="H567" s="1">
        <f t="shared" si="566"/>
        <v>0</v>
      </c>
      <c r="I567" s="1">
        <f t="shared" si="566"/>
        <v>0</v>
      </c>
      <c r="J567" s="1">
        <f t="shared" si="566"/>
        <v>0</v>
      </c>
      <c r="K567" s="1">
        <f t="shared" si="566"/>
        <v>0</v>
      </c>
      <c r="L567" s="1">
        <f t="shared" si="566"/>
        <v>0</v>
      </c>
      <c r="M567" s="1">
        <f t="shared" si="566"/>
        <v>0</v>
      </c>
      <c r="N567" s="1">
        <f t="shared" si="566"/>
        <v>0</v>
      </c>
      <c r="O567" s="1">
        <f t="shared" si="566"/>
        <v>0</v>
      </c>
      <c r="P567" s="1">
        <f t="shared" si="566"/>
        <v>0</v>
      </c>
      <c r="Q567" s="1">
        <f t="shared" si="566"/>
        <v>0</v>
      </c>
      <c r="R567" s="1">
        <f t="shared" si="566"/>
        <v>0</v>
      </c>
      <c r="S567" s="1">
        <f t="shared" si="566"/>
        <v>0</v>
      </c>
      <c r="T567" s="1">
        <f t="shared" si="566"/>
        <v>0</v>
      </c>
      <c r="U567" s="1">
        <f t="shared" si="566"/>
        <v>0</v>
      </c>
    </row>
    <row r="568">
      <c r="A568" s="3">
        <f>IFERROR(__xludf.DUMMYFUNCTION("""COMPUTED_VALUE"""),44487.0)</f>
        <v>44487</v>
      </c>
      <c r="B568" s="1">
        <f t="shared" ref="B568:U568" si="567">IF($A568&gt;0,Megyeinapi!B568/'megyelakosság'!B$2*100000," ")</f>
        <v>28.07534547</v>
      </c>
      <c r="C568" s="1">
        <f t="shared" si="567"/>
        <v>35.6437739</v>
      </c>
      <c r="D568" s="1">
        <f t="shared" si="567"/>
        <v>52.33828076</v>
      </c>
      <c r="E568" s="1">
        <f t="shared" si="567"/>
        <v>43.48071779</v>
      </c>
      <c r="F568" s="1">
        <f t="shared" si="567"/>
        <v>36.73832258</v>
      </c>
      <c r="G568" s="1">
        <f t="shared" si="567"/>
        <v>73.30568471</v>
      </c>
      <c r="H568" s="1">
        <f t="shared" si="567"/>
        <v>24.84454244</v>
      </c>
      <c r="I568" s="1">
        <f t="shared" si="567"/>
        <v>20.5012882</v>
      </c>
      <c r="J568" s="1">
        <f t="shared" si="567"/>
        <v>34.1733004</v>
      </c>
      <c r="K568" s="1">
        <f t="shared" si="567"/>
        <v>39.53363938</v>
      </c>
      <c r="L568" s="1">
        <f t="shared" si="567"/>
        <v>54.23747292</v>
      </c>
      <c r="M568" s="1">
        <f t="shared" si="567"/>
        <v>14.61818303</v>
      </c>
      <c r="N568" s="1">
        <f t="shared" si="567"/>
        <v>33.4942475</v>
      </c>
      <c r="O568" s="1">
        <f t="shared" si="567"/>
        <v>36.15752655</v>
      </c>
      <c r="P568" s="1">
        <f t="shared" si="567"/>
        <v>29.67161194</v>
      </c>
      <c r="Q568" s="1">
        <f t="shared" si="567"/>
        <v>15.84618635</v>
      </c>
      <c r="R568" s="1">
        <f t="shared" si="567"/>
        <v>13.92020936</v>
      </c>
      <c r="S568" s="1">
        <f t="shared" si="567"/>
        <v>10.62419089</v>
      </c>
      <c r="T568" s="1">
        <f t="shared" si="567"/>
        <v>24.03585446</v>
      </c>
      <c r="U568" s="1">
        <f t="shared" si="567"/>
        <v>12.34701857</v>
      </c>
    </row>
    <row r="569">
      <c r="A569" s="3">
        <f>IFERROR(__xludf.DUMMYFUNCTION("""COMPUTED_VALUE"""),44488.0)</f>
        <v>44488</v>
      </c>
      <c r="B569" s="1">
        <f t="shared" ref="B569:U569" si="568">IF($A569&gt;0,Megyeinapi!B569/'megyelakosság'!B$2*100000," ")</f>
        <v>7.367289236</v>
      </c>
      <c r="C569" s="1">
        <f t="shared" si="568"/>
        <v>13.92334918</v>
      </c>
      <c r="D569" s="1">
        <f t="shared" si="568"/>
        <v>22.3874727</v>
      </c>
      <c r="E569" s="1">
        <f t="shared" si="568"/>
        <v>5.807893712</v>
      </c>
      <c r="F569" s="1">
        <f t="shared" si="568"/>
        <v>9.713086842</v>
      </c>
      <c r="G569" s="1">
        <f t="shared" si="568"/>
        <v>11.54815581</v>
      </c>
      <c r="H569" s="1">
        <f t="shared" si="568"/>
        <v>5.016686455</v>
      </c>
      <c r="I569" s="1">
        <f t="shared" si="568"/>
        <v>3.381655785</v>
      </c>
      <c r="J569" s="1">
        <f t="shared" si="568"/>
        <v>8.733176769</v>
      </c>
      <c r="K569" s="1">
        <f t="shared" si="568"/>
        <v>10.56502432</v>
      </c>
      <c r="L569" s="1">
        <f t="shared" si="568"/>
        <v>10.90200461</v>
      </c>
      <c r="M569" s="1">
        <f t="shared" si="568"/>
        <v>3.654545757</v>
      </c>
      <c r="N569" s="1">
        <f t="shared" si="568"/>
        <v>2.658273611</v>
      </c>
      <c r="O569" s="1">
        <f t="shared" si="568"/>
        <v>12.10390548</v>
      </c>
      <c r="P569" s="1">
        <f t="shared" si="568"/>
        <v>7.001166861</v>
      </c>
      <c r="Q569" s="1">
        <f t="shared" si="568"/>
        <v>5.282062117</v>
      </c>
      <c r="R569" s="1">
        <f t="shared" si="568"/>
        <v>7.888118637</v>
      </c>
      <c r="S569" s="1">
        <f t="shared" si="568"/>
        <v>5.902328272</v>
      </c>
      <c r="T569" s="1">
        <f t="shared" si="568"/>
        <v>4.396802645</v>
      </c>
      <c r="U569" s="1">
        <f t="shared" si="568"/>
        <v>7.857193635</v>
      </c>
    </row>
    <row r="570">
      <c r="A570" s="3">
        <f>IFERROR(__xludf.DUMMYFUNCTION("""COMPUTED_VALUE"""),44489.0)</f>
        <v>44489</v>
      </c>
      <c r="B570" s="1">
        <f t="shared" ref="B570:U570" si="569">IF($A570&gt;0,Megyeinapi!B570/'megyelakosság'!B$2*100000," ")</f>
        <v>13.53988292</v>
      </c>
      <c r="C570" s="1">
        <f t="shared" si="569"/>
        <v>23.39122662</v>
      </c>
      <c r="D570" s="1">
        <f t="shared" si="569"/>
        <v>36.60654319</v>
      </c>
      <c r="E570" s="1">
        <f t="shared" si="569"/>
        <v>28.41158816</v>
      </c>
      <c r="F570" s="1">
        <f t="shared" si="569"/>
        <v>16.39797602</v>
      </c>
      <c r="G570" s="1">
        <f t="shared" si="569"/>
        <v>21.84107729</v>
      </c>
      <c r="H570" s="1">
        <f t="shared" si="569"/>
        <v>18.15562717</v>
      </c>
      <c r="I570" s="1">
        <f t="shared" si="569"/>
        <v>8.031432491</v>
      </c>
      <c r="J570" s="1">
        <f t="shared" si="569"/>
        <v>15.75768852</v>
      </c>
      <c r="K570" s="1">
        <f t="shared" si="569"/>
        <v>25.21973547</v>
      </c>
      <c r="L570" s="1">
        <f t="shared" si="569"/>
        <v>21.80400921</v>
      </c>
      <c r="M570" s="1">
        <f t="shared" si="569"/>
        <v>5.647934351</v>
      </c>
      <c r="N570" s="1">
        <f t="shared" si="569"/>
        <v>28.17770027</v>
      </c>
      <c r="O570" s="1">
        <f t="shared" si="569"/>
        <v>18.0402158</v>
      </c>
      <c r="P570" s="1">
        <f t="shared" si="569"/>
        <v>10.33505584</v>
      </c>
      <c r="Q570" s="1">
        <f t="shared" si="569"/>
        <v>8.378443358</v>
      </c>
      <c r="R570" s="1">
        <f t="shared" si="569"/>
        <v>8.816132595</v>
      </c>
      <c r="S570" s="1">
        <f t="shared" si="569"/>
        <v>8.656748132</v>
      </c>
      <c r="T570" s="1">
        <f t="shared" si="569"/>
        <v>10.84544652</v>
      </c>
      <c r="U570" s="1">
        <f t="shared" si="569"/>
        <v>11.22456234</v>
      </c>
    </row>
    <row r="571">
      <c r="A571" s="3">
        <f>IFERROR(__xludf.DUMMYFUNCTION("""COMPUTED_VALUE"""),44490.0)</f>
        <v>44490</v>
      </c>
      <c r="B571" s="1">
        <f t="shared" ref="B571:U571" si="570">IF($A571&gt;0,Megyeinapi!B571/'megyelakosság'!B$2*100000," ")</f>
        <v>24.88949066</v>
      </c>
      <c r="C571" s="1">
        <f t="shared" si="570"/>
        <v>25.3404955</v>
      </c>
      <c r="D571" s="1">
        <f t="shared" si="570"/>
        <v>42.35467807</v>
      </c>
      <c r="E571" s="1">
        <f t="shared" si="570"/>
        <v>29.66734896</v>
      </c>
      <c r="F571" s="1">
        <f t="shared" si="570"/>
        <v>21.59733427</v>
      </c>
      <c r="G571" s="1">
        <f t="shared" si="570"/>
        <v>56.48554472</v>
      </c>
      <c r="H571" s="1">
        <f t="shared" si="570"/>
        <v>19.11118649</v>
      </c>
      <c r="I571" s="1">
        <f t="shared" si="570"/>
        <v>15.85151149</v>
      </c>
      <c r="J571" s="1">
        <f t="shared" si="570"/>
        <v>27.52849199</v>
      </c>
      <c r="K571" s="1">
        <f t="shared" si="570"/>
        <v>40.89686832</v>
      </c>
      <c r="L571" s="1">
        <f t="shared" si="570"/>
        <v>36.52171543</v>
      </c>
      <c r="M571" s="1">
        <f t="shared" si="570"/>
        <v>7.641322946</v>
      </c>
      <c r="N571" s="1">
        <f t="shared" si="570"/>
        <v>32.43093805</v>
      </c>
      <c r="O571" s="1">
        <f t="shared" si="570"/>
        <v>22.7430071</v>
      </c>
      <c r="P571" s="1">
        <f t="shared" si="570"/>
        <v>19.33655609</v>
      </c>
      <c r="Q571" s="1">
        <f t="shared" si="570"/>
        <v>10.01770402</v>
      </c>
      <c r="R571" s="1">
        <f t="shared" si="570"/>
        <v>11.13616749</v>
      </c>
      <c r="S571" s="1">
        <f t="shared" si="570"/>
        <v>14.5590764</v>
      </c>
      <c r="T571" s="1">
        <f t="shared" si="570"/>
        <v>18.17345093</v>
      </c>
      <c r="U571" s="1">
        <f t="shared" si="570"/>
        <v>16.46269143</v>
      </c>
    </row>
    <row r="572">
      <c r="A572" s="3">
        <f>IFERROR(__xludf.DUMMYFUNCTION("""COMPUTED_VALUE"""),44491.0)</f>
        <v>44491</v>
      </c>
      <c r="B572" s="1">
        <f t="shared" ref="B572:U572" si="571">IF($A572&gt;0,Megyeinapi!B572/'megyelakosság'!B$2*100000," ")</f>
        <v>25.08860659</v>
      </c>
      <c r="C572" s="1">
        <f t="shared" si="571"/>
        <v>30.90983518</v>
      </c>
      <c r="D572" s="1">
        <f t="shared" si="571"/>
        <v>48.40534637</v>
      </c>
      <c r="E572" s="1">
        <f t="shared" si="571"/>
        <v>36.57403338</v>
      </c>
      <c r="F572" s="1">
        <f t="shared" si="571"/>
        <v>22.62577876</v>
      </c>
      <c r="G572" s="1">
        <f t="shared" si="571"/>
        <v>48.20099816</v>
      </c>
      <c r="H572" s="1">
        <f t="shared" si="571"/>
        <v>21.26119497</v>
      </c>
      <c r="I572" s="1">
        <f t="shared" si="571"/>
        <v>16.27421847</v>
      </c>
      <c r="J572" s="1">
        <f t="shared" si="571"/>
        <v>26.19953031</v>
      </c>
      <c r="K572" s="1">
        <f t="shared" si="571"/>
        <v>33.73991637</v>
      </c>
      <c r="L572" s="1">
        <f t="shared" si="571"/>
        <v>47.69627015</v>
      </c>
      <c r="M572" s="1">
        <f t="shared" si="571"/>
        <v>16.61157162</v>
      </c>
      <c r="N572" s="1">
        <f t="shared" si="571"/>
        <v>28.709355</v>
      </c>
      <c r="O572" s="1">
        <f t="shared" si="571"/>
        <v>26.82903889</v>
      </c>
      <c r="P572" s="1">
        <f t="shared" si="571"/>
        <v>17.3362227</v>
      </c>
      <c r="Q572" s="1">
        <f t="shared" si="571"/>
        <v>10.38198416</v>
      </c>
      <c r="R572" s="1">
        <f t="shared" si="571"/>
        <v>14.38421634</v>
      </c>
      <c r="S572" s="1">
        <f t="shared" si="571"/>
        <v>20.46140468</v>
      </c>
      <c r="T572" s="1">
        <f t="shared" si="571"/>
        <v>18.46657111</v>
      </c>
      <c r="U572" s="1">
        <f t="shared" si="571"/>
        <v>16.8368435</v>
      </c>
    </row>
    <row r="573">
      <c r="A573" s="3">
        <f>IFERROR(__xludf.DUMMYFUNCTION("""COMPUTED_VALUE"""),44492.0)</f>
        <v>44492</v>
      </c>
      <c r="B573" s="1">
        <f t="shared" ref="B573:U573" si="572">IF($A573&gt;0,Megyeinapi!B573/'megyelakosság'!B$2*100000," ")</f>
        <v>0</v>
      </c>
      <c r="C573" s="1">
        <f t="shared" si="572"/>
        <v>0</v>
      </c>
      <c r="D573" s="1">
        <f t="shared" si="572"/>
        <v>0</v>
      </c>
      <c r="E573" s="1">
        <f t="shared" si="572"/>
        <v>0</v>
      </c>
      <c r="F573" s="1">
        <f t="shared" si="572"/>
        <v>0</v>
      </c>
      <c r="G573" s="1">
        <f t="shared" si="572"/>
        <v>0</v>
      </c>
      <c r="H573" s="1">
        <f t="shared" si="572"/>
        <v>0</v>
      </c>
      <c r="I573" s="1">
        <f t="shared" si="572"/>
        <v>0</v>
      </c>
      <c r="J573" s="1">
        <f t="shared" si="572"/>
        <v>0</v>
      </c>
      <c r="K573" s="1">
        <f t="shared" si="572"/>
        <v>0</v>
      </c>
      <c r="L573" s="1">
        <f t="shared" si="572"/>
        <v>0</v>
      </c>
      <c r="M573" s="1">
        <f t="shared" si="572"/>
        <v>0</v>
      </c>
      <c r="N573" s="1">
        <f t="shared" si="572"/>
        <v>0</v>
      </c>
      <c r="O573" s="1">
        <f t="shared" si="572"/>
        <v>0</v>
      </c>
      <c r="P573" s="1">
        <f t="shared" si="572"/>
        <v>0</v>
      </c>
      <c r="Q573" s="1">
        <f t="shared" si="572"/>
        <v>0</v>
      </c>
      <c r="R573" s="1">
        <f t="shared" si="572"/>
        <v>0</v>
      </c>
      <c r="S573" s="1">
        <f t="shared" si="572"/>
        <v>0</v>
      </c>
      <c r="T573" s="1">
        <f t="shared" si="572"/>
        <v>0</v>
      </c>
      <c r="U573" s="1">
        <f t="shared" si="572"/>
        <v>0</v>
      </c>
    </row>
    <row r="574">
      <c r="A574" s="3">
        <f>IFERROR(__xludf.DUMMYFUNCTION("""COMPUTED_VALUE"""),44493.0)</f>
        <v>44493</v>
      </c>
      <c r="B574" s="1">
        <f t="shared" ref="B574:U574" si="573">IF($A574&gt;0,Megyeinapi!B574/'megyelakosság'!B$2*100000," ")</f>
        <v>0</v>
      </c>
      <c r="C574" s="1">
        <f t="shared" si="573"/>
        <v>0</v>
      </c>
      <c r="D574" s="1">
        <f t="shared" si="573"/>
        <v>0</v>
      </c>
      <c r="E574" s="1">
        <f t="shared" si="573"/>
        <v>0</v>
      </c>
      <c r="F574" s="1">
        <f t="shared" si="573"/>
        <v>0</v>
      </c>
      <c r="G574" s="1">
        <f t="shared" si="573"/>
        <v>0</v>
      </c>
      <c r="H574" s="1">
        <f t="shared" si="573"/>
        <v>0</v>
      </c>
      <c r="I574" s="1">
        <f t="shared" si="573"/>
        <v>0</v>
      </c>
      <c r="J574" s="1">
        <f t="shared" si="573"/>
        <v>0</v>
      </c>
      <c r="K574" s="1">
        <f t="shared" si="573"/>
        <v>0</v>
      </c>
      <c r="L574" s="1">
        <f t="shared" si="573"/>
        <v>0</v>
      </c>
      <c r="M574" s="1">
        <f t="shared" si="573"/>
        <v>0</v>
      </c>
      <c r="N574" s="1">
        <f t="shared" si="573"/>
        <v>0</v>
      </c>
      <c r="O574" s="1">
        <f t="shared" si="573"/>
        <v>0</v>
      </c>
      <c r="P574" s="1">
        <f t="shared" si="573"/>
        <v>0</v>
      </c>
      <c r="Q574" s="1">
        <f t="shared" si="573"/>
        <v>0</v>
      </c>
      <c r="R574" s="1">
        <f t="shared" si="573"/>
        <v>0</v>
      </c>
      <c r="S574" s="1">
        <f t="shared" si="573"/>
        <v>0</v>
      </c>
      <c r="T574" s="1">
        <f t="shared" si="573"/>
        <v>0</v>
      </c>
      <c r="U574" s="1">
        <f t="shared" si="573"/>
        <v>0</v>
      </c>
    </row>
    <row r="575">
      <c r="A575" s="3">
        <f>IFERROR(__xludf.DUMMYFUNCTION("""COMPUTED_VALUE"""),44494.0)</f>
        <v>44494</v>
      </c>
      <c r="B575" s="1">
        <f t="shared" ref="B575:U575" si="574">IF($A575&gt;0,Megyeinapi!B575/'megyelakosság'!B$2*100000," ")</f>
        <v>75.66405161</v>
      </c>
      <c r="C575" s="1">
        <f t="shared" si="574"/>
        <v>60.70580242</v>
      </c>
      <c r="D575" s="1">
        <f t="shared" si="574"/>
        <v>124.3412335</v>
      </c>
      <c r="E575" s="1">
        <f t="shared" si="574"/>
        <v>94.6529705</v>
      </c>
      <c r="F575" s="1">
        <f t="shared" si="574"/>
        <v>65.30622506</v>
      </c>
      <c r="G575" s="1">
        <f t="shared" si="574"/>
        <v>136.5694948</v>
      </c>
      <c r="H575" s="1">
        <f t="shared" si="574"/>
        <v>47.06129674</v>
      </c>
      <c r="I575" s="1">
        <f t="shared" si="574"/>
        <v>41.63663686</v>
      </c>
      <c r="J575" s="1">
        <f t="shared" si="574"/>
        <v>68.3466008</v>
      </c>
      <c r="K575" s="1">
        <f t="shared" si="574"/>
        <v>98.49329121</v>
      </c>
      <c r="L575" s="1">
        <f t="shared" si="574"/>
        <v>122.6475518</v>
      </c>
      <c r="M575" s="1">
        <f t="shared" si="574"/>
        <v>36.877689</v>
      </c>
      <c r="N575" s="1">
        <f t="shared" si="574"/>
        <v>70.17842332</v>
      </c>
      <c r="O575" s="1">
        <f t="shared" si="574"/>
        <v>72.16086322</v>
      </c>
      <c r="P575" s="1">
        <f t="shared" si="574"/>
        <v>40.34005668</v>
      </c>
      <c r="Q575" s="1">
        <f t="shared" si="574"/>
        <v>26.77459073</v>
      </c>
      <c r="R575" s="1">
        <f t="shared" si="574"/>
        <v>33.40850246</v>
      </c>
      <c r="S575" s="1">
        <f t="shared" si="574"/>
        <v>44.07071776</v>
      </c>
      <c r="T575" s="1">
        <f t="shared" si="574"/>
        <v>44.84738698</v>
      </c>
      <c r="U575" s="1">
        <f t="shared" si="574"/>
        <v>41.90503272</v>
      </c>
    </row>
    <row r="576">
      <c r="A576" s="3">
        <f>IFERROR(__xludf.DUMMYFUNCTION("""COMPUTED_VALUE"""),44495.0)</f>
        <v>44495</v>
      </c>
      <c r="B576" s="1">
        <f t="shared" ref="B576:U576" si="575">IF($A576&gt;0,Megyeinapi!B576/'megyelakosság'!B$2*100000," ")</f>
        <v>16.32750587</v>
      </c>
      <c r="C576" s="1">
        <f t="shared" si="575"/>
        <v>20.60655678</v>
      </c>
      <c r="D576" s="1">
        <f t="shared" si="575"/>
        <v>42.35467807</v>
      </c>
      <c r="E576" s="1">
        <f t="shared" si="575"/>
        <v>12.55760803</v>
      </c>
      <c r="F576" s="1">
        <f t="shared" si="575"/>
        <v>19.36903788</v>
      </c>
      <c r="G576" s="1">
        <f t="shared" si="575"/>
        <v>23.84945222</v>
      </c>
      <c r="H576" s="1">
        <f t="shared" si="575"/>
        <v>8.12225426</v>
      </c>
      <c r="I576" s="1">
        <f t="shared" si="575"/>
        <v>8.876846437</v>
      </c>
      <c r="J576" s="1">
        <f t="shared" si="575"/>
        <v>15.18813351</v>
      </c>
      <c r="K576" s="1">
        <f t="shared" si="575"/>
        <v>21.13004863</v>
      </c>
      <c r="L576" s="1">
        <f t="shared" si="575"/>
        <v>34.06876439</v>
      </c>
      <c r="M576" s="1">
        <f t="shared" si="575"/>
        <v>11.62810013</v>
      </c>
      <c r="N576" s="1">
        <f t="shared" si="575"/>
        <v>14.88633222</v>
      </c>
      <c r="O576" s="1">
        <f t="shared" si="575"/>
        <v>21.50948807</v>
      </c>
      <c r="P576" s="1">
        <f t="shared" si="575"/>
        <v>14.00233372</v>
      </c>
      <c r="Q576" s="1">
        <f t="shared" si="575"/>
        <v>9.471283796</v>
      </c>
      <c r="R576" s="1">
        <f t="shared" si="575"/>
        <v>14.84822332</v>
      </c>
      <c r="S576" s="1">
        <f t="shared" si="575"/>
        <v>7.869771029</v>
      </c>
      <c r="T576" s="1">
        <f t="shared" si="575"/>
        <v>7.034884232</v>
      </c>
      <c r="U576" s="1">
        <f t="shared" si="575"/>
        <v>13.4694748</v>
      </c>
    </row>
    <row r="577">
      <c r="A577" s="3">
        <f>IFERROR(__xludf.DUMMYFUNCTION("""COMPUTED_VALUE"""),44496.0)</f>
        <v>44496</v>
      </c>
      <c r="B577" s="1">
        <f t="shared" ref="B577:U577" si="576">IF($A577&gt;0,Megyeinapi!B577/'megyelakosság'!B$2*100000," ")</f>
        <v>26.08418621</v>
      </c>
      <c r="C577" s="1">
        <f t="shared" si="576"/>
        <v>39.54231167</v>
      </c>
      <c r="D577" s="1">
        <f t="shared" si="576"/>
        <v>58.99401589</v>
      </c>
      <c r="E577" s="1">
        <f t="shared" si="576"/>
        <v>47.2480002</v>
      </c>
      <c r="F577" s="1">
        <f t="shared" si="576"/>
        <v>29.65348277</v>
      </c>
      <c r="G577" s="1">
        <f t="shared" si="576"/>
        <v>38.41017041</v>
      </c>
      <c r="H577" s="1">
        <f t="shared" si="576"/>
        <v>25.80010177</v>
      </c>
      <c r="I577" s="1">
        <f t="shared" si="576"/>
        <v>23.03753004</v>
      </c>
      <c r="J577" s="1">
        <f t="shared" si="576"/>
        <v>37.40077877</v>
      </c>
      <c r="K577" s="1">
        <f t="shared" si="576"/>
        <v>54.18835053</v>
      </c>
      <c r="L577" s="1">
        <f t="shared" si="576"/>
        <v>55.87277361</v>
      </c>
      <c r="M577" s="1">
        <f t="shared" si="576"/>
        <v>11.96033157</v>
      </c>
      <c r="N577" s="1">
        <f t="shared" si="576"/>
        <v>34.02590222</v>
      </c>
      <c r="O577" s="1">
        <f t="shared" si="576"/>
        <v>33.92177331</v>
      </c>
      <c r="P577" s="1">
        <f t="shared" si="576"/>
        <v>17.6696116</v>
      </c>
      <c r="Q577" s="1">
        <f t="shared" si="576"/>
        <v>12.56766504</v>
      </c>
      <c r="R577" s="1">
        <f t="shared" si="576"/>
        <v>19.02428613</v>
      </c>
      <c r="S577" s="1">
        <f t="shared" si="576"/>
        <v>22.03535888</v>
      </c>
      <c r="T577" s="1">
        <f t="shared" si="576"/>
        <v>22.86337375</v>
      </c>
      <c r="U577" s="1">
        <f t="shared" si="576"/>
        <v>25.81649337</v>
      </c>
    </row>
    <row r="578">
      <c r="A578" s="3">
        <f>IFERROR(__xludf.DUMMYFUNCTION("""COMPUTED_VALUE"""),44497.0)</f>
        <v>44497</v>
      </c>
      <c r="B578" s="1">
        <f t="shared" ref="B578:U578" si="577">IF($A578&gt;0,Megyeinapi!B578/'megyelakosság'!B$2*100000," ")</f>
        <v>52.16837243</v>
      </c>
      <c r="C578" s="1">
        <f t="shared" si="577"/>
        <v>57.92113258</v>
      </c>
      <c r="D578" s="1">
        <f t="shared" si="577"/>
        <v>66.55735126</v>
      </c>
      <c r="E578" s="1">
        <f t="shared" si="577"/>
        <v>58.07893712</v>
      </c>
      <c r="F578" s="1">
        <f t="shared" si="577"/>
        <v>32.91022365</v>
      </c>
      <c r="G578" s="1">
        <f t="shared" si="577"/>
        <v>73.55673157</v>
      </c>
      <c r="H578" s="1">
        <f t="shared" si="577"/>
        <v>36.07236451</v>
      </c>
      <c r="I578" s="1">
        <f t="shared" si="577"/>
        <v>29.58948812</v>
      </c>
      <c r="J578" s="1">
        <f t="shared" si="577"/>
        <v>38.72974045</v>
      </c>
      <c r="K578" s="1">
        <f t="shared" si="577"/>
        <v>68.1614472</v>
      </c>
      <c r="L578" s="1">
        <f t="shared" si="577"/>
        <v>67.04732833</v>
      </c>
      <c r="M578" s="1">
        <f t="shared" si="577"/>
        <v>14.95041446</v>
      </c>
      <c r="N578" s="1">
        <f t="shared" si="577"/>
        <v>43.59568722</v>
      </c>
      <c r="O578" s="1">
        <f t="shared" si="577"/>
        <v>42.40221663</v>
      </c>
      <c r="P578" s="1">
        <f t="shared" si="577"/>
        <v>23.67061177</v>
      </c>
      <c r="Q578" s="1">
        <f t="shared" si="577"/>
        <v>21.85680876</v>
      </c>
      <c r="R578" s="1">
        <f t="shared" si="577"/>
        <v>29.69644663</v>
      </c>
      <c r="S578" s="1">
        <f t="shared" si="577"/>
        <v>22.42884743</v>
      </c>
      <c r="T578" s="1">
        <f t="shared" si="577"/>
        <v>29.60513781</v>
      </c>
      <c r="U578" s="1">
        <f t="shared" si="577"/>
        <v>29.55801415</v>
      </c>
    </row>
    <row r="579">
      <c r="A579" s="3">
        <f>IFERROR(__xludf.DUMMYFUNCTION("""COMPUTED_VALUE"""),44498.0)</f>
        <v>44498</v>
      </c>
      <c r="B579" s="1">
        <f t="shared" ref="B579:U579" si="578">IF($A579&gt;0,Megyeinapi!B579/'megyelakosság'!B$2*100000," ")</f>
        <v>39.62406913</v>
      </c>
      <c r="C579" s="1">
        <f t="shared" si="578"/>
        <v>49.01018911</v>
      </c>
      <c r="D579" s="1">
        <f t="shared" si="578"/>
        <v>78.65868785</v>
      </c>
      <c r="E579" s="1">
        <f t="shared" si="578"/>
        <v>60.90439893</v>
      </c>
      <c r="F579" s="1">
        <f t="shared" si="578"/>
        <v>31.42469272</v>
      </c>
      <c r="G579" s="1">
        <f t="shared" si="578"/>
        <v>80.83709067</v>
      </c>
      <c r="H579" s="1">
        <f t="shared" si="578"/>
        <v>28.66677974</v>
      </c>
      <c r="I579" s="1">
        <f t="shared" si="578"/>
        <v>24.30565096</v>
      </c>
      <c r="J579" s="1">
        <f t="shared" si="578"/>
        <v>42.7166255</v>
      </c>
      <c r="K579" s="1">
        <f t="shared" si="578"/>
        <v>66.11660379</v>
      </c>
      <c r="L579" s="1">
        <f t="shared" si="578"/>
        <v>89.66898789</v>
      </c>
      <c r="M579" s="1">
        <f t="shared" si="578"/>
        <v>25.24958886</v>
      </c>
      <c r="N579" s="1">
        <f t="shared" si="578"/>
        <v>49.97554388</v>
      </c>
      <c r="O579" s="1">
        <f t="shared" si="578"/>
        <v>38.70165955</v>
      </c>
      <c r="P579" s="1">
        <f t="shared" si="578"/>
        <v>25.67094516</v>
      </c>
      <c r="Q579" s="1">
        <f t="shared" si="578"/>
        <v>20.03540803</v>
      </c>
      <c r="R579" s="1">
        <f t="shared" si="578"/>
        <v>32.48048851</v>
      </c>
      <c r="S579" s="1">
        <f t="shared" si="578"/>
        <v>25.9702444</v>
      </c>
      <c r="T579" s="1">
        <f t="shared" si="578"/>
        <v>22.2771334</v>
      </c>
      <c r="U579" s="1">
        <f t="shared" si="578"/>
        <v>34.42199116</v>
      </c>
    </row>
    <row r="580">
      <c r="A580" s="3">
        <f>IFERROR(__xludf.DUMMYFUNCTION("""COMPUTED_VALUE"""),44499.0)</f>
        <v>44499</v>
      </c>
      <c r="B580" s="1">
        <f t="shared" ref="B580:U580" si="579">IF($A580&gt;0,Megyeinapi!B580/'megyelakosság'!B$2*100000," ")</f>
        <v>0</v>
      </c>
      <c r="C580" s="1">
        <f t="shared" si="579"/>
        <v>0</v>
      </c>
      <c r="D580" s="1">
        <f t="shared" si="579"/>
        <v>0</v>
      </c>
      <c r="E580" s="1">
        <f t="shared" si="579"/>
        <v>0</v>
      </c>
      <c r="F580" s="1">
        <f t="shared" si="579"/>
        <v>0</v>
      </c>
      <c r="G580" s="1">
        <f t="shared" si="579"/>
        <v>0</v>
      </c>
      <c r="H580" s="1">
        <f t="shared" si="579"/>
        <v>0</v>
      </c>
      <c r="I580" s="1">
        <f t="shared" si="579"/>
        <v>0</v>
      </c>
      <c r="J580" s="1">
        <f t="shared" si="579"/>
        <v>0</v>
      </c>
      <c r="K580" s="1">
        <f t="shared" si="579"/>
        <v>0</v>
      </c>
      <c r="L580" s="1">
        <f t="shared" si="579"/>
        <v>0</v>
      </c>
      <c r="M580" s="1">
        <f t="shared" si="579"/>
        <v>0</v>
      </c>
      <c r="N580" s="1">
        <f t="shared" si="579"/>
        <v>0</v>
      </c>
      <c r="O580" s="1">
        <f t="shared" si="579"/>
        <v>0</v>
      </c>
      <c r="P580" s="1">
        <f t="shared" si="579"/>
        <v>0</v>
      </c>
      <c r="Q580" s="1">
        <f t="shared" si="579"/>
        <v>0</v>
      </c>
      <c r="R580" s="1">
        <f t="shared" si="579"/>
        <v>0</v>
      </c>
      <c r="S580" s="1">
        <f t="shared" si="579"/>
        <v>0</v>
      </c>
      <c r="T580" s="1">
        <f t="shared" si="579"/>
        <v>0</v>
      </c>
      <c r="U580" s="1">
        <f t="shared" si="579"/>
        <v>0</v>
      </c>
    </row>
    <row r="581">
      <c r="A581" s="3">
        <f>IFERROR(__xludf.DUMMYFUNCTION("""COMPUTED_VALUE"""),44500.0)</f>
        <v>44500</v>
      </c>
      <c r="B581" s="1">
        <f t="shared" ref="B581:U581" si="580">IF($A581&gt;0,Megyeinapi!B581/'megyelakosság'!B$2*100000," ")</f>
        <v>0</v>
      </c>
      <c r="C581" s="1">
        <f t="shared" si="580"/>
        <v>0</v>
      </c>
      <c r="D581" s="1">
        <f t="shared" si="580"/>
        <v>0</v>
      </c>
      <c r="E581" s="1">
        <f t="shared" si="580"/>
        <v>0</v>
      </c>
      <c r="F581" s="1">
        <f t="shared" si="580"/>
        <v>0</v>
      </c>
      <c r="G581" s="1">
        <f t="shared" si="580"/>
        <v>0</v>
      </c>
      <c r="H581" s="1">
        <f t="shared" si="580"/>
        <v>0</v>
      </c>
      <c r="I581" s="1">
        <f t="shared" si="580"/>
        <v>0</v>
      </c>
      <c r="J581" s="1">
        <f t="shared" si="580"/>
        <v>0</v>
      </c>
      <c r="K581" s="1">
        <f t="shared" si="580"/>
        <v>0</v>
      </c>
      <c r="L581" s="1">
        <f t="shared" si="580"/>
        <v>0</v>
      </c>
      <c r="M581" s="1">
        <f t="shared" si="580"/>
        <v>0</v>
      </c>
      <c r="N581" s="1">
        <f t="shared" si="580"/>
        <v>0</v>
      </c>
      <c r="O581" s="1">
        <f t="shared" si="580"/>
        <v>0</v>
      </c>
      <c r="P581" s="1">
        <f t="shared" si="580"/>
        <v>0</v>
      </c>
      <c r="Q581" s="1">
        <f t="shared" si="580"/>
        <v>0</v>
      </c>
      <c r="R581" s="1">
        <f t="shared" si="580"/>
        <v>0</v>
      </c>
      <c r="S581" s="1">
        <f t="shared" si="580"/>
        <v>0</v>
      </c>
      <c r="T581" s="1">
        <f t="shared" si="580"/>
        <v>0</v>
      </c>
      <c r="U581" s="1">
        <f t="shared" si="580"/>
        <v>0</v>
      </c>
    </row>
    <row r="582">
      <c r="A582" s="3">
        <f>IFERROR(__xludf.DUMMYFUNCTION("""COMPUTED_VALUE"""),44501.0)</f>
        <v>44501</v>
      </c>
      <c r="B582" s="1">
        <f t="shared" ref="B582:U582" si="581">IF($A582&gt;0,Megyeinapi!B582/'megyelakosság'!B$2*100000," ")</f>
        <v>132.8103222</v>
      </c>
      <c r="C582" s="1">
        <f t="shared" si="581"/>
        <v>132.2718172</v>
      </c>
      <c r="D582" s="1">
        <f t="shared" si="581"/>
        <v>197.8568533</v>
      </c>
      <c r="E582" s="1">
        <f t="shared" si="581"/>
        <v>145.9821933</v>
      </c>
      <c r="F582" s="1">
        <f t="shared" si="581"/>
        <v>98.0450413</v>
      </c>
      <c r="G582" s="1">
        <f t="shared" si="581"/>
        <v>180.7537431</v>
      </c>
      <c r="H582" s="1">
        <f t="shared" si="581"/>
        <v>93.16703416</v>
      </c>
      <c r="I582" s="1">
        <f t="shared" si="581"/>
        <v>67.8444692</v>
      </c>
      <c r="J582" s="1">
        <f t="shared" si="581"/>
        <v>122.0746231</v>
      </c>
      <c r="K582" s="1">
        <f t="shared" si="581"/>
        <v>163.9282805</v>
      </c>
      <c r="L582" s="1">
        <f t="shared" si="581"/>
        <v>269.0069637</v>
      </c>
      <c r="M582" s="1">
        <f t="shared" si="581"/>
        <v>58.80496354</v>
      </c>
      <c r="N582" s="1">
        <f t="shared" si="581"/>
        <v>93.5712311</v>
      </c>
      <c r="O582" s="1">
        <f t="shared" si="581"/>
        <v>117.8010673</v>
      </c>
      <c r="P582" s="1">
        <f t="shared" si="581"/>
        <v>76.01266878</v>
      </c>
      <c r="Q582" s="1">
        <f t="shared" si="581"/>
        <v>54.82416197</v>
      </c>
      <c r="R582" s="1">
        <f t="shared" si="581"/>
        <v>66.35299795</v>
      </c>
      <c r="S582" s="1">
        <f t="shared" si="581"/>
        <v>60.99072547</v>
      </c>
      <c r="T582" s="1">
        <f t="shared" si="581"/>
        <v>90.86725467</v>
      </c>
      <c r="U582" s="1">
        <f t="shared" si="581"/>
        <v>78.19778427</v>
      </c>
    </row>
    <row r="583">
      <c r="A583" s="3">
        <f>IFERROR(__xludf.DUMMYFUNCTION("""COMPUTED_VALUE"""),44502.0)</f>
        <v>44502</v>
      </c>
      <c r="B583" s="1">
        <f t="shared" ref="B583:U583" si="582">IF($A583&gt;0,Megyeinapi!B583/'megyelakosság'!B$2*100000," ")</f>
        <v>19.7124766</v>
      </c>
      <c r="C583" s="1">
        <f t="shared" si="582"/>
        <v>26.17589645</v>
      </c>
      <c r="D583" s="1">
        <f t="shared" si="582"/>
        <v>21.47987245</v>
      </c>
      <c r="E583" s="1">
        <f t="shared" si="582"/>
        <v>14.12730903</v>
      </c>
      <c r="F583" s="1">
        <f t="shared" si="582"/>
        <v>22.05442071</v>
      </c>
      <c r="G583" s="1">
        <f t="shared" si="582"/>
        <v>25.10468654</v>
      </c>
      <c r="H583" s="1">
        <f t="shared" si="582"/>
        <v>14.09450004</v>
      </c>
      <c r="I583" s="1">
        <f t="shared" si="582"/>
        <v>16.69692544</v>
      </c>
      <c r="J583" s="1">
        <f t="shared" si="582"/>
        <v>13.09976515</v>
      </c>
      <c r="K583" s="1">
        <f t="shared" si="582"/>
        <v>31.35426571</v>
      </c>
      <c r="L583" s="1">
        <f t="shared" si="582"/>
        <v>46.60606969</v>
      </c>
      <c r="M583" s="1">
        <f t="shared" si="582"/>
        <v>15.94710876</v>
      </c>
      <c r="N583" s="1">
        <f t="shared" si="582"/>
        <v>17.54460583</v>
      </c>
      <c r="O583" s="1">
        <f t="shared" si="582"/>
        <v>24.36200083</v>
      </c>
      <c r="P583" s="1">
        <f t="shared" si="582"/>
        <v>8.668111352</v>
      </c>
      <c r="Q583" s="1">
        <f t="shared" si="582"/>
        <v>8.742723504</v>
      </c>
      <c r="R583" s="1">
        <f t="shared" si="582"/>
        <v>8.352125616</v>
      </c>
      <c r="S583" s="1">
        <f t="shared" si="582"/>
        <v>9.443725235</v>
      </c>
      <c r="T583" s="1">
        <f t="shared" si="582"/>
        <v>8.79360529</v>
      </c>
      <c r="U583" s="1">
        <f t="shared" si="582"/>
        <v>5.23812909</v>
      </c>
    </row>
    <row r="584">
      <c r="A584" s="3">
        <f>IFERROR(__xludf.DUMMYFUNCTION("""COMPUTED_VALUE"""),44503.0)</f>
        <v>44503</v>
      </c>
      <c r="B584" s="1">
        <f t="shared" ref="B584:U584" si="583">IF($A584&gt;0,Megyeinapi!B584/'megyelakosság'!B$2*100000," ")</f>
        <v>35.4426347</v>
      </c>
      <c r="C584" s="1">
        <f t="shared" si="583"/>
        <v>38.42844373</v>
      </c>
      <c r="D584" s="1">
        <f t="shared" si="583"/>
        <v>52.94334759</v>
      </c>
      <c r="E584" s="1">
        <f t="shared" si="583"/>
        <v>32.64978087</v>
      </c>
      <c r="F584" s="1">
        <f t="shared" si="583"/>
        <v>22.68291457</v>
      </c>
      <c r="G584" s="1">
        <f t="shared" si="583"/>
        <v>29.37248326</v>
      </c>
      <c r="H584" s="1">
        <f t="shared" si="583"/>
        <v>19.58896616</v>
      </c>
      <c r="I584" s="1">
        <f t="shared" si="583"/>
        <v>12.04714874</v>
      </c>
      <c r="J584" s="1">
        <f t="shared" si="583"/>
        <v>26.57923364</v>
      </c>
      <c r="K584" s="1">
        <f t="shared" si="583"/>
        <v>29.99103677</v>
      </c>
      <c r="L584" s="1">
        <f t="shared" si="583"/>
        <v>43.33546831</v>
      </c>
      <c r="M584" s="1">
        <f t="shared" si="583"/>
        <v>17.27603449</v>
      </c>
      <c r="N584" s="1">
        <f t="shared" si="583"/>
        <v>16.48129639</v>
      </c>
      <c r="O584" s="1">
        <f t="shared" si="583"/>
        <v>29.06479213</v>
      </c>
      <c r="P584" s="1">
        <f t="shared" si="583"/>
        <v>13.66894482</v>
      </c>
      <c r="Q584" s="1">
        <f t="shared" si="583"/>
        <v>18.2140073</v>
      </c>
      <c r="R584" s="1">
        <f t="shared" si="583"/>
        <v>16.24024425</v>
      </c>
      <c r="S584" s="1">
        <f t="shared" si="583"/>
        <v>21.64187033</v>
      </c>
      <c r="T584" s="1">
        <f t="shared" si="583"/>
        <v>23.44961411</v>
      </c>
      <c r="U584" s="1">
        <f t="shared" si="583"/>
        <v>31.80292662</v>
      </c>
    </row>
    <row r="585">
      <c r="A585" s="3">
        <f>IFERROR(__xludf.DUMMYFUNCTION("""COMPUTED_VALUE"""),44504.0)</f>
        <v>44504</v>
      </c>
      <c r="B585" s="1">
        <f t="shared" ref="B585:U585" si="584">IF($A585&gt;0,Megyeinapi!B585/'megyelakosság'!B$2*100000," ")</f>
        <v>84.2260364</v>
      </c>
      <c r="C585" s="1">
        <f t="shared" si="584"/>
        <v>88.83096776</v>
      </c>
      <c r="D585" s="1">
        <f t="shared" si="584"/>
        <v>97.41575957</v>
      </c>
      <c r="E585" s="1">
        <f t="shared" si="584"/>
        <v>86.17658508</v>
      </c>
      <c r="F585" s="1">
        <f t="shared" si="584"/>
        <v>54.2790147</v>
      </c>
      <c r="G585" s="1">
        <f t="shared" si="584"/>
        <v>89.37268409</v>
      </c>
      <c r="H585" s="1">
        <f t="shared" si="584"/>
        <v>38.93904248</v>
      </c>
      <c r="I585" s="1">
        <f t="shared" si="584"/>
        <v>33.39385088</v>
      </c>
      <c r="J585" s="1">
        <f t="shared" si="584"/>
        <v>69.67556248</v>
      </c>
      <c r="K585" s="1">
        <f t="shared" si="584"/>
        <v>99.85652015</v>
      </c>
      <c r="L585" s="1">
        <f t="shared" si="584"/>
        <v>116.6514493</v>
      </c>
      <c r="M585" s="1">
        <f t="shared" si="584"/>
        <v>33.55537467</v>
      </c>
      <c r="N585" s="1">
        <f t="shared" si="584"/>
        <v>60.0769836</v>
      </c>
      <c r="O585" s="1">
        <f t="shared" si="584"/>
        <v>64.22008447</v>
      </c>
      <c r="P585" s="1">
        <f t="shared" si="584"/>
        <v>42.00700117</v>
      </c>
      <c r="Q585" s="1">
        <f t="shared" si="584"/>
        <v>43.53147745</v>
      </c>
      <c r="R585" s="1">
        <f t="shared" si="584"/>
        <v>45.93669089</v>
      </c>
      <c r="S585" s="1">
        <f t="shared" si="584"/>
        <v>40.5293208</v>
      </c>
      <c r="T585" s="1">
        <f t="shared" si="584"/>
        <v>45.72674751</v>
      </c>
      <c r="U585" s="1">
        <f t="shared" si="584"/>
        <v>63.60585324</v>
      </c>
    </row>
    <row r="586">
      <c r="A586" s="3">
        <f>IFERROR(__xludf.DUMMYFUNCTION("""COMPUTED_VALUE"""),44505.0)</f>
        <v>44505</v>
      </c>
      <c r="B586" s="1">
        <f t="shared" ref="B586:U586" si="585">IF($A586&gt;0,Megyeinapi!B586/'megyelakosság'!B$2*100000," ")</f>
        <v>94.77918044</v>
      </c>
      <c r="C586" s="1">
        <f t="shared" si="585"/>
        <v>87.43863284</v>
      </c>
      <c r="D586" s="1">
        <f t="shared" si="585"/>
        <v>105.5841618</v>
      </c>
      <c r="E586" s="1">
        <f t="shared" si="585"/>
        <v>95.9087313</v>
      </c>
      <c r="F586" s="1">
        <f t="shared" si="585"/>
        <v>52.39353314</v>
      </c>
      <c r="G586" s="1">
        <f t="shared" si="585"/>
        <v>144.8540414</v>
      </c>
      <c r="H586" s="1">
        <f t="shared" si="585"/>
        <v>49.92797472</v>
      </c>
      <c r="I586" s="1">
        <f t="shared" si="585"/>
        <v>41.21392989</v>
      </c>
      <c r="J586" s="1">
        <f t="shared" si="585"/>
        <v>87.71147103</v>
      </c>
      <c r="K586" s="1">
        <f t="shared" si="585"/>
        <v>88.9506886</v>
      </c>
      <c r="L586" s="1">
        <f t="shared" si="585"/>
        <v>112.5631976</v>
      </c>
      <c r="M586" s="1">
        <f t="shared" si="585"/>
        <v>35.21653184</v>
      </c>
      <c r="N586" s="1">
        <f t="shared" si="585"/>
        <v>86.65971971</v>
      </c>
      <c r="O586" s="1">
        <f t="shared" si="585"/>
        <v>60.7508122</v>
      </c>
      <c r="P586" s="1">
        <f t="shared" si="585"/>
        <v>53.3422237</v>
      </c>
      <c r="Q586" s="1">
        <f t="shared" si="585"/>
        <v>37.33871497</v>
      </c>
      <c r="R586" s="1">
        <f t="shared" si="585"/>
        <v>72.38508867</v>
      </c>
      <c r="S586" s="1">
        <f t="shared" si="585"/>
        <v>50.36653459</v>
      </c>
      <c r="T586" s="1">
        <f t="shared" si="585"/>
        <v>41.91618522</v>
      </c>
      <c r="U586" s="1">
        <f t="shared" si="585"/>
        <v>63.98000531</v>
      </c>
    </row>
    <row r="587">
      <c r="A587" s="3">
        <f>IFERROR(__xludf.DUMMYFUNCTION("""COMPUTED_VALUE"""),44506.0)</f>
        <v>44506</v>
      </c>
      <c r="B587" s="1">
        <f t="shared" ref="B587:U587" si="586">IF($A587&gt;0,Megyeinapi!B587/'megyelakosság'!B$2*100000," ")</f>
        <v>0</v>
      </c>
      <c r="C587" s="1">
        <f t="shared" si="586"/>
        <v>0</v>
      </c>
      <c r="D587" s="1">
        <f t="shared" si="586"/>
        <v>0</v>
      </c>
      <c r="E587" s="1">
        <f t="shared" si="586"/>
        <v>0</v>
      </c>
      <c r="F587" s="1">
        <f t="shared" si="586"/>
        <v>0</v>
      </c>
      <c r="G587" s="1">
        <f t="shared" si="586"/>
        <v>0</v>
      </c>
      <c r="H587" s="1">
        <f t="shared" si="586"/>
        <v>0</v>
      </c>
      <c r="I587" s="1">
        <f t="shared" si="586"/>
        <v>0</v>
      </c>
      <c r="J587" s="1">
        <f t="shared" si="586"/>
        <v>0</v>
      </c>
      <c r="K587" s="1">
        <f t="shared" si="586"/>
        <v>0</v>
      </c>
      <c r="L587" s="1">
        <f t="shared" si="586"/>
        <v>0</v>
      </c>
      <c r="M587" s="1">
        <f t="shared" si="586"/>
        <v>0</v>
      </c>
      <c r="N587" s="1">
        <f t="shared" si="586"/>
        <v>0</v>
      </c>
      <c r="O587" s="1">
        <f t="shared" si="586"/>
        <v>0</v>
      </c>
      <c r="P587" s="1">
        <f t="shared" si="586"/>
        <v>0</v>
      </c>
      <c r="Q587" s="1">
        <f t="shared" si="586"/>
        <v>0</v>
      </c>
      <c r="R587" s="1">
        <f t="shared" si="586"/>
        <v>0</v>
      </c>
      <c r="S587" s="1">
        <f t="shared" si="586"/>
        <v>0</v>
      </c>
      <c r="T587" s="1">
        <f t="shared" si="586"/>
        <v>0</v>
      </c>
      <c r="U587" s="1">
        <f t="shared" si="586"/>
        <v>0</v>
      </c>
    </row>
    <row r="588">
      <c r="A588" s="3">
        <f>IFERROR(__xludf.DUMMYFUNCTION("""COMPUTED_VALUE"""),44507.0)</f>
        <v>44507</v>
      </c>
      <c r="B588" s="1">
        <f t="shared" ref="B588:U588" si="587">IF($A588&gt;0,Megyeinapi!B588/'megyelakosság'!B$2*100000," ")</f>
        <v>0</v>
      </c>
      <c r="C588" s="1">
        <f t="shared" si="587"/>
        <v>0</v>
      </c>
      <c r="D588" s="1">
        <f t="shared" si="587"/>
        <v>0</v>
      </c>
      <c r="E588" s="1">
        <f t="shared" si="587"/>
        <v>0</v>
      </c>
      <c r="F588" s="1">
        <f t="shared" si="587"/>
        <v>0</v>
      </c>
      <c r="G588" s="1">
        <f t="shared" si="587"/>
        <v>0</v>
      </c>
      <c r="H588" s="1">
        <f t="shared" si="587"/>
        <v>0</v>
      </c>
      <c r="I588" s="1">
        <f t="shared" si="587"/>
        <v>0</v>
      </c>
      <c r="J588" s="1">
        <f t="shared" si="587"/>
        <v>0</v>
      </c>
      <c r="K588" s="1">
        <f t="shared" si="587"/>
        <v>0</v>
      </c>
      <c r="L588" s="1">
        <f t="shared" si="587"/>
        <v>0</v>
      </c>
      <c r="M588" s="1">
        <f t="shared" si="587"/>
        <v>0</v>
      </c>
      <c r="N588" s="1">
        <f t="shared" si="587"/>
        <v>0</v>
      </c>
      <c r="O588" s="1">
        <f t="shared" si="587"/>
        <v>0</v>
      </c>
      <c r="P588" s="1">
        <f t="shared" si="587"/>
        <v>0</v>
      </c>
      <c r="Q588" s="1">
        <f t="shared" si="587"/>
        <v>0</v>
      </c>
      <c r="R588" s="1">
        <f t="shared" si="587"/>
        <v>0</v>
      </c>
      <c r="S588" s="1">
        <f t="shared" si="587"/>
        <v>0</v>
      </c>
      <c r="T588" s="1">
        <f t="shared" si="587"/>
        <v>0</v>
      </c>
      <c r="U588" s="1">
        <f t="shared" si="587"/>
        <v>0</v>
      </c>
    </row>
    <row r="589">
      <c r="A589" s="3">
        <f>IFERROR(__xludf.DUMMYFUNCTION("""COMPUTED_VALUE"""),44508.0)</f>
        <v>44508</v>
      </c>
      <c r="B589" s="1">
        <f t="shared" ref="B589:U589" si="588">IF($A589&gt;0,Megyeinapi!B589/'megyelakosság'!B$2*100000," ")</f>
        <v>254.8683844</v>
      </c>
      <c r="C589" s="1">
        <f t="shared" si="588"/>
        <v>209.9641056</v>
      </c>
      <c r="D589" s="1">
        <f t="shared" si="588"/>
        <v>300.7182143</v>
      </c>
      <c r="E589" s="1">
        <f t="shared" si="588"/>
        <v>237.1818216</v>
      </c>
      <c r="F589" s="1">
        <f t="shared" si="588"/>
        <v>126.2129931</v>
      </c>
      <c r="G589" s="1">
        <f t="shared" si="588"/>
        <v>325.8588313</v>
      </c>
      <c r="H589" s="1">
        <f t="shared" si="588"/>
        <v>146.4394665</v>
      </c>
      <c r="I589" s="1">
        <f t="shared" si="588"/>
        <v>148.1587941</v>
      </c>
      <c r="J589" s="1">
        <f t="shared" si="588"/>
        <v>246.0477629</v>
      </c>
      <c r="K589" s="1">
        <f t="shared" si="588"/>
        <v>238.224258</v>
      </c>
      <c r="L589" s="1">
        <f t="shared" si="588"/>
        <v>370.9407067</v>
      </c>
      <c r="M589" s="1">
        <f t="shared" si="588"/>
        <v>98.340504</v>
      </c>
      <c r="N589" s="1">
        <f t="shared" si="588"/>
        <v>204.687068</v>
      </c>
      <c r="O589" s="1">
        <f t="shared" si="588"/>
        <v>150.7977013</v>
      </c>
      <c r="P589" s="1">
        <f t="shared" si="588"/>
        <v>139.6899483</v>
      </c>
      <c r="Q589" s="1">
        <f t="shared" si="588"/>
        <v>121.4874287</v>
      </c>
      <c r="R589" s="1">
        <f t="shared" si="588"/>
        <v>106.7216051</v>
      </c>
      <c r="S589" s="1">
        <f t="shared" si="588"/>
        <v>137.720993</v>
      </c>
      <c r="T589" s="1">
        <f t="shared" si="588"/>
        <v>132.7834399</v>
      </c>
      <c r="U589" s="1">
        <f t="shared" si="588"/>
        <v>135.4430522</v>
      </c>
    </row>
    <row r="590">
      <c r="A590" s="3">
        <f>IFERROR(__xludf.DUMMYFUNCTION("""COMPUTED_VALUE"""),44509.0)</f>
        <v>44509</v>
      </c>
      <c r="B590" s="1">
        <f t="shared" ref="B590:U590" si="589">IF($A590&gt;0,Megyeinapi!B590/'megyelakosság'!B$2*100000," ")</f>
        <v>48.7834017</v>
      </c>
      <c r="C590" s="1">
        <f t="shared" si="589"/>
        <v>63.49047225</v>
      </c>
      <c r="D590" s="1">
        <f t="shared" si="589"/>
        <v>77.75108761</v>
      </c>
      <c r="E590" s="1">
        <f t="shared" si="589"/>
        <v>40.81222609</v>
      </c>
      <c r="F590" s="1">
        <f t="shared" si="589"/>
        <v>40.05219927</v>
      </c>
      <c r="G590" s="1">
        <f t="shared" si="589"/>
        <v>52.97088861</v>
      </c>
      <c r="H590" s="1">
        <f t="shared" si="589"/>
        <v>24.60565261</v>
      </c>
      <c r="I590" s="1">
        <f t="shared" si="589"/>
        <v>33.1824974</v>
      </c>
      <c r="J590" s="1">
        <f t="shared" si="589"/>
        <v>37.02107543</v>
      </c>
      <c r="K590" s="1">
        <f t="shared" si="589"/>
        <v>66.11660379</v>
      </c>
      <c r="L590" s="1">
        <f t="shared" si="589"/>
        <v>110.3827966</v>
      </c>
      <c r="M590" s="1">
        <f t="shared" si="589"/>
        <v>32.22644894</v>
      </c>
      <c r="N590" s="1">
        <f t="shared" si="589"/>
        <v>59.01367416</v>
      </c>
      <c r="O590" s="1">
        <f t="shared" si="589"/>
        <v>50.5742802</v>
      </c>
      <c r="P590" s="1">
        <f t="shared" si="589"/>
        <v>29.00483414</v>
      </c>
      <c r="Q590" s="1">
        <f t="shared" si="589"/>
        <v>35.33517416</v>
      </c>
      <c r="R590" s="1">
        <f t="shared" si="589"/>
        <v>40.36860714</v>
      </c>
      <c r="S590" s="1">
        <f t="shared" si="589"/>
        <v>28.72466426</v>
      </c>
      <c r="T590" s="1">
        <f t="shared" si="589"/>
        <v>56.86531421</v>
      </c>
      <c r="U590" s="1">
        <f t="shared" si="589"/>
        <v>49.76222635</v>
      </c>
    </row>
    <row r="591">
      <c r="A591" s="3">
        <f>IFERROR(__xludf.DUMMYFUNCTION("""COMPUTED_VALUE"""),44510.0)</f>
        <v>44510</v>
      </c>
      <c r="B591" s="1">
        <f t="shared" ref="B591:U591" si="590">IF($A591&gt;0,Megyeinapi!B591/'megyelakosság'!B$2*100000," ")</f>
        <v>102.3455856</v>
      </c>
      <c r="C591" s="1">
        <f t="shared" si="590"/>
        <v>102.7543169</v>
      </c>
      <c r="D591" s="1">
        <f t="shared" si="590"/>
        <v>119.5006989</v>
      </c>
      <c r="E591" s="1">
        <f t="shared" si="590"/>
        <v>115.843934</v>
      </c>
      <c r="F591" s="1">
        <f t="shared" si="590"/>
        <v>75.30499093</v>
      </c>
      <c r="G591" s="1">
        <f t="shared" si="590"/>
        <v>98.66141811</v>
      </c>
      <c r="H591" s="1">
        <f t="shared" si="590"/>
        <v>67.60582222</v>
      </c>
      <c r="I591" s="1">
        <f t="shared" si="590"/>
        <v>42.05934383</v>
      </c>
      <c r="J591" s="1">
        <f t="shared" si="590"/>
        <v>83.72458598</v>
      </c>
      <c r="K591" s="1">
        <f t="shared" si="590"/>
        <v>124.7354484</v>
      </c>
      <c r="L591" s="1">
        <f t="shared" si="590"/>
        <v>220.4930432</v>
      </c>
      <c r="M591" s="1">
        <f t="shared" si="590"/>
        <v>33.88760611</v>
      </c>
      <c r="N591" s="1">
        <f t="shared" si="590"/>
        <v>86.65971971</v>
      </c>
      <c r="O591" s="1">
        <f t="shared" si="590"/>
        <v>84.80443327</v>
      </c>
      <c r="P591" s="1">
        <f t="shared" si="590"/>
        <v>60.01000167</v>
      </c>
      <c r="Q591" s="1">
        <f t="shared" si="590"/>
        <v>51.36350059</v>
      </c>
      <c r="R591" s="1">
        <f t="shared" si="590"/>
        <v>67.74501889</v>
      </c>
      <c r="S591" s="1">
        <f t="shared" si="590"/>
        <v>55.48188575</v>
      </c>
      <c r="T591" s="1">
        <f t="shared" si="590"/>
        <v>80.31492832</v>
      </c>
      <c r="U591" s="1">
        <f t="shared" si="590"/>
        <v>82.68760921</v>
      </c>
    </row>
    <row r="592">
      <c r="A592" s="3">
        <f>IFERROR(__xludf.DUMMYFUNCTION("""COMPUTED_VALUE"""),44511.0)</f>
        <v>44511</v>
      </c>
      <c r="B592" s="1">
        <f t="shared" ref="B592:U592" si="591">IF($A592&gt;0,Megyeinapi!B592/'megyelakosság'!B$2*100000," ")</f>
        <v>112.8987296</v>
      </c>
      <c r="C592" s="1">
        <f t="shared" si="591"/>
        <v>110.5513925</v>
      </c>
      <c r="D592" s="1">
        <f t="shared" si="591"/>
        <v>106.1892286</v>
      </c>
      <c r="E592" s="1">
        <f t="shared" si="591"/>
        <v>103.4432961</v>
      </c>
      <c r="F592" s="1">
        <f t="shared" si="591"/>
        <v>71.19121297</v>
      </c>
      <c r="G592" s="1">
        <f t="shared" si="591"/>
        <v>135.0632136</v>
      </c>
      <c r="H592" s="1">
        <f t="shared" si="591"/>
        <v>66.6502629</v>
      </c>
      <c r="I592" s="1">
        <f t="shared" si="591"/>
        <v>62.983339</v>
      </c>
      <c r="J592" s="1">
        <f t="shared" si="591"/>
        <v>99.67212617</v>
      </c>
      <c r="K592" s="1">
        <f t="shared" si="591"/>
        <v>89.29149584</v>
      </c>
      <c r="L592" s="1">
        <f t="shared" si="591"/>
        <v>161.3496682</v>
      </c>
      <c r="M592" s="1">
        <f t="shared" si="591"/>
        <v>31.56198608</v>
      </c>
      <c r="N592" s="1">
        <f t="shared" si="591"/>
        <v>84.0014461</v>
      </c>
      <c r="O592" s="1">
        <f t="shared" si="591"/>
        <v>85.6524776</v>
      </c>
      <c r="P592" s="1">
        <f t="shared" si="591"/>
        <v>61.01016836</v>
      </c>
      <c r="Q592" s="1">
        <f t="shared" si="591"/>
        <v>65.93470643</v>
      </c>
      <c r="R592" s="1">
        <f t="shared" si="591"/>
        <v>61.71292816</v>
      </c>
      <c r="S592" s="1">
        <f t="shared" si="591"/>
        <v>61.38421403</v>
      </c>
      <c r="T592" s="1">
        <f t="shared" si="591"/>
        <v>68.88324144</v>
      </c>
      <c r="U592" s="1">
        <f t="shared" si="591"/>
        <v>92.41556323</v>
      </c>
    </row>
    <row r="593">
      <c r="A593" s="3">
        <f>IFERROR(__xludf.DUMMYFUNCTION("""COMPUTED_VALUE"""),44512.0)</f>
        <v>44512</v>
      </c>
      <c r="B593" s="1">
        <f t="shared" ref="B593:U593" si="592">IF($A593&gt;0,Megyeinapi!B593/'megyelakosság'!B$2*100000," ")</f>
        <v>119.0713233</v>
      </c>
      <c r="C593" s="1">
        <f t="shared" si="592"/>
        <v>98.85577916</v>
      </c>
      <c r="D593" s="1">
        <f t="shared" si="592"/>
        <v>125.5513671</v>
      </c>
      <c r="E593" s="1">
        <f t="shared" si="592"/>
        <v>119.9251567</v>
      </c>
      <c r="F593" s="1">
        <f t="shared" si="592"/>
        <v>67.76306467</v>
      </c>
      <c r="G593" s="1">
        <f t="shared" si="592"/>
        <v>132.0506512</v>
      </c>
      <c r="H593" s="1">
        <f t="shared" si="592"/>
        <v>64.73914425</v>
      </c>
      <c r="I593" s="1">
        <f t="shared" si="592"/>
        <v>50.93619027</v>
      </c>
      <c r="J593" s="1">
        <f t="shared" si="592"/>
        <v>108.2154513</v>
      </c>
      <c r="K593" s="1">
        <f t="shared" si="592"/>
        <v>123.0314122</v>
      </c>
      <c r="L593" s="1">
        <f t="shared" si="592"/>
        <v>139.2731088</v>
      </c>
      <c r="M593" s="1">
        <f t="shared" si="592"/>
        <v>44.85124338</v>
      </c>
      <c r="N593" s="1">
        <f t="shared" si="592"/>
        <v>99.41943304</v>
      </c>
      <c r="O593" s="1">
        <f t="shared" si="592"/>
        <v>75.16756585</v>
      </c>
      <c r="P593" s="1">
        <f t="shared" si="592"/>
        <v>69.01150192</v>
      </c>
      <c r="Q593" s="1">
        <f t="shared" si="592"/>
        <v>61.92762482</v>
      </c>
      <c r="R593" s="1">
        <f t="shared" si="592"/>
        <v>70.52906076</v>
      </c>
      <c r="S593" s="1">
        <f t="shared" si="592"/>
        <v>56.66235141</v>
      </c>
      <c r="T593" s="1">
        <f t="shared" si="592"/>
        <v>65.95203968</v>
      </c>
      <c r="U593" s="1">
        <f t="shared" si="592"/>
        <v>77.44948012</v>
      </c>
    </row>
    <row r="594">
      <c r="A594" s="3">
        <f>IFERROR(__xludf.DUMMYFUNCTION("""COMPUTED_VALUE"""),44513.0)</f>
        <v>44513</v>
      </c>
      <c r="B594" s="1">
        <f t="shared" ref="B594:U594" si="593">IF($A594&gt;0,Megyeinapi!B594/'megyelakosság'!B$2*100000," ")</f>
        <v>0</v>
      </c>
      <c r="C594" s="1">
        <f t="shared" si="593"/>
        <v>0</v>
      </c>
      <c r="D594" s="1">
        <f t="shared" si="593"/>
        <v>0</v>
      </c>
      <c r="E594" s="1">
        <f t="shared" si="593"/>
        <v>0</v>
      </c>
      <c r="F594" s="1">
        <f t="shared" si="593"/>
        <v>0</v>
      </c>
      <c r="G594" s="1">
        <f t="shared" si="593"/>
        <v>0</v>
      </c>
      <c r="H594" s="1">
        <f t="shared" si="593"/>
        <v>0</v>
      </c>
      <c r="I594" s="1">
        <f t="shared" si="593"/>
        <v>0</v>
      </c>
      <c r="J594" s="1">
        <f t="shared" si="593"/>
        <v>0</v>
      </c>
      <c r="K594" s="1">
        <f t="shared" si="593"/>
        <v>0</v>
      </c>
      <c r="L594" s="1">
        <f t="shared" si="593"/>
        <v>0</v>
      </c>
      <c r="M594" s="1">
        <f t="shared" si="593"/>
        <v>0</v>
      </c>
      <c r="N594" s="1">
        <f t="shared" si="593"/>
        <v>0</v>
      </c>
      <c r="O594" s="1">
        <f t="shared" si="593"/>
        <v>0</v>
      </c>
      <c r="P594" s="1">
        <f t="shared" si="593"/>
        <v>0</v>
      </c>
      <c r="Q594" s="1">
        <f t="shared" si="593"/>
        <v>0</v>
      </c>
      <c r="R594" s="1">
        <f t="shared" si="593"/>
        <v>0</v>
      </c>
      <c r="S594" s="1">
        <f t="shared" si="593"/>
        <v>0</v>
      </c>
      <c r="T594" s="1">
        <f t="shared" si="593"/>
        <v>0</v>
      </c>
      <c r="U594" s="1">
        <f t="shared" si="593"/>
        <v>0</v>
      </c>
    </row>
    <row r="595">
      <c r="A595" s="3">
        <f>IFERROR(__xludf.DUMMYFUNCTION("""COMPUTED_VALUE"""),44514.0)</f>
        <v>44514</v>
      </c>
      <c r="B595" s="1">
        <f t="shared" ref="B595:U595" si="594">IF($A595&gt;0,Megyeinapi!B595/'megyelakosság'!B$2*100000," ")</f>
        <v>0</v>
      </c>
      <c r="C595" s="1">
        <f t="shared" si="594"/>
        <v>0</v>
      </c>
      <c r="D595" s="1">
        <f t="shared" si="594"/>
        <v>0</v>
      </c>
      <c r="E595" s="1">
        <f t="shared" si="594"/>
        <v>0</v>
      </c>
      <c r="F595" s="1">
        <f t="shared" si="594"/>
        <v>0</v>
      </c>
      <c r="G595" s="1">
        <f t="shared" si="594"/>
        <v>0</v>
      </c>
      <c r="H595" s="1">
        <f t="shared" si="594"/>
        <v>0</v>
      </c>
      <c r="I595" s="1">
        <f t="shared" si="594"/>
        <v>0</v>
      </c>
      <c r="J595" s="1">
        <f t="shared" si="594"/>
        <v>0</v>
      </c>
      <c r="K595" s="1">
        <f t="shared" si="594"/>
        <v>0</v>
      </c>
      <c r="L595" s="1">
        <f t="shared" si="594"/>
        <v>0</v>
      </c>
      <c r="M595" s="1">
        <f t="shared" si="594"/>
        <v>0</v>
      </c>
      <c r="N595" s="1">
        <f t="shared" si="594"/>
        <v>0</v>
      </c>
      <c r="O595" s="1">
        <f t="shared" si="594"/>
        <v>0</v>
      </c>
      <c r="P595" s="1">
        <f t="shared" si="594"/>
        <v>0</v>
      </c>
      <c r="Q595" s="1">
        <f t="shared" si="594"/>
        <v>0</v>
      </c>
      <c r="R595" s="1">
        <f t="shared" si="594"/>
        <v>0</v>
      </c>
      <c r="S595" s="1">
        <f t="shared" si="594"/>
        <v>0</v>
      </c>
      <c r="T595" s="1">
        <f t="shared" si="594"/>
        <v>0</v>
      </c>
      <c r="U595" s="1">
        <f t="shared" si="594"/>
        <v>0</v>
      </c>
    </row>
    <row r="596">
      <c r="A596" s="3">
        <f>IFERROR(__xludf.DUMMYFUNCTION("""COMPUTED_VALUE"""),44515.0)</f>
        <v>44515</v>
      </c>
      <c r="B596" s="1">
        <f t="shared" ref="B596:U596" si="595">IF($A596&gt;0,Megyeinapi!B596/'megyelakosság'!B$2*100000," ")</f>
        <v>297.4791924</v>
      </c>
      <c r="C596" s="1">
        <f t="shared" si="595"/>
        <v>232.5199313</v>
      </c>
      <c r="D596" s="1">
        <f t="shared" si="595"/>
        <v>288.6168777</v>
      </c>
      <c r="E596" s="1">
        <f t="shared" si="595"/>
        <v>274.6976756</v>
      </c>
      <c r="F596" s="1">
        <f t="shared" si="595"/>
        <v>173.5785754</v>
      </c>
      <c r="G596" s="1">
        <f t="shared" si="595"/>
        <v>319.3316128</v>
      </c>
      <c r="H596" s="1">
        <f t="shared" si="595"/>
        <v>151.456153</v>
      </c>
      <c r="I596" s="1">
        <f t="shared" si="595"/>
        <v>170.1395567</v>
      </c>
      <c r="J596" s="1">
        <f t="shared" si="595"/>
        <v>260.4764897</v>
      </c>
      <c r="K596" s="1">
        <f t="shared" si="595"/>
        <v>254.9238125</v>
      </c>
      <c r="L596" s="1">
        <f t="shared" si="595"/>
        <v>484.0490045</v>
      </c>
      <c r="M596" s="1">
        <f t="shared" si="595"/>
        <v>134.5537301</v>
      </c>
      <c r="N596" s="1">
        <f t="shared" si="595"/>
        <v>247.7511005</v>
      </c>
      <c r="O596" s="1">
        <f t="shared" si="595"/>
        <v>179.7083036</v>
      </c>
      <c r="P596" s="1">
        <f t="shared" si="595"/>
        <v>164.6941157</v>
      </c>
      <c r="Q596" s="1">
        <f t="shared" si="595"/>
        <v>143.8906577</v>
      </c>
      <c r="R596" s="1">
        <f t="shared" si="595"/>
        <v>128.0659261</v>
      </c>
      <c r="S596" s="1">
        <f t="shared" si="595"/>
        <v>168.0196115</v>
      </c>
      <c r="T596" s="1">
        <f t="shared" si="595"/>
        <v>199.3217199</v>
      </c>
      <c r="U596" s="1">
        <f t="shared" si="595"/>
        <v>191.9400159</v>
      </c>
    </row>
    <row r="597">
      <c r="A597" s="3">
        <f>IFERROR(__xludf.DUMMYFUNCTION("""COMPUTED_VALUE"""),44516.0)</f>
        <v>44516</v>
      </c>
      <c r="B597" s="1">
        <f t="shared" ref="B597:U597" si="596">IF($A597&gt;0,Megyeinapi!B597/'megyelakosság'!B$2*100000," ")</f>
        <v>80.04460197</v>
      </c>
      <c r="C597" s="1">
        <f t="shared" si="596"/>
        <v>72.12294874</v>
      </c>
      <c r="D597" s="1">
        <f t="shared" si="596"/>
        <v>84.40682273</v>
      </c>
      <c r="E597" s="1">
        <f t="shared" si="596"/>
        <v>37.04494368</v>
      </c>
      <c r="F597" s="1">
        <f t="shared" si="596"/>
        <v>50.50805158</v>
      </c>
      <c r="G597" s="1">
        <f t="shared" si="596"/>
        <v>53.22193547</v>
      </c>
      <c r="H597" s="1">
        <f t="shared" si="596"/>
        <v>29.38344923</v>
      </c>
      <c r="I597" s="1">
        <f t="shared" si="596"/>
        <v>43.11611126</v>
      </c>
      <c r="J597" s="1">
        <f t="shared" si="596"/>
        <v>50.88024726</v>
      </c>
      <c r="K597" s="1">
        <f t="shared" si="596"/>
        <v>64.07176037</v>
      </c>
      <c r="L597" s="1">
        <f t="shared" si="596"/>
        <v>128.0985541</v>
      </c>
      <c r="M597" s="1">
        <f t="shared" si="596"/>
        <v>22.25950597</v>
      </c>
      <c r="N597" s="1">
        <f t="shared" si="596"/>
        <v>31.36762861</v>
      </c>
      <c r="O597" s="1">
        <f t="shared" si="596"/>
        <v>54.66031199</v>
      </c>
      <c r="P597" s="1">
        <f t="shared" si="596"/>
        <v>32.33872312</v>
      </c>
      <c r="Q597" s="1">
        <f t="shared" si="596"/>
        <v>51.54564066</v>
      </c>
      <c r="R597" s="1">
        <f t="shared" si="596"/>
        <v>52.43278859</v>
      </c>
      <c r="S597" s="1">
        <f t="shared" si="596"/>
        <v>46.43164907</v>
      </c>
      <c r="T597" s="1">
        <f t="shared" si="596"/>
        <v>58.91715544</v>
      </c>
      <c r="U597" s="1">
        <f t="shared" si="596"/>
        <v>56.49696376</v>
      </c>
    </row>
    <row r="598">
      <c r="A598" s="4">
        <f>IFERROR(__xludf.DUMMYFUNCTION("""COMPUTED_VALUE"""),44517.0)</f>
        <v>44517</v>
      </c>
      <c r="B598" s="1">
        <f t="shared" ref="B598:U598" si="597">IF($A598&gt;0,Megyeinapi!B598/'megyelakosság'!B$2*100000," ")</f>
        <v>129.4253514</v>
      </c>
      <c r="C598" s="1">
        <f t="shared" si="597"/>
        <v>131.1579493</v>
      </c>
      <c r="D598" s="1">
        <f t="shared" si="597"/>
        <v>125.8539006</v>
      </c>
      <c r="E598" s="1">
        <f t="shared" si="597"/>
        <v>116.3148443</v>
      </c>
      <c r="F598" s="1">
        <f t="shared" si="597"/>
        <v>92.3314608</v>
      </c>
      <c r="G598" s="1">
        <f t="shared" si="597"/>
        <v>127.5318076</v>
      </c>
      <c r="H598" s="1">
        <f t="shared" si="597"/>
        <v>84.56700024</v>
      </c>
      <c r="I598" s="1">
        <f t="shared" si="597"/>
        <v>67.42176222</v>
      </c>
      <c r="J598" s="1">
        <f t="shared" si="597"/>
        <v>116.379073</v>
      </c>
      <c r="K598" s="1">
        <f t="shared" si="597"/>
        <v>142.4574247</v>
      </c>
      <c r="L598" s="1">
        <f t="shared" si="597"/>
        <v>209.5910386</v>
      </c>
      <c r="M598" s="1">
        <f t="shared" si="597"/>
        <v>48.50578913</v>
      </c>
      <c r="N598" s="1">
        <f t="shared" si="597"/>
        <v>106.8625992</v>
      </c>
      <c r="O598" s="1">
        <f t="shared" si="597"/>
        <v>107.3161556</v>
      </c>
      <c r="P598" s="1">
        <f t="shared" si="597"/>
        <v>67.01116853</v>
      </c>
      <c r="Q598" s="1">
        <f t="shared" si="597"/>
        <v>79.77735197</v>
      </c>
      <c r="R598" s="1">
        <f t="shared" si="597"/>
        <v>87.23331199</v>
      </c>
      <c r="S598" s="1">
        <f t="shared" si="597"/>
        <v>96.79818366</v>
      </c>
      <c r="T598" s="1">
        <f t="shared" si="597"/>
        <v>83.83237043</v>
      </c>
      <c r="U598" s="1">
        <f t="shared" si="597"/>
        <v>109.2524067</v>
      </c>
    </row>
    <row r="599">
      <c r="A599" s="3">
        <f>IFERROR(__xludf.DUMMYFUNCTION("""COMPUTED_VALUE"""),44518.0)</f>
        <v>44518</v>
      </c>
      <c r="B599" s="1">
        <f t="shared" ref="B599:U599" si="598">IF($A599&gt;0,Megyeinapi!B599/'megyelakosság'!B$2*100000," ")</f>
        <v>156.5051173</v>
      </c>
      <c r="C599" s="1">
        <f t="shared" si="598"/>
        <v>126.7024775</v>
      </c>
      <c r="D599" s="1">
        <f t="shared" si="598"/>
        <v>135.8375033</v>
      </c>
      <c r="E599" s="1">
        <f t="shared" si="598"/>
        <v>132.953675</v>
      </c>
      <c r="F599" s="1">
        <f t="shared" si="598"/>
        <v>92.44573241</v>
      </c>
      <c r="G599" s="1">
        <f t="shared" si="598"/>
        <v>158.4105721</v>
      </c>
      <c r="H599" s="1">
        <f t="shared" si="598"/>
        <v>76.68363581</v>
      </c>
      <c r="I599" s="1">
        <f t="shared" si="598"/>
        <v>80.52567839</v>
      </c>
      <c r="J599" s="1">
        <f t="shared" si="598"/>
        <v>134.6048332</v>
      </c>
      <c r="K599" s="1">
        <f t="shared" si="598"/>
        <v>111.7847734</v>
      </c>
      <c r="L599" s="1">
        <f t="shared" si="598"/>
        <v>174.4320737</v>
      </c>
      <c r="M599" s="1">
        <f t="shared" si="598"/>
        <v>46.18016911</v>
      </c>
      <c r="N599" s="1">
        <f t="shared" si="598"/>
        <v>110.5841822</v>
      </c>
      <c r="O599" s="1">
        <f t="shared" si="598"/>
        <v>106.3139213</v>
      </c>
      <c r="P599" s="1">
        <f t="shared" si="598"/>
        <v>82.01366894</v>
      </c>
      <c r="Q599" s="1">
        <f t="shared" si="598"/>
        <v>85.97011446</v>
      </c>
      <c r="R599" s="1">
        <f t="shared" si="598"/>
        <v>93.72940969</v>
      </c>
      <c r="S599" s="1">
        <f t="shared" si="598"/>
        <v>90.50236683</v>
      </c>
      <c r="T599" s="1">
        <f t="shared" si="598"/>
        <v>121.351753</v>
      </c>
      <c r="U599" s="1">
        <f t="shared" si="598"/>
        <v>116.7354483</v>
      </c>
    </row>
    <row r="600">
      <c r="A600" s="3">
        <f>IFERROR(__xludf.DUMMYFUNCTION("""COMPUTED_VALUE"""),44519.0)</f>
        <v>44519</v>
      </c>
      <c r="B600" s="1">
        <f t="shared" ref="B600:U600" si="599">IF($A600&gt;0,Megyeinapi!B600/'megyelakosság'!B$2*100000," ")</f>
        <v>157.1024651</v>
      </c>
      <c r="C600" s="1">
        <f t="shared" si="599"/>
        <v>123.3608737</v>
      </c>
      <c r="D600" s="1">
        <f t="shared" si="599"/>
        <v>145.8211059</v>
      </c>
      <c r="E600" s="1">
        <f t="shared" si="599"/>
        <v>128.8724524</v>
      </c>
      <c r="F600" s="1">
        <f t="shared" si="599"/>
        <v>93.70272012</v>
      </c>
      <c r="G600" s="1">
        <f t="shared" si="599"/>
        <v>151.6323067</v>
      </c>
      <c r="H600" s="1">
        <f t="shared" si="599"/>
        <v>90.53924602</v>
      </c>
      <c r="I600" s="1">
        <f t="shared" si="599"/>
        <v>95.10906897</v>
      </c>
      <c r="J600" s="1">
        <f t="shared" si="599"/>
        <v>148.2741534</v>
      </c>
      <c r="K600" s="1">
        <f t="shared" si="599"/>
        <v>149.6143766</v>
      </c>
      <c r="L600" s="1">
        <f t="shared" si="599"/>
        <v>171.1614723</v>
      </c>
      <c r="M600" s="1">
        <f t="shared" si="599"/>
        <v>64.78512932</v>
      </c>
      <c r="N600" s="1">
        <f t="shared" si="599"/>
        <v>103.6726708</v>
      </c>
      <c r="O600" s="1">
        <f t="shared" si="599"/>
        <v>106.699396</v>
      </c>
      <c r="P600" s="1">
        <f t="shared" si="599"/>
        <v>83.01383564</v>
      </c>
      <c r="Q600" s="1">
        <f t="shared" si="599"/>
        <v>97.26279898</v>
      </c>
      <c r="R600" s="1">
        <f t="shared" si="599"/>
        <v>121.1058214</v>
      </c>
      <c r="S600" s="1">
        <f t="shared" si="599"/>
        <v>87.35445842</v>
      </c>
      <c r="T600" s="1">
        <f t="shared" si="599"/>
        <v>139.2320838</v>
      </c>
      <c r="U600" s="1">
        <f t="shared" si="599"/>
        <v>118.9803608</v>
      </c>
    </row>
    <row r="601">
      <c r="A601" s="3">
        <f>IFERROR(__xludf.DUMMYFUNCTION("""COMPUTED_VALUE"""),44520.0)</f>
        <v>44520</v>
      </c>
      <c r="B601" s="1">
        <f t="shared" ref="B601:U601" si="600">IF($A601&gt;0,Megyeinapi!B601/'megyelakosság'!B$2*100000," ")</f>
        <v>0</v>
      </c>
      <c r="C601" s="1">
        <f t="shared" si="600"/>
        <v>0</v>
      </c>
      <c r="D601" s="1">
        <f t="shared" si="600"/>
        <v>0</v>
      </c>
      <c r="E601" s="1">
        <f t="shared" si="600"/>
        <v>0</v>
      </c>
      <c r="F601" s="1">
        <f t="shared" si="600"/>
        <v>0</v>
      </c>
      <c r="G601" s="1">
        <f t="shared" si="600"/>
        <v>0</v>
      </c>
      <c r="H601" s="1">
        <f t="shared" si="600"/>
        <v>0</v>
      </c>
      <c r="I601" s="1">
        <f t="shared" si="600"/>
        <v>0</v>
      </c>
      <c r="J601" s="1">
        <f t="shared" si="600"/>
        <v>0</v>
      </c>
      <c r="K601" s="1">
        <f t="shared" si="600"/>
        <v>0</v>
      </c>
      <c r="L601" s="1">
        <f t="shared" si="600"/>
        <v>0</v>
      </c>
      <c r="M601" s="1">
        <f t="shared" si="600"/>
        <v>0</v>
      </c>
      <c r="N601" s="1">
        <f t="shared" si="600"/>
        <v>0</v>
      </c>
      <c r="O601" s="1">
        <f t="shared" si="600"/>
        <v>0</v>
      </c>
      <c r="P601" s="1">
        <f t="shared" si="600"/>
        <v>0</v>
      </c>
      <c r="Q601" s="1">
        <f t="shared" si="600"/>
        <v>0</v>
      </c>
      <c r="R601" s="1">
        <f t="shared" si="600"/>
        <v>0</v>
      </c>
      <c r="S601" s="1">
        <f t="shared" si="600"/>
        <v>0</v>
      </c>
      <c r="T601" s="1">
        <f t="shared" si="600"/>
        <v>0</v>
      </c>
      <c r="U601" s="1">
        <f t="shared" si="600"/>
        <v>0</v>
      </c>
    </row>
    <row r="602">
      <c r="A602" s="3">
        <f>IFERROR(__xludf.DUMMYFUNCTION("""COMPUTED_VALUE"""),44521.0)</f>
        <v>44521</v>
      </c>
      <c r="B602" s="1">
        <f t="shared" ref="B602:U602" si="601">IF($A602&gt;0,Megyeinapi!B602/'megyelakosság'!B$2*100000," ")</f>
        <v>0</v>
      </c>
      <c r="C602" s="1">
        <f t="shared" si="601"/>
        <v>0</v>
      </c>
      <c r="D602" s="1">
        <f t="shared" si="601"/>
        <v>0</v>
      </c>
      <c r="E602" s="1">
        <f t="shared" si="601"/>
        <v>0</v>
      </c>
      <c r="F602" s="1">
        <f t="shared" si="601"/>
        <v>0</v>
      </c>
      <c r="G602" s="1">
        <f t="shared" si="601"/>
        <v>0</v>
      </c>
      <c r="H602" s="1">
        <f t="shared" si="601"/>
        <v>0</v>
      </c>
      <c r="I602" s="1">
        <f t="shared" si="601"/>
        <v>0</v>
      </c>
      <c r="J602" s="1">
        <f t="shared" si="601"/>
        <v>0</v>
      </c>
      <c r="K602" s="1">
        <f t="shared" si="601"/>
        <v>0</v>
      </c>
      <c r="L602" s="1">
        <f t="shared" si="601"/>
        <v>0</v>
      </c>
      <c r="M602" s="1">
        <f t="shared" si="601"/>
        <v>0</v>
      </c>
      <c r="N602" s="1">
        <f t="shared" si="601"/>
        <v>0</v>
      </c>
      <c r="O602" s="1">
        <f t="shared" si="601"/>
        <v>0</v>
      </c>
      <c r="P602" s="1">
        <f t="shared" si="601"/>
        <v>0</v>
      </c>
      <c r="Q602" s="1">
        <f t="shared" si="601"/>
        <v>0</v>
      </c>
      <c r="R602" s="1">
        <f t="shared" si="601"/>
        <v>0</v>
      </c>
      <c r="S602" s="1">
        <f t="shared" si="601"/>
        <v>0</v>
      </c>
      <c r="T602" s="1">
        <f t="shared" si="601"/>
        <v>0</v>
      </c>
      <c r="U602" s="1">
        <f t="shared" si="601"/>
        <v>0</v>
      </c>
    </row>
    <row r="603">
      <c r="A603" s="3">
        <f>IFERROR(__xludf.DUMMYFUNCTION("""COMPUTED_VALUE"""),44522.0)</f>
        <v>44522</v>
      </c>
      <c r="B603" s="1">
        <f t="shared" ref="B603:U603" si="602">IF($A603&gt;0,Megyeinapi!B603/'megyelakosság'!B$2*100000," ")</f>
        <v>401.4177054</v>
      </c>
      <c r="C603" s="1">
        <f t="shared" si="602"/>
        <v>272.8976439</v>
      </c>
      <c r="D603" s="1">
        <f t="shared" si="602"/>
        <v>315.8448851</v>
      </c>
      <c r="E603" s="1">
        <f t="shared" si="602"/>
        <v>291.3365062</v>
      </c>
      <c r="F603" s="1">
        <f t="shared" si="602"/>
        <v>229.6859359</v>
      </c>
      <c r="G603" s="1">
        <f t="shared" si="602"/>
        <v>418.4951247</v>
      </c>
      <c r="H603" s="1">
        <f t="shared" si="602"/>
        <v>238.8898312</v>
      </c>
      <c r="I603" s="1">
        <f t="shared" si="602"/>
        <v>264.6145652</v>
      </c>
      <c r="J603" s="1">
        <f t="shared" si="602"/>
        <v>360.9080226</v>
      </c>
      <c r="K603" s="1">
        <f t="shared" si="602"/>
        <v>238.9058724</v>
      </c>
      <c r="L603" s="1">
        <f t="shared" si="602"/>
        <v>388.3839141</v>
      </c>
      <c r="M603" s="1">
        <f t="shared" si="602"/>
        <v>175.4181963</v>
      </c>
      <c r="N603" s="1">
        <f t="shared" si="602"/>
        <v>265.8273611</v>
      </c>
      <c r="O603" s="1">
        <f t="shared" si="602"/>
        <v>267.9820091</v>
      </c>
      <c r="P603" s="1">
        <f t="shared" si="602"/>
        <v>230.3717286</v>
      </c>
      <c r="Q603" s="1">
        <f t="shared" si="602"/>
        <v>225.1251302</v>
      </c>
      <c r="R603" s="1">
        <f t="shared" si="602"/>
        <v>231.0754754</v>
      </c>
      <c r="S603" s="1">
        <f t="shared" si="602"/>
        <v>255.3740699</v>
      </c>
      <c r="T603" s="1">
        <f t="shared" si="602"/>
        <v>254.7214332</v>
      </c>
      <c r="U603" s="1">
        <f t="shared" si="602"/>
        <v>336.7368701</v>
      </c>
    </row>
    <row r="604">
      <c r="A604" s="3">
        <f>IFERROR(__xludf.DUMMYFUNCTION("""COMPUTED_VALUE"""),44523.0)</f>
        <v>44523</v>
      </c>
      <c r="B604" s="1">
        <f t="shared" ref="B604:U604" si="603">IF($A604&gt;0,Megyeinapi!B604/'megyelakosság'!B$2*100000," ")</f>
        <v>95.37652821</v>
      </c>
      <c r="C604" s="1">
        <f t="shared" si="603"/>
        <v>96.34957631</v>
      </c>
      <c r="D604" s="1">
        <f t="shared" si="603"/>
        <v>80.77642176</v>
      </c>
      <c r="E604" s="1">
        <f t="shared" si="603"/>
        <v>32.80675097</v>
      </c>
      <c r="F604" s="1">
        <f t="shared" si="603"/>
        <v>57.707163</v>
      </c>
      <c r="G604" s="1">
        <f t="shared" si="603"/>
        <v>57.74077905</v>
      </c>
      <c r="H604" s="1">
        <f t="shared" si="603"/>
        <v>45.86684759</v>
      </c>
      <c r="I604" s="1">
        <f t="shared" si="603"/>
        <v>39.52310199</v>
      </c>
      <c r="J604" s="1">
        <f t="shared" si="603"/>
        <v>71.00452417</v>
      </c>
      <c r="K604" s="1">
        <f t="shared" si="603"/>
        <v>83.49777282</v>
      </c>
      <c r="L604" s="1">
        <f t="shared" si="603"/>
        <v>168.7085213</v>
      </c>
      <c r="M604" s="1">
        <f t="shared" si="603"/>
        <v>57.47603781</v>
      </c>
      <c r="N604" s="1">
        <f t="shared" si="603"/>
        <v>74.4316611</v>
      </c>
      <c r="O604" s="1">
        <f t="shared" si="603"/>
        <v>63.91170471</v>
      </c>
      <c r="P604" s="1">
        <f t="shared" si="603"/>
        <v>29.67161194</v>
      </c>
      <c r="Q604" s="1">
        <f t="shared" si="603"/>
        <v>78.86665161</v>
      </c>
      <c r="R604" s="1">
        <f t="shared" si="603"/>
        <v>81.66522825</v>
      </c>
      <c r="S604" s="1">
        <f t="shared" si="603"/>
        <v>49.18606893</v>
      </c>
      <c r="T604" s="1">
        <f t="shared" si="603"/>
        <v>68.29700109</v>
      </c>
      <c r="U604" s="1">
        <f t="shared" si="603"/>
        <v>60.61263661</v>
      </c>
    </row>
    <row r="605">
      <c r="A605" s="3">
        <f>IFERROR(__xludf.DUMMYFUNCTION("""COMPUTED_VALUE"""),44524.0)</f>
        <v>44524</v>
      </c>
      <c r="B605" s="1">
        <f t="shared" ref="B605:U605" si="604">IF($A605&gt;0,Megyeinapi!B605/'megyelakosság'!B$2*100000," ")</f>
        <v>173.230855</v>
      </c>
      <c r="C605" s="1">
        <f t="shared" si="604"/>
        <v>187.129813</v>
      </c>
      <c r="D605" s="1">
        <f t="shared" si="604"/>
        <v>135.2324364</v>
      </c>
      <c r="E605" s="1">
        <f t="shared" si="604"/>
        <v>132.1688245</v>
      </c>
      <c r="F605" s="1">
        <f t="shared" si="604"/>
        <v>113.357437</v>
      </c>
      <c r="G605" s="1">
        <f t="shared" si="604"/>
        <v>115.9836518</v>
      </c>
      <c r="H605" s="1">
        <f t="shared" si="604"/>
        <v>112.0393308</v>
      </c>
      <c r="I605" s="1">
        <f t="shared" si="604"/>
        <v>85.59816207</v>
      </c>
      <c r="J605" s="1">
        <f t="shared" si="604"/>
        <v>127.2006182</v>
      </c>
      <c r="K605" s="1">
        <f t="shared" si="604"/>
        <v>119.2825326</v>
      </c>
      <c r="L605" s="1">
        <f t="shared" si="604"/>
        <v>168.7085213</v>
      </c>
      <c r="M605" s="1">
        <f t="shared" si="604"/>
        <v>58.47273211</v>
      </c>
      <c r="N605" s="1">
        <f t="shared" si="604"/>
        <v>126.0021692</v>
      </c>
      <c r="O605" s="1">
        <f t="shared" si="604"/>
        <v>139.5418402</v>
      </c>
      <c r="P605" s="1">
        <f t="shared" si="604"/>
        <v>112.0186698</v>
      </c>
      <c r="Q605" s="1">
        <f t="shared" si="604"/>
        <v>134.6015139</v>
      </c>
      <c r="R605" s="1">
        <f t="shared" si="604"/>
        <v>121.1058214</v>
      </c>
      <c r="S605" s="1">
        <f t="shared" si="604"/>
        <v>145.9842526</v>
      </c>
      <c r="T605" s="1">
        <f t="shared" si="604"/>
        <v>136.300882</v>
      </c>
      <c r="U605" s="1">
        <f t="shared" si="604"/>
        <v>169.1167392</v>
      </c>
    </row>
    <row r="606">
      <c r="A606" s="3">
        <f>IFERROR(__xludf.DUMMYFUNCTION("""COMPUTED_VALUE"""),44525.0)</f>
        <v>44525</v>
      </c>
      <c r="B606" s="1">
        <f t="shared" ref="B606:U606" si="605">IF($A606&gt;0,Megyeinapi!B606/'megyelakosság'!B$2*100000," ")</f>
        <v>156.7042332</v>
      </c>
      <c r="C606" s="1">
        <f t="shared" si="605"/>
        <v>144.8028315</v>
      </c>
      <c r="D606" s="1">
        <f t="shared" si="605"/>
        <v>109.5170962</v>
      </c>
      <c r="E606" s="1">
        <f t="shared" si="605"/>
        <v>137.9767182</v>
      </c>
      <c r="F606" s="1">
        <f t="shared" si="605"/>
        <v>101.644597</v>
      </c>
      <c r="G606" s="1">
        <f t="shared" si="605"/>
        <v>153.6406816</v>
      </c>
      <c r="H606" s="1">
        <f t="shared" si="605"/>
        <v>115.1448986</v>
      </c>
      <c r="I606" s="1">
        <f t="shared" si="605"/>
        <v>103.9859154</v>
      </c>
      <c r="J606" s="1">
        <f t="shared" si="605"/>
        <v>129.2889865</v>
      </c>
      <c r="K606" s="1">
        <f t="shared" si="605"/>
        <v>116.5560747</v>
      </c>
      <c r="L606" s="1">
        <f t="shared" si="605"/>
        <v>173.3418732</v>
      </c>
      <c r="M606" s="1">
        <f t="shared" si="605"/>
        <v>73.755378</v>
      </c>
      <c r="N606" s="1">
        <f t="shared" si="605"/>
        <v>132.9136805</v>
      </c>
      <c r="O606" s="1">
        <f t="shared" si="605"/>
        <v>120.2681054</v>
      </c>
      <c r="P606" s="1">
        <f t="shared" si="605"/>
        <v>109.0181697</v>
      </c>
      <c r="Q606" s="1">
        <f t="shared" si="605"/>
        <v>116.5696467</v>
      </c>
      <c r="R606" s="1">
        <f t="shared" si="605"/>
        <v>132.7059959</v>
      </c>
      <c r="S606" s="1">
        <f t="shared" si="605"/>
        <v>118.440054</v>
      </c>
      <c r="T606" s="1">
        <f t="shared" si="605"/>
        <v>179.6826681</v>
      </c>
      <c r="U606" s="1">
        <f t="shared" si="605"/>
        <v>147.4159187</v>
      </c>
    </row>
    <row r="607">
      <c r="A607" s="3">
        <f>IFERROR(__xludf.DUMMYFUNCTION("""COMPUTED_VALUE"""),44526.0)</f>
        <v>44526</v>
      </c>
      <c r="B607" s="1">
        <f t="shared" ref="B607:U607" si="606">IF($A607&gt;0,Megyeinapi!B607/'megyelakosság'!B$2*100000," ")</f>
        <v>165.0671021</v>
      </c>
      <c r="C607" s="1">
        <f t="shared" si="606"/>
        <v>140.3473597</v>
      </c>
      <c r="D607" s="1">
        <f t="shared" si="606"/>
        <v>128.8792347</v>
      </c>
      <c r="E607" s="1">
        <f t="shared" si="606"/>
        <v>128.244572</v>
      </c>
      <c r="F607" s="1">
        <f t="shared" si="606"/>
        <v>92.44573241</v>
      </c>
      <c r="G607" s="1">
        <f t="shared" si="606"/>
        <v>158.1595252</v>
      </c>
      <c r="H607" s="1">
        <f t="shared" si="606"/>
        <v>106.3059749</v>
      </c>
      <c r="I607" s="1">
        <f t="shared" si="606"/>
        <v>140.7614221</v>
      </c>
      <c r="J607" s="1">
        <f t="shared" si="606"/>
        <v>151.6914834</v>
      </c>
      <c r="K607" s="1">
        <f t="shared" si="606"/>
        <v>116.896882</v>
      </c>
      <c r="L607" s="1">
        <f t="shared" si="606"/>
        <v>142.8162603</v>
      </c>
      <c r="M607" s="1">
        <f t="shared" si="606"/>
        <v>80.73223808</v>
      </c>
      <c r="N607" s="1">
        <f t="shared" si="606"/>
        <v>86.65971971</v>
      </c>
      <c r="O607" s="1">
        <f t="shared" si="606"/>
        <v>102.8446491</v>
      </c>
      <c r="P607" s="1">
        <f t="shared" si="606"/>
        <v>115.0191699</v>
      </c>
      <c r="Q607" s="1">
        <f t="shared" si="606"/>
        <v>136.7871948</v>
      </c>
      <c r="R607" s="1">
        <f t="shared" si="606"/>
        <v>123.4258563</v>
      </c>
      <c r="S607" s="1">
        <f t="shared" si="606"/>
        <v>114.5051685</v>
      </c>
      <c r="T607" s="1">
        <f t="shared" si="606"/>
        <v>168.8372216</v>
      </c>
      <c r="U607" s="1">
        <f t="shared" si="606"/>
        <v>112.6197754</v>
      </c>
    </row>
    <row r="608">
      <c r="A608" s="3">
        <f>IFERROR(__xludf.DUMMYFUNCTION("""COMPUTED_VALUE"""),44527.0)</f>
        <v>44527</v>
      </c>
      <c r="B608" s="1">
        <f t="shared" ref="B608:U608" si="607">IF($A608&gt;0,Megyeinapi!B608/'megyelakosság'!B$2*100000," ")</f>
        <v>0</v>
      </c>
      <c r="C608" s="1">
        <f t="shared" si="607"/>
        <v>0</v>
      </c>
      <c r="D608" s="1">
        <f t="shared" si="607"/>
        <v>0</v>
      </c>
      <c r="E608" s="1">
        <f t="shared" si="607"/>
        <v>0</v>
      </c>
      <c r="F608" s="1">
        <f t="shared" si="607"/>
        <v>0</v>
      </c>
      <c r="G608" s="1">
        <f t="shared" si="607"/>
        <v>0</v>
      </c>
      <c r="H608" s="1">
        <f t="shared" si="607"/>
        <v>0</v>
      </c>
      <c r="I608" s="1">
        <f t="shared" si="607"/>
        <v>0</v>
      </c>
      <c r="J608" s="1">
        <f t="shared" si="607"/>
        <v>0</v>
      </c>
      <c r="K608" s="1">
        <f t="shared" si="607"/>
        <v>0</v>
      </c>
      <c r="L608" s="1">
        <f t="shared" si="607"/>
        <v>0</v>
      </c>
      <c r="M608" s="1">
        <f t="shared" si="607"/>
        <v>0</v>
      </c>
      <c r="N608" s="1">
        <f t="shared" si="607"/>
        <v>0</v>
      </c>
      <c r="O608" s="1">
        <f t="shared" si="607"/>
        <v>0</v>
      </c>
      <c r="P608" s="1">
        <f t="shared" si="607"/>
        <v>0</v>
      </c>
      <c r="Q608" s="1">
        <f t="shared" si="607"/>
        <v>0</v>
      </c>
      <c r="R608" s="1">
        <f t="shared" si="607"/>
        <v>0</v>
      </c>
      <c r="S608" s="1">
        <f t="shared" si="607"/>
        <v>0</v>
      </c>
      <c r="T608" s="1">
        <f t="shared" si="607"/>
        <v>0</v>
      </c>
      <c r="U608" s="1">
        <f t="shared" si="607"/>
        <v>0</v>
      </c>
    </row>
    <row r="609">
      <c r="A609" s="3">
        <f>IFERROR(__xludf.DUMMYFUNCTION("""COMPUTED_VALUE"""),44528.0)</f>
        <v>44528</v>
      </c>
      <c r="B609" s="1">
        <f t="shared" ref="B609:U609" si="608">IF($A609&gt;0,Megyeinapi!B609/'megyelakosság'!B$2*100000," ")</f>
        <v>0</v>
      </c>
      <c r="C609" s="1">
        <f t="shared" si="608"/>
        <v>0</v>
      </c>
      <c r="D609" s="1">
        <f t="shared" si="608"/>
        <v>0</v>
      </c>
      <c r="E609" s="1">
        <f t="shared" si="608"/>
        <v>0</v>
      </c>
      <c r="F609" s="1">
        <f t="shared" si="608"/>
        <v>0</v>
      </c>
      <c r="G609" s="1">
        <f t="shared" si="608"/>
        <v>0</v>
      </c>
      <c r="H609" s="1">
        <f t="shared" si="608"/>
        <v>0</v>
      </c>
      <c r="I609" s="1">
        <f t="shared" si="608"/>
        <v>0</v>
      </c>
      <c r="J609" s="1">
        <f t="shared" si="608"/>
        <v>0</v>
      </c>
      <c r="K609" s="1">
        <f t="shared" si="608"/>
        <v>0</v>
      </c>
      <c r="L609" s="1">
        <f t="shared" si="608"/>
        <v>0</v>
      </c>
      <c r="M609" s="1">
        <f t="shared" si="608"/>
        <v>0</v>
      </c>
      <c r="N609" s="1">
        <f t="shared" si="608"/>
        <v>0</v>
      </c>
      <c r="O609" s="1">
        <f t="shared" si="608"/>
        <v>0</v>
      </c>
      <c r="P609" s="1">
        <f t="shared" si="608"/>
        <v>0</v>
      </c>
      <c r="Q609" s="1">
        <f t="shared" si="608"/>
        <v>0</v>
      </c>
      <c r="R609" s="1">
        <f t="shared" si="608"/>
        <v>0</v>
      </c>
      <c r="S609" s="1">
        <f t="shared" si="608"/>
        <v>0</v>
      </c>
      <c r="T609" s="1">
        <f t="shared" si="608"/>
        <v>0</v>
      </c>
      <c r="U609" s="1">
        <f t="shared" si="608"/>
        <v>0</v>
      </c>
    </row>
    <row r="610">
      <c r="A610" s="3">
        <f>IFERROR(__xludf.DUMMYFUNCTION("""COMPUTED_VALUE"""),44529.0)</f>
        <v>44529</v>
      </c>
      <c r="B610" s="1">
        <f t="shared" ref="B610:U610" si="609">IF($A610&gt;0,Megyeinapi!B610/'megyelakosság'!B$2*100000," ")</f>
        <v>381.5061129</v>
      </c>
      <c r="C610" s="1">
        <f t="shared" si="609"/>
        <v>291.2764648</v>
      </c>
      <c r="D610" s="1">
        <f t="shared" si="609"/>
        <v>261.086337</v>
      </c>
      <c r="E610" s="1">
        <f t="shared" si="609"/>
        <v>292.2783268</v>
      </c>
      <c r="F610" s="1">
        <f t="shared" si="609"/>
        <v>208.6599597</v>
      </c>
      <c r="G610" s="1">
        <f t="shared" si="609"/>
        <v>371.8004077</v>
      </c>
      <c r="H610" s="1">
        <f t="shared" si="609"/>
        <v>267.3177211</v>
      </c>
      <c r="I610" s="1">
        <f t="shared" si="609"/>
        <v>264.4032117</v>
      </c>
      <c r="J610" s="1">
        <f t="shared" si="609"/>
        <v>315.343622</v>
      </c>
      <c r="K610" s="1">
        <f t="shared" si="609"/>
        <v>289.0045361</v>
      </c>
      <c r="L610" s="1">
        <f t="shared" si="609"/>
        <v>366.3073548</v>
      </c>
      <c r="M610" s="1">
        <f t="shared" si="609"/>
        <v>207.6446453</v>
      </c>
      <c r="N610" s="1">
        <f t="shared" si="609"/>
        <v>318.4611786</v>
      </c>
      <c r="O610" s="1">
        <f t="shared" si="609"/>
        <v>262.5853634</v>
      </c>
      <c r="P610" s="1">
        <f t="shared" si="609"/>
        <v>234.3723954</v>
      </c>
      <c r="Q610" s="1">
        <f t="shared" si="609"/>
        <v>313.4630656</v>
      </c>
      <c r="R610" s="1">
        <f t="shared" si="609"/>
        <v>305.7805989</v>
      </c>
      <c r="S610" s="1">
        <f t="shared" si="609"/>
        <v>269.5396577</v>
      </c>
      <c r="T610" s="1">
        <f t="shared" si="609"/>
        <v>366.1071003</v>
      </c>
      <c r="U610" s="1">
        <f t="shared" si="609"/>
        <v>426.5333688</v>
      </c>
    </row>
    <row r="611">
      <c r="A611" s="3">
        <f>IFERROR(__xludf.DUMMYFUNCTION("""COMPUTED_VALUE"""),44530.0)</f>
        <v>44530</v>
      </c>
      <c r="B611" s="1">
        <f t="shared" ref="B611:U611" si="610">IF($A611&gt;0,Megyeinapi!B611/'megyelakosság'!B$2*100000," ")</f>
        <v>73.47377643</v>
      </c>
      <c r="C611" s="1">
        <f t="shared" si="610"/>
        <v>107.7667226</v>
      </c>
      <c r="D611" s="1">
        <f t="shared" si="610"/>
        <v>60.20414955</v>
      </c>
      <c r="E611" s="1">
        <f t="shared" si="610"/>
        <v>25.58612635</v>
      </c>
      <c r="F611" s="1">
        <f t="shared" si="610"/>
        <v>47.42271811</v>
      </c>
      <c r="G611" s="1">
        <f t="shared" si="610"/>
        <v>51.21356055</v>
      </c>
      <c r="H611" s="1">
        <f t="shared" si="610"/>
        <v>27.23344075</v>
      </c>
      <c r="I611" s="1">
        <f t="shared" si="610"/>
        <v>79.25755747</v>
      </c>
      <c r="J611" s="1">
        <f t="shared" si="610"/>
        <v>83.91443765</v>
      </c>
      <c r="K611" s="1">
        <f t="shared" si="610"/>
        <v>92.01795373</v>
      </c>
      <c r="L611" s="1">
        <f t="shared" si="610"/>
        <v>107.6572955</v>
      </c>
      <c r="M611" s="1">
        <f t="shared" si="610"/>
        <v>90.36694962</v>
      </c>
      <c r="N611" s="1">
        <f t="shared" si="610"/>
        <v>54.22878166</v>
      </c>
      <c r="O611" s="1">
        <f t="shared" si="610"/>
        <v>62.83237556</v>
      </c>
      <c r="P611" s="1">
        <f t="shared" si="610"/>
        <v>38.67311219</v>
      </c>
      <c r="Q611" s="1">
        <f t="shared" si="610"/>
        <v>79.5952119</v>
      </c>
      <c r="R611" s="1">
        <f t="shared" si="610"/>
        <v>76.0971445</v>
      </c>
      <c r="S611" s="1">
        <f t="shared" si="610"/>
        <v>76.33677898</v>
      </c>
      <c r="T611" s="1">
        <f t="shared" si="610"/>
        <v>103.7645424</v>
      </c>
      <c r="U611" s="1">
        <f t="shared" si="610"/>
        <v>70.34059064</v>
      </c>
    </row>
    <row r="612">
      <c r="A612" s="3">
        <f>IFERROR(__xludf.DUMMYFUNCTION("""COMPUTED_VALUE"""),44531.0)</f>
        <v>44531</v>
      </c>
      <c r="B612" s="1">
        <f t="shared" ref="B612:U612" si="611">IF($A612&gt;0,Megyeinapi!B612/'megyelakosság'!B$2*100000," ")</f>
        <v>161.6821313</v>
      </c>
      <c r="C612" s="1">
        <f t="shared" si="611"/>
        <v>153.9922419</v>
      </c>
      <c r="D612" s="1">
        <f t="shared" si="611"/>
        <v>104.3740281</v>
      </c>
      <c r="E612" s="1">
        <f t="shared" si="611"/>
        <v>94.4960004</v>
      </c>
      <c r="F612" s="1">
        <f t="shared" si="611"/>
        <v>86.84642353</v>
      </c>
      <c r="G612" s="1">
        <f t="shared" si="611"/>
        <v>82.84546559</v>
      </c>
      <c r="H612" s="1">
        <f t="shared" si="611"/>
        <v>110.1282122</v>
      </c>
      <c r="I612" s="1">
        <f t="shared" si="611"/>
        <v>51.78160422</v>
      </c>
      <c r="J612" s="1">
        <f t="shared" si="611"/>
        <v>105.1778246</v>
      </c>
      <c r="K612" s="1">
        <f t="shared" si="611"/>
        <v>94.40360438</v>
      </c>
      <c r="L612" s="1">
        <f t="shared" si="611"/>
        <v>178.7928755</v>
      </c>
      <c r="M612" s="1">
        <f t="shared" si="611"/>
        <v>121.5967043</v>
      </c>
      <c r="N612" s="1">
        <f t="shared" si="611"/>
        <v>95.16619527</v>
      </c>
      <c r="O612" s="1">
        <f t="shared" si="611"/>
        <v>123.5060928</v>
      </c>
      <c r="P612" s="1">
        <f t="shared" si="611"/>
        <v>92.68211369</v>
      </c>
      <c r="Q612" s="1">
        <f t="shared" si="611"/>
        <v>121.6695688</v>
      </c>
      <c r="R612" s="1">
        <f t="shared" si="611"/>
        <v>121.1058214</v>
      </c>
      <c r="S612" s="1">
        <f t="shared" si="611"/>
        <v>153.8540236</v>
      </c>
      <c r="T612" s="1">
        <f t="shared" si="611"/>
        <v>163.8541786</v>
      </c>
      <c r="U612" s="1">
        <f t="shared" si="611"/>
        <v>184.4569744</v>
      </c>
    </row>
    <row r="613">
      <c r="A613" s="3">
        <f>IFERROR(__xludf.DUMMYFUNCTION("""COMPUTED_VALUE"""),44532.0)</f>
        <v>44532</v>
      </c>
      <c r="B613" s="1">
        <f t="shared" ref="B613:U613" si="612">IF($A613&gt;0,Megyeinapi!B613/'megyelakosság'!B$2*100000," ")</f>
        <v>120.2660189</v>
      </c>
      <c r="C613" s="1">
        <f t="shared" si="612"/>
        <v>148.9798362</v>
      </c>
      <c r="D613" s="1">
        <f t="shared" si="612"/>
        <v>91.06255786</v>
      </c>
      <c r="E613" s="1">
        <f t="shared" si="612"/>
        <v>118.3554557</v>
      </c>
      <c r="F613" s="1">
        <f t="shared" si="612"/>
        <v>89.07471992</v>
      </c>
      <c r="G613" s="1">
        <f t="shared" si="612"/>
        <v>129.0380888</v>
      </c>
      <c r="H613" s="1">
        <f t="shared" si="612"/>
        <v>84.80589007</v>
      </c>
      <c r="I613" s="1">
        <f t="shared" si="612"/>
        <v>87.71169694</v>
      </c>
      <c r="J613" s="1">
        <f t="shared" si="612"/>
        <v>120.3659581</v>
      </c>
      <c r="K613" s="1">
        <f t="shared" si="612"/>
        <v>117.9193037</v>
      </c>
      <c r="L613" s="1">
        <f t="shared" si="612"/>
        <v>103.0239435</v>
      </c>
      <c r="M613" s="1">
        <f t="shared" si="612"/>
        <v>72.09422083</v>
      </c>
      <c r="N613" s="1">
        <f t="shared" si="612"/>
        <v>117.4956936</v>
      </c>
      <c r="O613" s="1">
        <f t="shared" si="612"/>
        <v>104.8491175</v>
      </c>
      <c r="P613" s="1">
        <f t="shared" si="612"/>
        <v>82.34705784</v>
      </c>
      <c r="Q613" s="1">
        <f t="shared" si="612"/>
        <v>110.9233045</v>
      </c>
      <c r="R613" s="1">
        <f t="shared" si="612"/>
        <v>114.6097237</v>
      </c>
      <c r="S613" s="1">
        <f t="shared" si="612"/>
        <v>113.7181914</v>
      </c>
      <c r="T613" s="1">
        <f t="shared" si="612"/>
        <v>147.4394487</v>
      </c>
      <c r="U613" s="1">
        <f t="shared" si="612"/>
        <v>141.4294854</v>
      </c>
    </row>
    <row r="614">
      <c r="A614" s="3">
        <f>IFERROR(__xludf.DUMMYFUNCTION("""COMPUTED_VALUE"""),44533.0)</f>
        <v>44533</v>
      </c>
      <c r="B614" s="1">
        <f t="shared" ref="B614:U614" si="613">IF($A614&gt;0,Megyeinapi!B614/'megyelakosság'!B$2*100000," ")</f>
        <v>130.2218151</v>
      </c>
      <c r="C614" s="1">
        <f t="shared" si="613"/>
        <v>108.0451896</v>
      </c>
      <c r="D614" s="1">
        <f t="shared" si="613"/>
        <v>81.684022</v>
      </c>
      <c r="E614" s="1">
        <f t="shared" si="613"/>
        <v>104.5420868</v>
      </c>
      <c r="F614" s="1">
        <f t="shared" si="613"/>
        <v>72.33392907</v>
      </c>
      <c r="G614" s="1">
        <f t="shared" si="613"/>
        <v>103.6823554</v>
      </c>
      <c r="H614" s="1">
        <f t="shared" si="613"/>
        <v>105.8281952</v>
      </c>
      <c r="I614" s="1">
        <f t="shared" si="613"/>
        <v>86.44357602</v>
      </c>
      <c r="J614" s="1">
        <f t="shared" si="613"/>
        <v>121.5050681</v>
      </c>
      <c r="K614" s="1">
        <f t="shared" si="613"/>
        <v>98.49329121</v>
      </c>
      <c r="L614" s="1">
        <f t="shared" si="613"/>
        <v>107.6572955</v>
      </c>
      <c r="M614" s="1">
        <f t="shared" si="613"/>
        <v>129.5702586</v>
      </c>
      <c r="N614" s="1">
        <f t="shared" si="613"/>
        <v>80.27986305</v>
      </c>
      <c r="O614" s="1">
        <f t="shared" si="613"/>
        <v>94.74968044</v>
      </c>
      <c r="P614" s="1">
        <f t="shared" si="613"/>
        <v>88.01466911</v>
      </c>
      <c r="Q614" s="1">
        <f t="shared" si="613"/>
        <v>124.2195298</v>
      </c>
      <c r="R614" s="1">
        <f t="shared" si="613"/>
        <v>95.12143063</v>
      </c>
      <c r="S614" s="1">
        <f t="shared" si="613"/>
        <v>138.9014587</v>
      </c>
      <c r="T614" s="1">
        <f t="shared" si="613"/>
        <v>180.8551488</v>
      </c>
      <c r="U614" s="1">
        <f t="shared" si="613"/>
        <v>156.7697206</v>
      </c>
    </row>
    <row r="615">
      <c r="A615" s="3">
        <f>IFERROR(__xludf.DUMMYFUNCTION("""COMPUTED_VALUE"""),44534.0)</f>
        <v>44534</v>
      </c>
      <c r="B615" s="1">
        <f t="shared" ref="B615:U615" si="614">IF($A615&gt;0,Megyeinapi!B615/'megyelakosság'!B$2*100000," ")</f>
        <v>0</v>
      </c>
      <c r="C615" s="1">
        <f t="shared" si="614"/>
        <v>0</v>
      </c>
      <c r="D615" s="1">
        <f t="shared" si="614"/>
        <v>0</v>
      </c>
      <c r="E615" s="1">
        <f t="shared" si="614"/>
        <v>0</v>
      </c>
      <c r="F615" s="1">
        <f t="shared" si="614"/>
        <v>0</v>
      </c>
      <c r="G615" s="1">
        <f t="shared" si="614"/>
        <v>0</v>
      </c>
      <c r="H615" s="1">
        <f t="shared" si="614"/>
        <v>0</v>
      </c>
      <c r="I615" s="1">
        <f t="shared" si="614"/>
        <v>0</v>
      </c>
      <c r="J615" s="1">
        <f t="shared" si="614"/>
        <v>0</v>
      </c>
      <c r="K615" s="1">
        <f t="shared" si="614"/>
        <v>0</v>
      </c>
      <c r="L615" s="1">
        <f t="shared" si="614"/>
        <v>0</v>
      </c>
      <c r="M615" s="1">
        <f t="shared" si="614"/>
        <v>0</v>
      </c>
      <c r="N615" s="1">
        <f t="shared" si="614"/>
        <v>0</v>
      </c>
      <c r="O615" s="1">
        <f t="shared" si="614"/>
        <v>0</v>
      </c>
      <c r="P615" s="1">
        <f t="shared" si="614"/>
        <v>0</v>
      </c>
      <c r="Q615" s="1">
        <f t="shared" si="614"/>
        <v>0</v>
      </c>
      <c r="R615" s="1">
        <f t="shared" si="614"/>
        <v>0</v>
      </c>
      <c r="S615" s="1">
        <f t="shared" si="614"/>
        <v>0</v>
      </c>
      <c r="T615" s="1">
        <f t="shared" si="614"/>
        <v>0</v>
      </c>
      <c r="U615" s="1">
        <f t="shared" si="614"/>
        <v>0</v>
      </c>
    </row>
    <row r="616">
      <c r="A616" s="3">
        <f>IFERROR(__xludf.DUMMYFUNCTION("""COMPUTED_VALUE"""),44535.0)</f>
        <v>44535</v>
      </c>
      <c r="B616" s="1">
        <f t="shared" ref="B616:U616" si="615">IF($A616&gt;0,Megyeinapi!B616/'megyelakosság'!B$2*100000," ")</f>
        <v>0</v>
      </c>
      <c r="C616" s="1">
        <f t="shared" si="615"/>
        <v>0</v>
      </c>
      <c r="D616" s="1">
        <f t="shared" si="615"/>
        <v>0</v>
      </c>
      <c r="E616" s="1">
        <f t="shared" si="615"/>
        <v>0</v>
      </c>
      <c r="F616" s="1">
        <f t="shared" si="615"/>
        <v>0</v>
      </c>
      <c r="G616" s="1">
        <f t="shared" si="615"/>
        <v>0</v>
      </c>
      <c r="H616" s="1">
        <f t="shared" si="615"/>
        <v>0</v>
      </c>
      <c r="I616" s="1">
        <f t="shared" si="615"/>
        <v>0</v>
      </c>
      <c r="J616" s="1">
        <f t="shared" si="615"/>
        <v>0</v>
      </c>
      <c r="K616" s="1">
        <f t="shared" si="615"/>
        <v>0</v>
      </c>
      <c r="L616" s="1">
        <f t="shared" si="615"/>
        <v>0</v>
      </c>
      <c r="M616" s="1">
        <f t="shared" si="615"/>
        <v>0</v>
      </c>
      <c r="N616" s="1">
        <f t="shared" si="615"/>
        <v>0</v>
      </c>
      <c r="O616" s="1">
        <f t="shared" si="615"/>
        <v>0</v>
      </c>
      <c r="P616" s="1">
        <f t="shared" si="615"/>
        <v>0</v>
      </c>
      <c r="Q616" s="1">
        <f t="shared" si="615"/>
        <v>0</v>
      </c>
      <c r="R616" s="1">
        <f t="shared" si="615"/>
        <v>0</v>
      </c>
      <c r="S616" s="1">
        <f t="shared" si="615"/>
        <v>0</v>
      </c>
      <c r="T616" s="1">
        <f t="shared" si="615"/>
        <v>0</v>
      </c>
      <c r="U616" s="1">
        <f t="shared" si="615"/>
        <v>0</v>
      </c>
    </row>
    <row r="617">
      <c r="A617" s="3">
        <f>IFERROR(__xludf.DUMMYFUNCTION("""COMPUTED_VALUE"""),44536.0)</f>
        <v>44536</v>
      </c>
      <c r="B617" s="1">
        <f t="shared" ref="B617:U617" si="616">IF($A617&gt;0,Megyeinapi!B617/'megyelakosság'!B$2*100000," ")</f>
        <v>270.2003106</v>
      </c>
      <c r="C617" s="1">
        <f t="shared" si="616"/>
        <v>245.8863465</v>
      </c>
      <c r="D617" s="1">
        <f t="shared" si="616"/>
        <v>173.3516467</v>
      </c>
      <c r="E617" s="1">
        <f t="shared" si="616"/>
        <v>218.5023797</v>
      </c>
      <c r="F617" s="1">
        <f t="shared" si="616"/>
        <v>167.5221801</v>
      </c>
      <c r="G617" s="1">
        <f t="shared" si="616"/>
        <v>277.1557394</v>
      </c>
      <c r="H617" s="1">
        <f t="shared" si="616"/>
        <v>230.5286871</v>
      </c>
      <c r="I617" s="1">
        <f t="shared" si="616"/>
        <v>288.0748022</v>
      </c>
      <c r="J617" s="1">
        <f t="shared" si="616"/>
        <v>269.9690732</v>
      </c>
      <c r="K617" s="1">
        <f t="shared" si="616"/>
        <v>177.9013772</v>
      </c>
      <c r="L617" s="1">
        <f t="shared" si="616"/>
        <v>267.9167632</v>
      </c>
      <c r="M617" s="1">
        <f t="shared" si="616"/>
        <v>259.4727487</v>
      </c>
      <c r="N617" s="1">
        <f t="shared" si="616"/>
        <v>283.3719669</v>
      </c>
      <c r="O617" s="1">
        <f t="shared" si="616"/>
        <v>214.5552162</v>
      </c>
      <c r="P617" s="1">
        <f t="shared" si="616"/>
        <v>207.7012835</v>
      </c>
      <c r="Q617" s="1">
        <f t="shared" si="616"/>
        <v>226.946531</v>
      </c>
      <c r="R617" s="1">
        <f t="shared" si="616"/>
        <v>226.8994126</v>
      </c>
      <c r="S617" s="1">
        <f t="shared" si="616"/>
        <v>271.9005891</v>
      </c>
      <c r="T617" s="1">
        <f t="shared" si="616"/>
        <v>367.5727011</v>
      </c>
      <c r="U617" s="1">
        <f t="shared" si="616"/>
        <v>300.0699664</v>
      </c>
    </row>
    <row r="618">
      <c r="A618" s="3">
        <f>IFERROR(__xludf.DUMMYFUNCTION("""COMPUTED_VALUE"""),44537.0)</f>
        <v>44537</v>
      </c>
      <c r="B618" s="1">
        <f t="shared" ref="B618:U618" si="617">IF($A618&gt;0,Megyeinapi!B618/'megyelakosság'!B$2*100000," ")</f>
        <v>63.91621202</v>
      </c>
      <c r="C618" s="1">
        <f t="shared" si="617"/>
        <v>64.88280717</v>
      </c>
      <c r="D618" s="1">
        <f t="shared" si="617"/>
        <v>36.30400978</v>
      </c>
      <c r="E618" s="1">
        <f t="shared" si="617"/>
        <v>20.09217284</v>
      </c>
      <c r="F618" s="1">
        <f t="shared" si="617"/>
        <v>35.59560649</v>
      </c>
      <c r="G618" s="1">
        <f t="shared" si="617"/>
        <v>38.41017041</v>
      </c>
      <c r="H618" s="1">
        <f t="shared" si="617"/>
        <v>30.81678822</v>
      </c>
      <c r="I618" s="1">
        <f t="shared" si="617"/>
        <v>33.39385088</v>
      </c>
      <c r="J618" s="1">
        <f t="shared" si="617"/>
        <v>38.16018545</v>
      </c>
      <c r="K618" s="1">
        <f t="shared" si="617"/>
        <v>48.39462751</v>
      </c>
      <c r="L618" s="1">
        <f t="shared" si="617"/>
        <v>40.60996716</v>
      </c>
      <c r="M618" s="1">
        <f t="shared" si="617"/>
        <v>42.19339192</v>
      </c>
      <c r="N618" s="1">
        <f t="shared" si="617"/>
        <v>35.62086638</v>
      </c>
      <c r="O618" s="1">
        <f t="shared" si="617"/>
        <v>45.56310915</v>
      </c>
      <c r="P618" s="1">
        <f t="shared" si="617"/>
        <v>38.33972329</v>
      </c>
      <c r="Q618" s="1">
        <f t="shared" si="617"/>
        <v>57.92054321</v>
      </c>
      <c r="R618" s="1">
        <f t="shared" si="617"/>
        <v>59.85690025</v>
      </c>
      <c r="S618" s="1">
        <f t="shared" si="617"/>
        <v>58.62979417</v>
      </c>
      <c r="T618" s="1">
        <f t="shared" si="617"/>
        <v>84.41861079</v>
      </c>
      <c r="U618" s="1">
        <f t="shared" si="617"/>
        <v>63.98000531</v>
      </c>
    </row>
    <row r="619">
      <c r="A619" s="3">
        <f>IFERROR(__xludf.DUMMYFUNCTION("""COMPUTED_VALUE"""),44538.0)</f>
        <v>44538</v>
      </c>
      <c r="B619" s="1">
        <f t="shared" ref="B619:U619" si="618">IF($A619&gt;0,Megyeinapi!B619/'megyelakosság'!B$2*100000," ")</f>
        <v>81.83664529</v>
      </c>
      <c r="C619" s="1">
        <f t="shared" si="618"/>
        <v>102.197383</v>
      </c>
      <c r="D619" s="1">
        <f t="shared" si="618"/>
        <v>55.36361491</v>
      </c>
      <c r="E619" s="1">
        <f t="shared" si="618"/>
        <v>63.57289064</v>
      </c>
      <c r="F619" s="1">
        <f t="shared" si="618"/>
        <v>56.79299012</v>
      </c>
      <c r="G619" s="1">
        <f t="shared" si="618"/>
        <v>50.96251368</v>
      </c>
      <c r="H619" s="1">
        <f t="shared" si="618"/>
        <v>62.35024594</v>
      </c>
      <c r="I619" s="1">
        <f t="shared" si="618"/>
        <v>71.64883195</v>
      </c>
      <c r="J619" s="1">
        <f t="shared" si="618"/>
        <v>58.66416569</v>
      </c>
      <c r="K619" s="1">
        <f t="shared" si="618"/>
        <v>56.57400118</v>
      </c>
      <c r="L619" s="1">
        <f t="shared" si="618"/>
        <v>46.60606969</v>
      </c>
      <c r="M619" s="1">
        <f t="shared" si="618"/>
        <v>63.45620359</v>
      </c>
      <c r="N619" s="1">
        <f t="shared" si="618"/>
        <v>107.9259086</v>
      </c>
      <c r="O619" s="1">
        <f t="shared" si="618"/>
        <v>68.9999707</v>
      </c>
      <c r="P619" s="1">
        <f t="shared" si="618"/>
        <v>62.01033506</v>
      </c>
      <c r="Q619" s="1">
        <f t="shared" si="618"/>
        <v>91.25217657</v>
      </c>
      <c r="R619" s="1">
        <f t="shared" si="618"/>
        <v>71.45707471</v>
      </c>
      <c r="S619" s="1">
        <f t="shared" si="618"/>
        <v>107.028886</v>
      </c>
      <c r="T619" s="1">
        <f t="shared" si="618"/>
        <v>114.3168688</v>
      </c>
      <c r="U619" s="1">
        <f t="shared" si="618"/>
        <v>92.78971531</v>
      </c>
    </row>
    <row r="620">
      <c r="A620" s="3">
        <f>IFERROR(__xludf.DUMMYFUNCTION("""COMPUTED_VALUE"""),44539.0)</f>
        <v>44539</v>
      </c>
      <c r="B620" s="1">
        <f t="shared" ref="B620:U620" si="619">IF($A620&gt;0,Megyeinapi!B620/'megyelakosság'!B$2*100000," ")</f>
        <v>94.77918044</v>
      </c>
      <c r="C620" s="1">
        <f t="shared" si="619"/>
        <v>113.6145293</v>
      </c>
      <c r="D620" s="1">
        <f t="shared" si="619"/>
        <v>49.0104132</v>
      </c>
      <c r="E620" s="1">
        <f t="shared" si="619"/>
        <v>66.24138234</v>
      </c>
      <c r="F620" s="1">
        <f t="shared" si="619"/>
        <v>52.67921217</v>
      </c>
      <c r="G620" s="1">
        <f t="shared" si="619"/>
        <v>82.59441873</v>
      </c>
      <c r="H620" s="1">
        <f t="shared" si="619"/>
        <v>71.66694935</v>
      </c>
      <c r="I620" s="1">
        <f t="shared" si="619"/>
        <v>92.57282713</v>
      </c>
      <c r="J620" s="1">
        <f t="shared" si="619"/>
        <v>78.78844259</v>
      </c>
      <c r="K620" s="1">
        <f t="shared" si="619"/>
        <v>61.34530248</v>
      </c>
      <c r="L620" s="1">
        <f t="shared" si="619"/>
        <v>67.86497867</v>
      </c>
      <c r="M620" s="1">
        <f t="shared" si="619"/>
        <v>79.73554378</v>
      </c>
      <c r="N620" s="1">
        <f t="shared" si="619"/>
        <v>83.46979138</v>
      </c>
      <c r="O620" s="1">
        <f t="shared" si="619"/>
        <v>63.52623001</v>
      </c>
      <c r="P620" s="1">
        <f t="shared" si="619"/>
        <v>73.34555759</v>
      </c>
      <c r="Q620" s="1">
        <f t="shared" si="619"/>
        <v>104.3662618</v>
      </c>
      <c r="R620" s="1">
        <f t="shared" si="619"/>
        <v>81.66522825</v>
      </c>
      <c r="S620" s="1">
        <f t="shared" si="619"/>
        <v>70.82793926</v>
      </c>
      <c r="T620" s="1">
        <f t="shared" si="619"/>
        <v>111.385667</v>
      </c>
      <c r="U620" s="1">
        <f t="shared" si="619"/>
        <v>96.90538816</v>
      </c>
    </row>
    <row r="621">
      <c r="A621" s="3">
        <f>IFERROR(__xludf.DUMMYFUNCTION("""COMPUTED_VALUE"""),44540.0)</f>
        <v>44540</v>
      </c>
      <c r="B621" s="1">
        <f t="shared" ref="B621:U621" si="620">IF($A621&gt;0,Megyeinapi!B621/'megyelakosság'!B$2*100000," ")</f>
        <v>87.4118912</v>
      </c>
      <c r="C621" s="1">
        <f t="shared" si="620"/>
        <v>93.56490648</v>
      </c>
      <c r="D621" s="1">
        <f t="shared" si="620"/>
        <v>59.90161613</v>
      </c>
      <c r="E621" s="1">
        <f t="shared" si="620"/>
        <v>53.68377431</v>
      </c>
      <c r="F621" s="1">
        <f t="shared" si="620"/>
        <v>42.85185371</v>
      </c>
      <c r="G621" s="1">
        <f t="shared" si="620"/>
        <v>90.12582469</v>
      </c>
      <c r="H621" s="1">
        <f t="shared" si="620"/>
        <v>69.27805104</v>
      </c>
      <c r="I621" s="1">
        <f t="shared" si="620"/>
        <v>82.85056674</v>
      </c>
      <c r="J621" s="1">
        <f t="shared" si="620"/>
        <v>83.91443765</v>
      </c>
      <c r="K621" s="1">
        <f t="shared" si="620"/>
        <v>42.6009045</v>
      </c>
      <c r="L621" s="1">
        <f t="shared" si="620"/>
        <v>74.40618144</v>
      </c>
      <c r="M621" s="1">
        <f t="shared" si="620"/>
        <v>60.4661207</v>
      </c>
      <c r="N621" s="1">
        <f t="shared" si="620"/>
        <v>80.27986305</v>
      </c>
      <c r="O621" s="1">
        <f t="shared" si="620"/>
        <v>57.4357298</v>
      </c>
      <c r="P621" s="1">
        <f t="shared" si="620"/>
        <v>70.67844641</v>
      </c>
      <c r="Q621" s="1">
        <f t="shared" si="620"/>
        <v>92.16287694</v>
      </c>
      <c r="R621" s="1">
        <f t="shared" si="620"/>
        <v>70.52906076</v>
      </c>
      <c r="S621" s="1">
        <f t="shared" si="620"/>
        <v>101.5200463</v>
      </c>
      <c r="T621" s="1">
        <f t="shared" si="620"/>
        <v>127.2141565</v>
      </c>
      <c r="U621" s="1">
        <f t="shared" si="620"/>
        <v>111.4973192</v>
      </c>
    </row>
    <row r="622">
      <c r="A622" s="3">
        <f>IFERROR(__xludf.DUMMYFUNCTION("""COMPUTED_VALUE"""),44541.0)</f>
        <v>44541</v>
      </c>
      <c r="B622" s="1">
        <f t="shared" ref="B622:U622" si="621">IF($A622&gt;0,Megyeinapi!B622/'megyelakosság'!B$2*100000," ")</f>
        <v>0</v>
      </c>
      <c r="C622" s="1">
        <f t="shared" si="621"/>
        <v>0</v>
      </c>
      <c r="D622" s="1">
        <f t="shared" si="621"/>
        <v>0</v>
      </c>
      <c r="E622" s="1">
        <f t="shared" si="621"/>
        <v>0</v>
      </c>
      <c r="F622" s="1">
        <f t="shared" si="621"/>
        <v>0</v>
      </c>
      <c r="G622" s="1">
        <f t="shared" si="621"/>
        <v>0</v>
      </c>
      <c r="H622" s="1">
        <f t="shared" si="621"/>
        <v>0</v>
      </c>
      <c r="I622" s="1">
        <f t="shared" si="621"/>
        <v>0</v>
      </c>
      <c r="J622" s="1">
        <f t="shared" si="621"/>
        <v>0</v>
      </c>
      <c r="K622" s="1">
        <f t="shared" si="621"/>
        <v>0</v>
      </c>
      <c r="L622" s="1">
        <f t="shared" si="621"/>
        <v>0</v>
      </c>
      <c r="M622" s="1">
        <f t="shared" si="621"/>
        <v>0</v>
      </c>
      <c r="N622" s="1">
        <f t="shared" si="621"/>
        <v>0</v>
      </c>
      <c r="O622" s="1">
        <f t="shared" si="621"/>
        <v>0</v>
      </c>
      <c r="P622" s="1">
        <f t="shared" si="621"/>
        <v>0</v>
      </c>
      <c r="Q622" s="1">
        <f t="shared" si="621"/>
        <v>0</v>
      </c>
      <c r="R622" s="1">
        <f t="shared" si="621"/>
        <v>0</v>
      </c>
      <c r="S622" s="1">
        <f t="shared" si="621"/>
        <v>0</v>
      </c>
      <c r="T622" s="1">
        <f t="shared" si="621"/>
        <v>0</v>
      </c>
      <c r="U622" s="1">
        <f t="shared" si="621"/>
        <v>0</v>
      </c>
    </row>
    <row r="623">
      <c r="A623" s="3">
        <f>IFERROR(__xludf.DUMMYFUNCTION("""COMPUTED_VALUE"""),44542.0)</f>
        <v>44542</v>
      </c>
      <c r="B623" s="1">
        <f t="shared" ref="B623:U623" si="622">IF($A623&gt;0,Megyeinapi!B623/'megyelakosság'!B$2*100000," ")</f>
        <v>0</v>
      </c>
      <c r="C623" s="1">
        <f t="shared" si="622"/>
        <v>0</v>
      </c>
      <c r="D623" s="1">
        <f t="shared" si="622"/>
        <v>0</v>
      </c>
      <c r="E623" s="1">
        <f t="shared" si="622"/>
        <v>0</v>
      </c>
      <c r="F623" s="1">
        <f t="shared" si="622"/>
        <v>0</v>
      </c>
      <c r="G623" s="1">
        <f t="shared" si="622"/>
        <v>0</v>
      </c>
      <c r="H623" s="1">
        <f t="shared" si="622"/>
        <v>0</v>
      </c>
      <c r="I623" s="1">
        <f t="shared" si="622"/>
        <v>0</v>
      </c>
      <c r="J623" s="1">
        <f t="shared" si="622"/>
        <v>0</v>
      </c>
      <c r="K623" s="1">
        <f t="shared" si="622"/>
        <v>0</v>
      </c>
      <c r="L623" s="1">
        <f t="shared" si="622"/>
        <v>0</v>
      </c>
      <c r="M623" s="1">
        <f t="shared" si="622"/>
        <v>0</v>
      </c>
      <c r="N623" s="1">
        <f t="shared" si="622"/>
        <v>0</v>
      </c>
      <c r="O623" s="1">
        <f t="shared" si="622"/>
        <v>0</v>
      </c>
      <c r="P623" s="1">
        <f t="shared" si="622"/>
        <v>0</v>
      </c>
      <c r="Q623" s="1">
        <f t="shared" si="622"/>
        <v>0</v>
      </c>
      <c r="R623" s="1">
        <f t="shared" si="622"/>
        <v>0</v>
      </c>
      <c r="S623" s="1">
        <f t="shared" si="622"/>
        <v>0</v>
      </c>
      <c r="T623" s="1">
        <f t="shared" si="622"/>
        <v>0</v>
      </c>
      <c r="U623" s="1">
        <f t="shared" si="622"/>
        <v>0</v>
      </c>
    </row>
    <row r="624">
      <c r="A624" s="3">
        <f>IFERROR(__xludf.DUMMYFUNCTION("""COMPUTED_VALUE"""),44543.0)</f>
        <v>44543</v>
      </c>
      <c r="B624" s="1">
        <f t="shared" ref="B624:U624" si="623">IF($A624&gt;0,Megyeinapi!B624/'megyelakosság'!B$2*100000," ")</f>
        <v>170.0450002</v>
      </c>
      <c r="C624" s="1">
        <f t="shared" si="623"/>
        <v>192.1422187</v>
      </c>
      <c r="D624" s="1">
        <f t="shared" si="623"/>
        <v>116.4753647</v>
      </c>
      <c r="E624" s="1">
        <f t="shared" si="623"/>
        <v>170.7834692</v>
      </c>
      <c r="F624" s="1">
        <f t="shared" si="623"/>
        <v>121.3564497</v>
      </c>
      <c r="G624" s="1">
        <f t="shared" si="623"/>
        <v>157.1553378</v>
      </c>
      <c r="H624" s="1">
        <f t="shared" si="623"/>
        <v>164.8339835</v>
      </c>
      <c r="I624" s="1">
        <f t="shared" si="623"/>
        <v>182.8207659</v>
      </c>
      <c r="J624" s="1">
        <f t="shared" si="623"/>
        <v>178.6504204</v>
      </c>
      <c r="K624" s="1">
        <f t="shared" si="623"/>
        <v>116.2152675</v>
      </c>
      <c r="L624" s="1">
        <f t="shared" si="623"/>
        <v>146.0868617</v>
      </c>
      <c r="M624" s="1">
        <f t="shared" si="623"/>
        <v>249.1735743</v>
      </c>
      <c r="N624" s="1">
        <f t="shared" si="623"/>
        <v>162.686345</v>
      </c>
      <c r="O624" s="1">
        <f t="shared" si="623"/>
        <v>147.405524</v>
      </c>
      <c r="P624" s="1">
        <f t="shared" si="623"/>
        <v>169.6949492</v>
      </c>
      <c r="Q624" s="1">
        <f t="shared" si="623"/>
        <v>209.8253641</v>
      </c>
      <c r="R624" s="1">
        <f t="shared" si="623"/>
        <v>200.9150218</v>
      </c>
      <c r="S624" s="1">
        <f t="shared" si="623"/>
        <v>201.8596269</v>
      </c>
      <c r="T624" s="1">
        <f t="shared" si="623"/>
        <v>197.5629989</v>
      </c>
      <c r="U624" s="1">
        <f t="shared" si="623"/>
        <v>234.9675049</v>
      </c>
    </row>
    <row r="625">
      <c r="A625" s="3">
        <f>IFERROR(__xludf.DUMMYFUNCTION("""COMPUTED_VALUE"""),44544.0)</f>
        <v>44544</v>
      </c>
      <c r="B625" s="1">
        <f t="shared" ref="B625:U625" si="624">IF($A625&gt;0,Megyeinapi!B625/'megyelakosság'!B$2*100000," ")</f>
        <v>51.9692565</v>
      </c>
      <c r="C625" s="1">
        <f t="shared" si="624"/>
        <v>40.09924563</v>
      </c>
      <c r="D625" s="1">
        <f t="shared" si="624"/>
        <v>29.04320782</v>
      </c>
      <c r="E625" s="1">
        <f t="shared" si="624"/>
        <v>16.95277084</v>
      </c>
      <c r="F625" s="1">
        <f t="shared" si="624"/>
        <v>28.45363087</v>
      </c>
      <c r="G625" s="1">
        <f t="shared" si="624"/>
        <v>30.87876445</v>
      </c>
      <c r="H625" s="1">
        <f t="shared" si="624"/>
        <v>23.17231362</v>
      </c>
      <c r="I625" s="1">
        <f t="shared" si="624"/>
        <v>27.89866023</v>
      </c>
      <c r="J625" s="1">
        <f t="shared" si="624"/>
        <v>37.78048211</v>
      </c>
      <c r="K625" s="1">
        <f t="shared" si="624"/>
        <v>33.73991637</v>
      </c>
      <c r="L625" s="1">
        <f t="shared" si="624"/>
        <v>50.4217713</v>
      </c>
      <c r="M625" s="1">
        <f t="shared" si="624"/>
        <v>28.90413462</v>
      </c>
      <c r="N625" s="1">
        <f t="shared" si="624"/>
        <v>27.64604555</v>
      </c>
      <c r="O625" s="1">
        <f t="shared" si="624"/>
        <v>37.2368557</v>
      </c>
      <c r="P625" s="1">
        <f t="shared" si="624"/>
        <v>24.33738956</v>
      </c>
      <c r="Q625" s="1">
        <f t="shared" si="624"/>
        <v>65.02400606</v>
      </c>
      <c r="R625" s="1">
        <f t="shared" si="624"/>
        <v>38.04857225</v>
      </c>
      <c r="S625" s="1">
        <f t="shared" si="624"/>
        <v>47.21862617</v>
      </c>
      <c r="T625" s="1">
        <f t="shared" si="624"/>
        <v>67.41764056</v>
      </c>
      <c r="U625" s="1">
        <f t="shared" si="624"/>
        <v>55.7486596</v>
      </c>
    </row>
    <row r="626">
      <c r="A626" s="3">
        <f>IFERROR(__xludf.DUMMYFUNCTION("""COMPUTED_VALUE"""),44545.0)</f>
        <v>44545</v>
      </c>
      <c r="B626" s="1">
        <f t="shared" ref="B626:U626" si="625">IF($A626&gt;0,Megyeinapi!B626/'megyelakosság'!B$2*100000," ")</f>
        <v>71.48261718</v>
      </c>
      <c r="C626" s="1">
        <f t="shared" si="625"/>
        <v>65.16127415</v>
      </c>
      <c r="D626" s="1">
        <f t="shared" si="625"/>
        <v>35.69894295</v>
      </c>
      <c r="E626" s="1">
        <f t="shared" si="625"/>
        <v>50.85831251</v>
      </c>
      <c r="F626" s="1">
        <f t="shared" si="625"/>
        <v>44.56592786</v>
      </c>
      <c r="G626" s="1">
        <f t="shared" si="625"/>
        <v>34.39342056</v>
      </c>
      <c r="H626" s="1">
        <f t="shared" si="625"/>
        <v>91.49480534</v>
      </c>
      <c r="I626" s="1">
        <f t="shared" si="625"/>
        <v>57.06544138</v>
      </c>
      <c r="J626" s="1">
        <f t="shared" si="625"/>
        <v>45.37454886</v>
      </c>
      <c r="K626" s="1">
        <f t="shared" si="625"/>
        <v>46.3497841</v>
      </c>
      <c r="L626" s="1">
        <f t="shared" si="625"/>
        <v>39.24721658</v>
      </c>
      <c r="M626" s="1">
        <f t="shared" si="625"/>
        <v>66.44628648</v>
      </c>
      <c r="N626" s="1">
        <f t="shared" si="625"/>
        <v>57.41870999</v>
      </c>
      <c r="O626" s="1">
        <f t="shared" si="625"/>
        <v>55.58545126</v>
      </c>
      <c r="P626" s="1">
        <f t="shared" si="625"/>
        <v>62.67711285</v>
      </c>
      <c r="Q626" s="1">
        <f t="shared" si="625"/>
        <v>79.5952119</v>
      </c>
      <c r="R626" s="1">
        <f t="shared" si="625"/>
        <v>60.32090723</v>
      </c>
      <c r="S626" s="1">
        <f t="shared" si="625"/>
        <v>68.8604965</v>
      </c>
      <c r="T626" s="1">
        <f t="shared" si="625"/>
        <v>71.8144432</v>
      </c>
      <c r="U626" s="1">
        <f t="shared" si="625"/>
        <v>66.59906986</v>
      </c>
    </row>
    <row r="627">
      <c r="A627" s="3">
        <f>IFERROR(__xludf.DUMMYFUNCTION("""COMPUTED_VALUE"""),44546.0)</f>
        <v>44546</v>
      </c>
      <c r="B627" s="1">
        <f t="shared" ref="B627:U627" si="626">IF($A627&gt;0,Megyeinapi!B627/'megyelakosság'!B$2*100000," ")</f>
        <v>54.15953168</v>
      </c>
      <c r="C627" s="1">
        <f t="shared" si="626"/>
        <v>64.04740622</v>
      </c>
      <c r="D627" s="1">
        <f t="shared" si="626"/>
        <v>37.51414344</v>
      </c>
      <c r="E627" s="1">
        <f t="shared" si="626"/>
        <v>54.15468462</v>
      </c>
      <c r="F627" s="1">
        <f t="shared" si="626"/>
        <v>40.90923635</v>
      </c>
      <c r="G627" s="1">
        <f t="shared" si="626"/>
        <v>39.16331101</v>
      </c>
      <c r="H627" s="1">
        <f t="shared" si="626"/>
        <v>61.63357644</v>
      </c>
      <c r="I627" s="1">
        <f t="shared" si="626"/>
        <v>54.10649257</v>
      </c>
      <c r="J627" s="1">
        <f t="shared" si="626"/>
        <v>47.46291722</v>
      </c>
      <c r="K627" s="1">
        <f t="shared" si="626"/>
        <v>46.69059133</v>
      </c>
      <c r="L627" s="1">
        <f t="shared" si="626"/>
        <v>44.15311865</v>
      </c>
      <c r="M627" s="1">
        <f t="shared" si="626"/>
        <v>55.15041778</v>
      </c>
      <c r="N627" s="1">
        <f t="shared" si="626"/>
        <v>66.45684027</v>
      </c>
      <c r="O627" s="1">
        <f t="shared" si="626"/>
        <v>52.19327393</v>
      </c>
      <c r="P627" s="1">
        <f t="shared" si="626"/>
        <v>65.34422404</v>
      </c>
      <c r="Q627" s="1">
        <f t="shared" si="626"/>
        <v>82.87373322</v>
      </c>
      <c r="R627" s="1">
        <f t="shared" si="626"/>
        <v>53.82480953</v>
      </c>
      <c r="S627" s="1">
        <f t="shared" si="626"/>
        <v>52.33397734</v>
      </c>
      <c r="T627" s="1">
        <f t="shared" si="626"/>
        <v>81.7805292</v>
      </c>
      <c r="U627" s="1">
        <f t="shared" si="626"/>
        <v>91.66725907</v>
      </c>
    </row>
    <row r="628">
      <c r="A628" s="3">
        <f>IFERROR(__xludf.DUMMYFUNCTION("""COMPUTED_VALUE"""),44547.0)</f>
        <v>44547</v>
      </c>
      <c r="B628" s="1">
        <f t="shared" ref="B628:U628" si="627">IF($A628&gt;0,Megyeinapi!B628/'megyelakosság'!B$2*100000," ")</f>
        <v>50.17721317</v>
      </c>
      <c r="C628" s="1">
        <f t="shared" si="627"/>
        <v>70.17367986</v>
      </c>
      <c r="D628" s="1">
        <f t="shared" si="627"/>
        <v>28.43814099</v>
      </c>
      <c r="E628" s="1">
        <f t="shared" si="627"/>
        <v>56.98014642</v>
      </c>
      <c r="F628" s="1">
        <f t="shared" si="627"/>
        <v>32.79595204</v>
      </c>
      <c r="G628" s="1">
        <f t="shared" si="627"/>
        <v>46.19262324</v>
      </c>
      <c r="H628" s="1">
        <f t="shared" si="627"/>
        <v>58.76689847</v>
      </c>
      <c r="I628" s="1">
        <f t="shared" si="627"/>
        <v>57.69950184</v>
      </c>
      <c r="J628" s="1">
        <f t="shared" si="627"/>
        <v>58.66416569</v>
      </c>
      <c r="K628" s="1">
        <f t="shared" si="627"/>
        <v>26.92377165</v>
      </c>
      <c r="L628" s="1">
        <f t="shared" si="627"/>
        <v>44.69821888</v>
      </c>
      <c r="M628" s="1">
        <f t="shared" si="627"/>
        <v>73.755378</v>
      </c>
      <c r="N628" s="1">
        <f t="shared" si="627"/>
        <v>60.60863833</v>
      </c>
      <c r="O628" s="1">
        <f t="shared" si="627"/>
        <v>42.09383688</v>
      </c>
      <c r="P628" s="1">
        <f t="shared" si="627"/>
        <v>51.34189032</v>
      </c>
      <c r="Q628" s="1">
        <f t="shared" si="627"/>
        <v>73.94886964</v>
      </c>
      <c r="R628" s="1">
        <f t="shared" si="627"/>
        <v>54.2888165</v>
      </c>
      <c r="S628" s="1">
        <f t="shared" si="627"/>
        <v>71.22142781</v>
      </c>
      <c r="T628" s="1">
        <f t="shared" si="627"/>
        <v>65.07267915</v>
      </c>
      <c r="U628" s="1">
        <f t="shared" si="627"/>
        <v>84.18421752</v>
      </c>
    </row>
    <row r="629">
      <c r="A629" s="3">
        <f>IFERROR(__xludf.DUMMYFUNCTION("""COMPUTED_VALUE"""),44548.0)</f>
        <v>44548</v>
      </c>
      <c r="B629" s="1">
        <f t="shared" ref="B629:U629" si="628">IF($A629&gt;0,Megyeinapi!B629/'megyelakosság'!B$2*100000," ")</f>
        <v>0</v>
      </c>
      <c r="C629" s="1">
        <f t="shared" si="628"/>
        <v>0</v>
      </c>
      <c r="D629" s="1">
        <f t="shared" si="628"/>
        <v>0</v>
      </c>
      <c r="E629" s="1">
        <f t="shared" si="628"/>
        <v>0</v>
      </c>
      <c r="F629" s="1">
        <f t="shared" si="628"/>
        <v>0</v>
      </c>
      <c r="G629" s="1">
        <f t="shared" si="628"/>
        <v>0</v>
      </c>
      <c r="H629" s="1">
        <f t="shared" si="628"/>
        <v>0</v>
      </c>
      <c r="I629" s="1">
        <f t="shared" si="628"/>
        <v>0</v>
      </c>
      <c r="J629" s="1">
        <f t="shared" si="628"/>
        <v>0</v>
      </c>
      <c r="K629" s="1">
        <f t="shared" si="628"/>
        <v>0</v>
      </c>
      <c r="L629" s="1">
        <f t="shared" si="628"/>
        <v>0</v>
      </c>
      <c r="M629" s="1">
        <f t="shared" si="628"/>
        <v>0</v>
      </c>
      <c r="N629" s="1">
        <f t="shared" si="628"/>
        <v>0</v>
      </c>
      <c r="O629" s="1">
        <f t="shared" si="628"/>
        <v>0</v>
      </c>
      <c r="P629" s="1">
        <f t="shared" si="628"/>
        <v>0</v>
      </c>
      <c r="Q629" s="1">
        <f t="shared" si="628"/>
        <v>0</v>
      </c>
      <c r="R629" s="1">
        <f t="shared" si="628"/>
        <v>0</v>
      </c>
      <c r="S629" s="1">
        <f t="shared" si="628"/>
        <v>0</v>
      </c>
      <c r="T629" s="1">
        <f t="shared" si="628"/>
        <v>0</v>
      </c>
      <c r="U629" s="1">
        <f t="shared" si="628"/>
        <v>0</v>
      </c>
    </row>
    <row r="630">
      <c r="A630" s="3">
        <f>IFERROR(__xludf.DUMMYFUNCTION("""COMPUTED_VALUE"""),44549.0)</f>
        <v>44549</v>
      </c>
      <c r="B630" s="1">
        <f t="shared" ref="B630:U630" si="629">IF($A630&gt;0,Megyeinapi!B630/'megyelakosság'!B$2*100000," ")</f>
        <v>0</v>
      </c>
      <c r="C630" s="1">
        <f t="shared" si="629"/>
        <v>0</v>
      </c>
      <c r="D630" s="1">
        <f t="shared" si="629"/>
        <v>0</v>
      </c>
      <c r="E630" s="1">
        <f t="shared" si="629"/>
        <v>0</v>
      </c>
      <c r="F630" s="1">
        <f t="shared" si="629"/>
        <v>0</v>
      </c>
      <c r="G630" s="1">
        <f t="shared" si="629"/>
        <v>0</v>
      </c>
      <c r="H630" s="1">
        <f t="shared" si="629"/>
        <v>0</v>
      </c>
      <c r="I630" s="1">
        <f t="shared" si="629"/>
        <v>0</v>
      </c>
      <c r="J630" s="1">
        <f t="shared" si="629"/>
        <v>0</v>
      </c>
      <c r="K630" s="1">
        <f t="shared" si="629"/>
        <v>0</v>
      </c>
      <c r="L630" s="1">
        <f t="shared" si="629"/>
        <v>0</v>
      </c>
      <c r="M630" s="1">
        <f t="shared" si="629"/>
        <v>0</v>
      </c>
      <c r="N630" s="1">
        <f t="shared" si="629"/>
        <v>0</v>
      </c>
      <c r="O630" s="1">
        <f t="shared" si="629"/>
        <v>0</v>
      </c>
      <c r="P630" s="1">
        <f t="shared" si="629"/>
        <v>0</v>
      </c>
      <c r="Q630" s="1">
        <f t="shared" si="629"/>
        <v>0</v>
      </c>
      <c r="R630" s="1">
        <f t="shared" si="629"/>
        <v>0</v>
      </c>
      <c r="S630" s="1">
        <f t="shared" si="629"/>
        <v>0</v>
      </c>
      <c r="T630" s="1">
        <f t="shared" si="629"/>
        <v>0</v>
      </c>
      <c r="U630" s="1">
        <f t="shared" si="629"/>
        <v>0</v>
      </c>
    </row>
    <row r="631">
      <c r="A631" s="3">
        <f>IFERROR(__xludf.DUMMYFUNCTION("""COMPUTED_VALUE"""),44550.0)</f>
        <v>44550</v>
      </c>
      <c r="B631" s="1">
        <f t="shared" ref="B631:U631" si="630">IF($A631&gt;0,Megyeinapi!B631/'megyelakosság'!B$2*100000," ")</f>
        <v>107.9208315</v>
      </c>
      <c r="C631" s="1">
        <f t="shared" si="630"/>
        <v>120.5762039</v>
      </c>
      <c r="D631" s="1">
        <f t="shared" si="630"/>
        <v>48.70787979</v>
      </c>
      <c r="E631" s="1">
        <f t="shared" si="630"/>
        <v>87.27537579</v>
      </c>
      <c r="F631" s="1">
        <f t="shared" si="630"/>
        <v>84.61812713</v>
      </c>
      <c r="G631" s="1">
        <f t="shared" si="630"/>
        <v>83.09651246</v>
      </c>
      <c r="H631" s="1">
        <f t="shared" si="630"/>
        <v>117.2949071</v>
      </c>
      <c r="I631" s="1">
        <f t="shared" si="630"/>
        <v>118.146599</v>
      </c>
      <c r="J631" s="1">
        <f t="shared" si="630"/>
        <v>104.7981212</v>
      </c>
      <c r="K631" s="1">
        <f t="shared" si="630"/>
        <v>71.22871233</v>
      </c>
      <c r="L631" s="1">
        <f t="shared" si="630"/>
        <v>89.39643777</v>
      </c>
      <c r="M631" s="1">
        <f t="shared" si="630"/>
        <v>148.1752189</v>
      </c>
      <c r="N631" s="1">
        <f t="shared" si="630"/>
        <v>97.29281415</v>
      </c>
      <c r="O631" s="1">
        <f t="shared" si="630"/>
        <v>105.9284466</v>
      </c>
      <c r="P631" s="1">
        <f t="shared" si="630"/>
        <v>102.3503917</v>
      </c>
      <c r="Q631" s="1">
        <f t="shared" si="630"/>
        <v>141.3406966</v>
      </c>
      <c r="R631" s="1">
        <f t="shared" si="630"/>
        <v>100.2255074</v>
      </c>
      <c r="S631" s="1">
        <f t="shared" si="630"/>
        <v>117.2595883</v>
      </c>
      <c r="T631" s="1">
        <f t="shared" si="630"/>
        <v>139.2320838</v>
      </c>
      <c r="U631" s="1">
        <f t="shared" si="630"/>
        <v>144.7968541</v>
      </c>
    </row>
    <row r="632">
      <c r="A632" s="3">
        <f>IFERROR(__xludf.DUMMYFUNCTION("""COMPUTED_VALUE"""),44551.0)</f>
        <v>44551</v>
      </c>
      <c r="B632" s="1">
        <f t="shared" ref="B632:U632" si="631">IF($A632&gt;0,Megyeinapi!B632/'megyelakosság'!B$2*100000," ")</f>
        <v>23.69479511</v>
      </c>
      <c r="C632" s="1">
        <f t="shared" si="631"/>
        <v>28.96056629</v>
      </c>
      <c r="D632" s="1">
        <f t="shared" si="631"/>
        <v>19.05960513</v>
      </c>
      <c r="E632" s="1">
        <f t="shared" si="631"/>
        <v>10.67396682</v>
      </c>
      <c r="F632" s="1">
        <f t="shared" si="631"/>
        <v>13.94113641</v>
      </c>
      <c r="G632" s="1">
        <f t="shared" si="631"/>
        <v>13.8075776</v>
      </c>
      <c r="H632" s="1">
        <f t="shared" si="631"/>
        <v>17.67784751</v>
      </c>
      <c r="I632" s="1">
        <f t="shared" si="631"/>
        <v>13.94933012</v>
      </c>
      <c r="J632" s="1">
        <f t="shared" si="631"/>
        <v>14.23887517</v>
      </c>
      <c r="K632" s="1">
        <f t="shared" si="631"/>
        <v>10.90583155</v>
      </c>
      <c r="L632" s="1">
        <f t="shared" si="631"/>
        <v>16.08045679</v>
      </c>
      <c r="M632" s="1">
        <f t="shared" si="631"/>
        <v>23.5884317</v>
      </c>
      <c r="N632" s="1">
        <f t="shared" si="631"/>
        <v>21.26618889</v>
      </c>
      <c r="O632" s="1">
        <f t="shared" si="631"/>
        <v>20.19887411</v>
      </c>
      <c r="P632" s="1">
        <f t="shared" si="631"/>
        <v>19.00316719</v>
      </c>
      <c r="Q632" s="1">
        <f t="shared" si="631"/>
        <v>41.34579657</v>
      </c>
      <c r="R632" s="1">
        <f t="shared" si="631"/>
        <v>27.84041872</v>
      </c>
      <c r="S632" s="1">
        <f t="shared" si="631"/>
        <v>30.29861846</v>
      </c>
      <c r="T632" s="1">
        <f t="shared" si="631"/>
        <v>36.34690187</v>
      </c>
      <c r="U632" s="1">
        <f t="shared" si="631"/>
        <v>40.40842441</v>
      </c>
    </row>
    <row r="633">
      <c r="A633" s="3">
        <f>IFERROR(__xludf.DUMMYFUNCTION("""COMPUTED_VALUE"""),44552.0)</f>
        <v>44552</v>
      </c>
      <c r="B633" s="1">
        <f t="shared" ref="B633:U633" si="632">IF($A633&gt;0,Megyeinapi!B633/'megyelakosság'!B$2*100000," ")</f>
        <v>37.43379395</v>
      </c>
      <c r="C633" s="1">
        <f t="shared" si="632"/>
        <v>43.9977834</v>
      </c>
      <c r="D633" s="1">
        <f t="shared" si="632"/>
        <v>17.84947147</v>
      </c>
      <c r="E633" s="1">
        <f t="shared" si="632"/>
        <v>27.15582736</v>
      </c>
      <c r="F633" s="1">
        <f t="shared" si="632"/>
        <v>29.19639633</v>
      </c>
      <c r="G633" s="1">
        <f t="shared" si="632"/>
        <v>18.32642118</v>
      </c>
      <c r="H633" s="1">
        <f t="shared" si="632"/>
        <v>41.56683062</v>
      </c>
      <c r="I633" s="1">
        <f t="shared" si="632"/>
        <v>29.16678115</v>
      </c>
      <c r="J633" s="1">
        <f t="shared" si="632"/>
        <v>32.84433872</v>
      </c>
      <c r="K633" s="1">
        <f t="shared" si="632"/>
        <v>23.17489205</v>
      </c>
      <c r="L633" s="1">
        <f t="shared" si="632"/>
        <v>22.89420967</v>
      </c>
      <c r="M633" s="1">
        <f t="shared" si="632"/>
        <v>39.53554046</v>
      </c>
      <c r="N633" s="1">
        <f t="shared" si="632"/>
        <v>40.93741361</v>
      </c>
      <c r="O633" s="1">
        <f t="shared" si="632"/>
        <v>39.7809887</v>
      </c>
      <c r="P633" s="1">
        <f t="shared" si="632"/>
        <v>40.67344557</v>
      </c>
      <c r="Q633" s="1">
        <f t="shared" si="632"/>
        <v>42.43863701</v>
      </c>
      <c r="R633" s="1">
        <f t="shared" si="632"/>
        <v>38.97658621</v>
      </c>
      <c r="S633" s="1">
        <f t="shared" si="632"/>
        <v>44.46420631</v>
      </c>
      <c r="T633" s="1">
        <f t="shared" si="632"/>
        <v>50.41667033</v>
      </c>
      <c r="U633" s="1">
        <f t="shared" si="632"/>
        <v>46.39485765</v>
      </c>
    </row>
    <row r="634">
      <c r="A634" s="3">
        <f>IFERROR(__xludf.DUMMYFUNCTION("""COMPUTED_VALUE"""),44553.0)</f>
        <v>44553</v>
      </c>
      <c r="B634" s="1">
        <f t="shared" ref="B634:U634" si="633">IF($A634&gt;0,Megyeinapi!B634/'megyelakosság'!B$2*100000," ")</f>
        <v>32.05766397</v>
      </c>
      <c r="C634" s="1">
        <f t="shared" si="633"/>
        <v>47.06092022</v>
      </c>
      <c r="D634" s="1">
        <f t="shared" si="633"/>
        <v>21.47987245</v>
      </c>
      <c r="E634" s="1">
        <f t="shared" si="633"/>
        <v>25.74309645</v>
      </c>
      <c r="F634" s="1">
        <f t="shared" si="633"/>
        <v>36.85259419</v>
      </c>
      <c r="G634" s="1">
        <f t="shared" si="633"/>
        <v>27.86620206</v>
      </c>
      <c r="H634" s="1">
        <f t="shared" si="633"/>
        <v>41.80572046</v>
      </c>
      <c r="I634" s="1">
        <f t="shared" si="633"/>
        <v>32.54843694</v>
      </c>
      <c r="J634" s="1">
        <f t="shared" si="633"/>
        <v>38.72974045</v>
      </c>
      <c r="K634" s="1">
        <f t="shared" si="633"/>
        <v>20.44843416</v>
      </c>
      <c r="L634" s="1">
        <f t="shared" si="633"/>
        <v>23.98441013</v>
      </c>
      <c r="M634" s="1">
        <f t="shared" si="633"/>
        <v>38.53884616</v>
      </c>
      <c r="N634" s="1">
        <f t="shared" si="633"/>
        <v>47.84892499</v>
      </c>
      <c r="O634" s="1">
        <f t="shared" si="633"/>
        <v>40.01227351</v>
      </c>
      <c r="P634" s="1">
        <f t="shared" si="633"/>
        <v>34.00566761</v>
      </c>
      <c r="Q634" s="1">
        <f t="shared" si="633"/>
        <v>50.45280022</v>
      </c>
      <c r="R634" s="1">
        <f t="shared" si="633"/>
        <v>43.15264902</v>
      </c>
      <c r="S634" s="1">
        <f t="shared" si="633"/>
        <v>39.34885515</v>
      </c>
      <c r="T634" s="1">
        <f t="shared" si="633"/>
        <v>50.41667033</v>
      </c>
      <c r="U634" s="1">
        <f t="shared" si="633"/>
        <v>43.02748895</v>
      </c>
    </row>
    <row r="635">
      <c r="A635" s="3">
        <f>IFERROR(__xludf.DUMMYFUNCTION("""COMPUTED_VALUE"""),44554.0)</f>
        <v>44554</v>
      </c>
      <c r="B635" s="1">
        <f t="shared" ref="B635:U635" si="634">IF($A635&gt;0,Megyeinapi!B635/'megyelakosság'!B$2*100000," ")</f>
        <v>0</v>
      </c>
      <c r="C635" s="1">
        <f t="shared" si="634"/>
        <v>0</v>
      </c>
      <c r="D635" s="1">
        <f t="shared" si="634"/>
        <v>0</v>
      </c>
      <c r="E635" s="1">
        <f t="shared" si="634"/>
        <v>0</v>
      </c>
      <c r="F635" s="1">
        <f t="shared" si="634"/>
        <v>0</v>
      </c>
      <c r="G635" s="1">
        <f t="shared" si="634"/>
        <v>0</v>
      </c>
      <c r="H635" s="1">
        <f t="shared" si="634"/>
        <v>0</v>
      </c>
      <c r="I635" s="1">
        <f t="shared" si="634"/>
        <v>0</v>
      </c>
      <c r="J635" s="1">
        <f t="shared" si="634"/>
        <v>0</v>
      </c>
      <c r="K635" s="1">
        <f t="shared" si="634"/>
        <v>0</v>
      </c>
      <c r="L635" s="1">
        <f t="shared" si="634"/>
        <v>0</v>
      </c>
      <c r="M635" s="1">
        <f t="shared" si="634"/>
        <v>0</v>
      </c>
      <c r="N635" s="1">
        <f t="shared" si="634"/>
        <v>0</v>
      </c>
      <c r="O635" s="1">
        <f t="shared" si="634"/>
        <v>0</v>
      </c>
      <c r="P635" s="1">
        <f t="shared" si="634"/>
        <v>0</v>
      </c>
      <c r="Q635" s="1">
        <f t="shared" si="634"/>
        <v>0</v>
      </c>
      <c r="R635" s="1">
        <f t="shared" si="634"/>
        <v>0</v>
      </c>
      <c r="S635" s="1">
        <f t="shared" si="634"/>
        <v>0</v>
      </c>
      <c r="T635" s="1">
        <f t="shared" si="634"/>
        <v>0</v>
      </c>
      <c r="U635" s="1">
        <f t="shared" si="634"/>
        <v>0</v>
      </c>
    </row>
    <row r="636">
      <c r="A636" s="3">
        <f>IFERROR(__xludf.DUMMYFUNCTION("""COMPUTED_VALUE"""),44555.0)</f>
        <v>44555</v>
      </c>
      <c r="B636" s="1">
        <f t="shared" ref="B636:U636" si="635">IF($A636&gt;0,Megyeinapi!B636/'megyelakosság'!B$2*100000," ")</f>
        <v>0</v>
      </c>
      <c r="C636" s="1">
        <f t="shared" si="635"/>
        <v>0</v>
      </c>
      <c r="D636" s="1">
        <f t="shared" si="635"/>
        <v>0</v>
      </c>
      <c r="E636" s="1">
        <f t="shared" si="635"/>
        <v>0</v>
      </c>
      <c r="F636" s="1">
        <f t="shared" si="635"/>
        <v>0</v>
      </c>
      <c r="G636" s="1">
        <f t="shared" si="635"/>
        <v>0</v>
      </c>
      <c r="H636" s="1">
        <f t="shared" si="635"/>
        <v>0</v>
      </c>
      <c r="I636" s="1">
        <f t="shared" si="635"/>
        <v>0</v>
      </c>
      <c r="J636" s="1">
        <f t="shared" si="635"/>
        <v>0</v>
      </c>
      <c r="K636" s="1">
        <f t="shared" si="635"/>
        <v>0</v>
      </c>
      <c r="L636" s="1">
        <f t="shared" si="635"/>
        <v>0</v>
      </c>
      <c r="M636" s="1">
        <f t="shared" si="635"/>
        <v>0</v>
      </c>
      <c r="N636" s="1">
        <f t="shared" si="635"/>
        <v>0</v>
      </c>
      <c r="O636" s="1">
        <f t="shared" si="635"/>
        <v>0</v>
      </c>
      <c r="P636" s="1">
        <f t="shared" si="635"/>
        <v>0</v>
      </c>
      <c r="Q636" s="1">
        <f t="shared" si="635"/>
        <v>0</v>
      </c>
      <c r="R636" s="1">
        <f t="shared" si="635"/>
        <v>0</v>
      </c>
      <c r="S636" s="1">
        <f t="shared" si="635"/>
        <v>0</v>
      </c>
      <c r="T636" s="1">
        <f t="shared" si="635"/>
        <v>0</v>
      </c>
      <c r="U636" s="1">
        <f t="shared" si="635"/>
        <v>0</v>
      </c>
    </row>
    <row r="637">
      <c r="A637" s="3">
        <f>IFERROR(__xludf.DUMMYFUNCTION("""COMPUTED_VALUE"""),44556.0)</f>
        <v>44556</v>
      </c>
      <c r="B637" s="1">
        <f t="shared" ref="B637:U637" si="636">IF($A637&gt;0,Megyeinapi!B637/'megyelakosság'!B$2*100000," ")</f>
        <v>0</v>
      </c>
      <c r="C637" s="1">
        <f t="shared" si="636"/>
        <v>0</v>
      </c>
      <c r="D637" s="1">
        <f t="shared" si="636"/>
        <v>0</v>
      </c>
      <c r="E637" s="1">
        <f t="shared" si="636"/>
        <v>0</v>
      </c>
      <c r="F637" s="1">
        <f t="shared" si="636"/>
        <v>0</v>
      </c>
      <c r="G637" s="1">
        <f t="shared" si="636"/>
        <v>0</v>
      </c>
      <c r="H637" s="1">
        <f t="shared" si="636"/>
        <v>0</v>
      </c>
      <c r="I637" s="1">
        <f t="shared" si="636"/>
        <v>0</v>
      </c>
      <c r="J637" s="1">
        <f t="shared" si="636"/>
        <v>0</v>
      </c>
      <c r="K637" s="1">
        <f t="shared" si="636"/>
        <v>0</v>
      </c>
      <c r="L637" s="1">
        <f t="shared" si="636"/>
        <v>0</v>
      </c>
      <c r="M637" s="1">
        <f t="shared" si="636"/>
        <v>0</v>
      </c>
      <c r="N637" s="1">
        <f t="shared" si="636"/>
        <v>0</v>
      </c>
      <c r="O637" s="1">
        <f t="shared" si="636"/>
        <v>0</v>
      </c>
      <c r="P637" s="1">
        <f t="shared" si="636"/>
        <v>0</v>
      </c>
      <c r="Q637" s="1">
        <f t="shared" si="636"/>
        <v>0</v>
      </c>
      <c r="R637" s="1">
        <f t="shared" si="636"/>
        <v>0</v>
      </c>
      <c r="S637" s="1">
        <f t="shared" si="636"/>
        <v>0</v>
      </c>
      <c r="T637" s="1">
        <f t="shared" si="636"/>
        <v>0</v>
      </c>
      <c r="U637" s="1">
        <f t="shared" si="636"/>
        <v>0</v>
      </c>
    </row>
    <row r="638">
      <c r="A638" s="3">
        <f>IFERROR(__xludf.DUMMYFUNCTION("""COMPUTED_VALUE"""),44557.0)</f>
        <v>44557</v>
      </c>
      <c r="B638" s="1">
        <f t="shared" ref="B638:U638" si="637">IF($A638&gt;0,Megyeinapi!B638/'megyelakosság'!B$2*100000," ")</f>
        <v>79.64637012</v>
      </c>
      <c r="C638" s="1">
        <f t="shared" si="637"/>
        <v>95.51417536</v>
      </c>
      <c r="D638" s="1">
        <f t="shared" si="637"/>
        <v>39.32934393</v>
      </c>
      <c r="E638" s="1">
        <f t="shared" si="637"/>
        <v>68.43896375</v>
      </c>
      <c r="F638" s="1">
        <f t="shared" si="637"/>
        <v>91.76010275</v>
      </c>
      <c r="G638" s="1">
        <f t="shared" si="637"/>
        <v>63.26381009</v>
      </c>
      <c r="H638" s="1">
        <f t="shared" si="637"/>
        <v>100.8115088</v>
      </c>
      <c r="I638" s="1">
        <f t="shared" si="637"/>
        <v>98.06801778</v>
      </c>
      <c r="J638" s="1">
        <f t="shared" si="637"/>
        <v>66.44808411</v>
      </c>
      <c r="K638" s="1">
        <f t="shared" si="637"/>
        <v>49.07624199</v>
      </c>
      <c r="L638" s="1">
        <f t="shared" si="637"/>
        <v>61.86887614</v>
      </c>
      <c r="M638" s="1">
        <f t="shared" si="637"/>
        <v>98.67273543</v>
      </c>
      <c r="N638" s="1">
        <f t="shared" si="637"/>
        <v>70.17842332</v>
      </c>
      <c r="O638" s="1">
        <f t="shared" si="637"/>
        <v>79.33069257</v>
      </c>
      <c r="P638" s="1">
        <f t="shared" si="637"/>
        <v>73.67894649</v>
      </c>
      <c r="Q638" s="1">
        <f t="shared" si="637"/>
        <v>96.35209862</v>
      </c>
      <c r="R638" s="1">
        <f t="shared" si="637"/>
        <v>87.23331199</v>
      </c>
      <c r="S638" s="1">
        <f t="shared" si="637"/>
        <v>84.60003856</v>
      </c>
      <c r="T638" s="1">
        <f t="shared" si="637"/>
        <v>103.4714222</v>
      </c>
      <c r="U638" s="1">
        <f t="shared" si="637"/>
        <v>93.91217154</v>
      </c>
    </row>
    <row r="639">
      <c r="A639" s="3">
        <f>IFERROR(__xludf.DUMMYFUNCTION("""COMPUTED_VALUE"""),44558.0)</f>
        <v>44558</v>
      </c>
      <c r="B639" s="1">
        <f t="shared" ref="B639:U639" si="638">IF($A639&gt;0,Megyeinapi!B639/'megyelakosság'!B$2*100000," ")</f>
        <v>14.9336944</v>
      </c>
      <c r="C639" s="1">
        <f t="shared" si="638"/>
        <v>17.82188695</v>
      </c>
      <c r="D639" s="1">
        <f t="shared" si="638"/>
        <v>13.00893684</v>
      </c>
      <c r="E639" s="1">
        <f t="shared" si="638"/>
        <v>14.91215953</v>
      </c>
      <c r="F639" s="1">
        <f t="shared" si="638"/>
        <v>12.16992645</v>
      </c>
      <c r="G639" s="1">
        <f t="shared" si="638"/>
        <v>7.531405963</v>
      </c>
      <c r="H639" s="1">
        <f t="shared" si="638"/>
        <v>14.5722797</v>
      </c>
      <c r="I639" s="1">
        <f t="shared" si="638"/>
        <v>9.510906897</v>
      </c>
      <c r="J639" s="1">
        <f t="shared" si="638"/>
        <v>10.82154513</v>
      </c>
      <c r="K639" s="1">
        <f t="shared" si="638"/>
        <v>9.542602609</v>
      </c>
      <c r="L639" s="1">
        <f t="shared" si="638"/>
        <v>9.53925403</v>
      </c>
      <c r="M639" s="1">
        <f t="shared" si="638"/>
        <v>15.28264589</v>
      </c>
      <c r="N639" s="1">
        <f t="shared" si="638"/>
        <v>11.16474917</v>
      </c>
      <c r="O639" s="1">
        <f t="shared" si="638"/>
        <v>11.41005102</v>
      </c>
      <c r="P639" s="1">
        <f t="shared" si="638"/>
        <v>13.66894482</v>
      </c>
      <c r="Q639" s="1">
        <f t="shared" si="638"/>
        <v>21.85680876</v>
      </c>
      <c r="R639" s="1">
        <f t="shared" si="638"/>
        <v>20.41630706</v>
      </c>
      <c r="S639" s="1">
        <f t="shared" si="638"/>
        <v>14.95256496</v>
      </c>
      <c r="T639" s="1">
        <f t="shared" si="638"/>
        <v>20.51841234</v>
      </c>
      <c r="U639" s="1">
        <f t="shared" si="638"/>
        <v>35.91859947</v>
      </c>
    </row>
    <row r="640">
      <c r="A640" s="3">
        <f>IFERROR(__xludf.DUMMYFUNCTION("""COMPUTED_VALUE"""),44559.0)</f>
        <v>44559</v>
      </c>
      <c r="B640" s="1">
        <f t="shared" ref="B640:U640" si="639">IF($A640&gt;0,Megyeinapi!B640/'megyelakosság'!B$2*100000," ")</f>
        <v>28.07534547</v>
      </c>
      <c r="C640" s="1">
        <f t="shared" si="639"/>
        <v>28.40363232</v>
      </c>
      <c r="D640" s="1">
        <f t="shared" si="639"/>
        <v>16.03427099</v>
      </c>
      <c r="E640" s="1">
        <f t="shared" si="639"/>
        <v>18.67944194</v>
      </c>
      <c r="F640" s="1">
        <f t="shared" si="639"/>
        <v>47.2513107</v>
      </c>
      <c r="G640" s="1">
        <f t="shared" si="639"/>
        <v>15.56490566</v>
      </c>
      <c r="H640" s="1">
        <f t="shared" si="639"/>
        <v>28.18900008</v>
      </c>
      <c r="I640" s="1">
        <f t="shared" si="639"/>
        <v>23.46023701</v>
      </c>
      <c r="J640" s="1">
        <f t="shared" si="639"/>
        <v>24.49086529</v>
      </c>
      <c r="K640" s="1">
        <f t="shared" si="639"/>
        <v>28.62780783</v>
      </c>
      <c r="L640" s="1">
        <f t="shared" si="639"/>
        <v>15.80790668</v>
      </c>
      <c r="M640" s="1">
        <f t="shared" si="639"/>
        <v>33.88760611</v>
      </c>
      <c r="N640" s="1">
        <f t="shared" si="639"/>
        <v>31.36762861</v>
      </c>
      <c r="O640" s="1">
        <f t="shared" si="639"/>
        <v>33.53629861</v>
      </c>
      <c r="P640" s="1">
        <f t="shared" si="639"/>
        <v>30.00500083</v>
      </c>
      <c r="Q640" s="1">
        <f t="shared" si="639"/>
        <v>39.1601157</v>
      </c>
      <c r="R640" s="1">
        <f t="shared" si="639"/>
        <v>24.59236987</v>
      </c>
      <c r="S640" s="1">
        <f t="shared" si="639"/>
        <v>33.05303832</v>
      </c>
      <c r="T640" s="1">
        <f t="shared" si="639"/>
        <v>30.19137816</v>
      </c>
      <c r="U640" s="1">
        <f t="shared" si="639"/>
        <v>22.44912467</v>
      </c>
    </row>
    <row r="641">
      <c r="A641" s="3">
        <f>IFERROR(__xludf.DUMMYFUNCTION("""COMPUTED_VALUE"""),44560.0)</f>
        <v>44560</v>
      </c>
      <c r="B641" s="1">
        <f t="shared" ref="B641:U641" si="640">IF($A641&gt;0,Megyeinapi!B641/'megyelakosság'!B$2*100000," ")</f>
        <v>31.85854805</v>
      </c>
      <c r="C641" s="1">
        <f t="shared" si="640"/>
        <v>32.58063708</v>
      </c>
      <c r="D641" s="1">
        <f t="shared" si="640"/>
        <v>15.42920416</v>
      </c>
      <c r="E641" s="1">
        <f t="shared" si="640"/>
        <v>21.50490375</v>
      </c>
      <c r="F641" s="1">
        <f t="shared" si="640"/>
        <v>45.13728591</v>
      </c>
      <c r="G641" s="1">
        <f t="shared" si="640"/>
        <v>18.57746804</v>
      </c>
      <c r="H641" s="1">
        <f t="shared" si="640"/>
        <v>37.98348316</v>
      </c>
      <c r="I641" s="1">
        <f t="shared" si="640"/>
        <v>32.12572996</v>
      </c>
      <c r="J641" s="1">
        <f t="shared" si="640"/>
        <v>30.18641535</v>
      </c>
      <c r="K641" s="1">
        <f t="shared" si="640"/>
        <v>19.76681969</v>
      </c>
      <c r="L641" s="1">
        <f t="shared" si="640"/>
        <v>20.16870852</v>
      </c>
      <c r="M641" s="1">
        <f t="shared" si="640"/>
        <v>30.23306035</v>
      </c>
      <c r="N641" s="1">
        <f t="shared" si="640"/>
        <v>38.81079472</v>
      </c>
      <c r="O641" s="1">
        <f t="shared" si="640"/>
        <v>38.85584942</v>
      </c>
      <c r="P641" s="1">
        <f t="shared" si="640"/>
        <v>31.00516753</v>
      </c>
      <c r="Q641" s="1">
        <f t="shared" si="640"/>
        <v>47.35641898</v>
      </c>
      <c r="R641" s="1">
        <f t="shared" si="640"/>
        <v>38.51257923</v>
      </c>
      <c r="S641" s="1">
        <f t="shared" si="640"/>
        <v>36.98792384</v>
      </c>
      <c r="T641" s="1">
        <f t="shared" si="640"/>
        <v>32.2432194</v>
      </c>
      <c r="U641" s="1">
        <f t="shared" si="640"/>
        <v>45.6465535</v>
      </c>
    </row>
    <row r="642">
      <c r="A642" s="3">
        <f>IFERROR(__xludf.DUMMYFUNCTION("""COMPUTED_VALUE"""),44561.0)</f>
        <v>44561</v>
      </c>
      <c r="B642" s="1">
        <f t="shared" ref="B642:U642" si="641">IF($A642&gt;0,Megyeinapi!B642/'megyelakosság'!B$2*100000," ")</f>
        <v>32.45589582</v>
      </c>
      <c r="C642" s="1">
        <f t="shared" si="641"/>
        <v>35.6437739</v>
      </c>
      <c r="D642" s="1">
        <f t="shared" si="641"/>
        <v>22.99253953</v>
      </c>
      <c r="E642" s="1">
        <f t="shared" si="641"/>
        <v>20.40611304</v>
      </c>
      <c r="F642" s="1">
        <f t="shared" si="641"/>
        <v>49.07965645</v>
      </c>
      <c r="G642" s="1">
        <f t="shared" si="641"/>
        <v>19.5816555</v>
      </c>
      <c r="H642" s="1">
        <f t="shared" si="641"/>
        <v>32.9667967</v>
      </c>
      <c r="I642" s="1">
        <f t="shared" si="641"/>
        <v>31.70302299</v>
      </c>
      <c r="J642" s="1">
        <f t="shared" si="641"/>
        <v>31.51537704</v>
      </c>
      <c r="K642" s="1">
        <f t="shared" si="641"/>
        <v>23.85650652</v>
      </c>
      <c r="L642" s="1">
        <f t="shared" si="641"/>
        <v>21.25890898</v>
      </c>
      <c r="M642" s="1">
        <f t="shared" si="641"/>
        <v>45.51570624</v>
      </c>
      <c r="N642" s="1">
        <f t="shared" si="641"/>
        <v>30.30431916</v>
      </c>
      <c r="O642" s="1">
        <f t="shared" si="641"/>
        <v>35.92624173</v>
      </c>
      <c r="P642" s="1">
        <f t="shared" si="641"/>
        <v>30.33838973</v>
      </c>
      <c r="Q642" s="1">
        <f t="shared" si="641"/>
        <v>35.51731424</v>
      </c>
      <c r="R642" s="1">
        <f t="shared" si="641"/>
        <v>21.808328</v>
      </c>
      <c r="S642" s="1">
        <f t="shared" si="641"/>
        <v>34.23350398</v>
      </c>
      <c r="T642" s="1">
        <f t="shared" si="641"/>
        <v>37.51938257</v>
      </c>
      <c r="U642" s="1">
        <f t="shared" si="641"/>
        <v>43.40164103</v>
      </c>
    </row>
    <row r="643">
      <c r="A643" s="3">
        <f>IFERROR(__xludf.DUMMYFUNCTION("""COMPUTED_VALUE"""),44562.0)</f>
        <v>44562</v>
      </c>
      <c r="B643" s="1">
        <f t="shared" ref="B643:U643" si="642">IF($A643&gt;0,Megyeinapi!B643/'megyelakosság'!B$2*100000," ")</f>
        <v>0</v>
      </c>
      <c r="C643" s="1">
        <f t="shared" si="642"/>
        <v>0</v>
      </c>
      <c r="D643" s="1">
        <f t="shared" si="642"/>
        <v>0</v>
      </c>
      <c r="E643" s="1">
        <f t="shared" si="642"/>
        <v>0</v>
      </c>
      <c r="F643" s="1">
        <f t="shared" si="642"/>
        <v>0</v>
      </c>
      <c r="G643" s="1">
        <f t="shared" si="642"/>
        <v>0</v>
      </c>
      <c r="H643" s="1">
        <f t="shared" si="642"/>
        <v>0</v>
      </c>
      <c r="I643" s="1">
        <f t="shared" si="642"/>
        <v>0</v>
      </c>
      <c r="J643" s="1">
        <f t="shared" si="642"/>
        <v>0</v>
      </c>
      <c r="K643" s="1">
        <f t="shared" si="642"/>
        <v>0</v>
      </c>
      <c r="L643" s="1">
        <f t="shared" si="642"/>
        <v>0</v>
      </c>
      <c r="M643" s="1">
        <f t="shared" si="642"/>
        <v>0</v>
      </c>
      <c r="N643" s="1">
        <f t="shared" si="642"/>
        <v>0</v>
      </c>
      <c r="O643" s="1">
        <f t="shared" si="642"/>
        <v>0</v>
      </c>
      <c r="P643" s="1">
        <f t="shared" si="642"/>
        <v>0</v>
      </c>
      <c r="Q643" s="1">
        <f t="shared" si="642"/>
        <v>0</v>
      </c>
      <c r="R643" s="1">
        <f t="shared" si="642"/>
        <v>0</v>
      </c>
      <c r="S643" s="1">
        <f t="shared" si="642"/>
        <v>0</v>
      </c>
      <c r="T643" s="1">
        <f t="shared" si="642"/>
        <v>0</v>
      </c>
      <c r="U643" s="1">
        <f t="shared" si="642"/>
        <v>0</v>
      </c>
    </row>
    <row r="644">
      <c r="A644" s="3">
        <f>IFERROR(__xludf.DUMMYFUNCTION("""COMPUTED_VALUE"""),44563.0)</f>
        <v>44563</v>
      </c>
      <c r="B644" s="1">
        <f t="shared" ref="B644:U644" si="643">IF($A644&gt;0,Megyeinapi!B644/'megyelakosság'!B$2*100000," ")</f>
        <v>0</v>
      </c>
      <c r="C644" s="1">
        <f t="shared" si="643"/>
        <v>0</v>
      </c>
      <c r="D644" s="1">
        <f t="shared" si="643"/>
        <v>0</v>
      </c>
      <c r="E644" s="1">
        <f t="shared" si="643"/>
        <v>0</v>
      </c>
      <c r="F644" s="1">
        <f t="shared" si="643"/>
        <v>0</v>
      </c>
      <c r="G644" s="1">
        <f t="shared" si="643"/>
        <v>0</v>
      </c>
      <c r="H644" s="1">
        <f t="shared" si="643"/>
        <v>0</v>
      </c>
      <c r="I644" s="1">
        <f t="shared" si="643"/>
        <v>0</v>
      </c>
      <c r="J644" s="1">
        <f t="shared" si="643"/>
        <v>0</v>
      </c>
      <c r="K644" s="1">
        <f t="shared" si="643"/>
        <v>0</v>
      </c>
      <c r="L644" s="1">
        <f t="shared" si="643"/>
        <v>0</v>
      </c>
      <c r="M644" s="1">
        <f t="shared" si="643"/>
        <v>0</v>
      </c>
      <c r="N644" s="1">
        <f t="shared" si="643"/>
        <v>0</v>
      </c>
      <c r="O644" s="1">
        <f t="shared" si="643"/>
        <v>0</v>
      </c>
      <c r="P644" s="1">
        <f t="shared" si="643"/>
        <v>0</v>
      </c>
      <c r="Q644" s="1">
        <f t="shared" si="643"/>
        <v>0</v>
      </c>
      <c r="R644" s="1">
        <f t="shared" si="643"/>
        <v>0</v>
      </c>
      <c r="S644" s="1">
        <f t="shared" si="643"/>
        <v>0</v>
      </c>
      <c r="T644" s="1">
        <f t="shared" si="643"/>
        <v>0</v>
      </c>
      <c r="U644" s="1">
        <f t="shared" si="643"/>
        <v>0</v>
      </c>
    </row>
    <row r="645">
      <c r="A645" s="3">
        <f>IFERROR(__xludf.DUMMYFUNCTION("""COMPUTED_VALUE"""),44564.0)</f>
        <v>44564</v>
      </c>
      <c r="B645" s="1">
        <f t="shared" ref="B645:U645" si="644">IF($A645&gt;0,Megyeinapi!B645/'megyelakosság'!B$2*100000," ")</f>
        <v>54.55776353</v>
      </c>
      <c r="C645" s="1">
        <f t="shared" si="644"/>
        <v>62.37660432</v>
      </c>
      <c r="D645" s="1">
        <f t="shared" si="644"/>
        <v>21.47987245</v>
      </c>
      <c r="E645" s="1">
        <f t="shared" si="644"/>
        <v>38.30070448</v>
      </c>
      <c r="F645" s="1">
        <f t="shared" si="644"/>
        <v>90.33170763</v>
      </c>
      <c r="G645" s="1">
        <f t="shared" si="644"/>
        <v>39.9164516</v>
      </c>
      <c r="H645" s="1">
        <f t="shared" si="644"/>
        <v>58.76689847</v>
      </c>
      <c r="I645" s="1">
        <f t="shared" si="644"/>
        <v>65.51958084</v>
      </c>
      <c r="J645" s="1">
        <f t="shared" si="644"/>
        <v>47.27306555</v>
      </c>
      <c r="K645" s="1">
        <f t="shared" si="644"/>
        <v>32.03588019</v>
      </c>
      <c r="L645" s="1">
        <f t="shared" si="644"/>
        <v>36.52171543</v>
      </c>
      <c r="M645" s="1">
        <f t="shared" si="644"/>
        <v>55.15041778</v>
      </c>
      <c r="N645" s="1">
        <f t="shared" si="644"/>
        <v>63.79856666</v>
      </c>
      <c r="O645" s="1">
        <f t="shared" si="644"/>
        <v>59.67148304</v>
      </c>
      <c r="P645" s="1">
        <f t="shared" si="644"/>
        <v>57.00950158</v>
      </c>
      <c r="Q645" s="1">
        <f t="shared" si="644"/>
        <v>60.10622409</v>
      </c>
      <c r="R645" s="1">
        <f t="shared" si="644"/>
        <v>61.71292816</v>
      </c>
      <c r="S645" s="1">
        <f t="shared" si="644"/>
        <v>69.64747361</v>
      </c>
      <c r="T645" s="1">
        <f t="shared" si="644"/>
        <v>68.29700109</v>
      </c>
      <c r="U645" s="1">
        <f t="shared" si="644"/>
        <v>65.47661362</v>
      </c>
    </row>
    <row r="646">
      <c r="A646" s="3">
        <f>IFERROR(__xludf.DUMMYFUNCTION("""COMPUTED_VALUE"""),44565.0)</f>
        <v>44565</v>
      </c>
      <c r="B646" s="1">
        <f t="shared" ref="B646:U646" si="645">IF($A646&gt;0,Megyeinapi!B646/'megyelakosság'!B$2*100000," ")</f>
        <v>18.31866513</v>
      </c>
      <c r="C646" s="1">
        <f t="shared" si="645"/>
        <v>33.13757104</v>
      </c>
      <c r="D646" s="1">
        <f t="shared" si="645"/>
        <v>16.03427099</v>
      </c>
      <c r="E646" s="1">
        <f t="shared" si="645"/>
        <v>11.92972763</v>
      </c>
      <c r="F646" s="1">
        <f t="shared" si="645"/>
        <v>40.50928571</v>
      </c>
      <c r="G646" s="1">
        <f t="shared" si="645"/>
        <v>14.81176506</v>
      </c>
      <c r="H646" s="1">
        <f t="shared" si="645"/>
        <v>19.82785599</v>
      </c>
      <c r="I646" s="1">
        <f t="shared" si="645"/>
        <v>19.02181379</v>
      </c>
      <c r="J646" s="1">
        <f t="shared" si="645"/>
        <v>19.93442523</v>
      </c>
      <c r="K646" s="1">
        <f t="shared" si="645"/>
        <v>11.24663879</v>
      </c>
      <c r="L646" s="1">
        <f t="shared" si="645"/>
        <v>8.9941538</v>
      </c>
      <c r="M646" s="1">
        <f t="shared" si="645"/>
        <v>28.90413462</v>
      </c>
      <c r="N646" s="1">
        <f t="shared" si="645"/>
        <v>20.73453416</v>
      </c>
      <c r="O646" s="1">
        <f t="shared" si="645"/>
        <v>25.98099456</v>
      </c>
      <c r="P646" s="1">
        <f t="shared" si="645"/>
        <v>30.00500083</v>
      </c>
      <c r="Q646" s="1">
        <f t="shared" si="645"/>
        <v>30.41739219</v>
      </c>
      <c r="R646" s="1">
        <f t="shared" si="645"/>
        <v>26.91240476</v>
      </c>
      <c r="S646" s="1">
        <f t="shared" si="645"/>
        <v>14.16558785</v>
      </c>
      <c r="T646" s="1">
        <f t="shared" si="645"/>
        <v>25.50145534</v>
      </c>
      <c r="U646" s="1">
        <f t="shared" si="645"/>
        <v>28.43555792</v>
      </c>
    </row>
    <row r="647">
      <c r="A647" s="3">
        <f>IFERROR(__xludf.DUMMYFUNCTION("""COMPUTED_VALUE"""),44566.0)</f>
        <v>44566</v>
      </c>
      <c r="B647" s="1">
        <f t="shared" ref="B647:U647" si="646">IF($A647&gt;0,Megyeinapi!B647/'megyelakosság'!B$2*100000," ")</f>
        <v>46.79224244</v>
      </c>
      <c r="C647" s="1">
        <f t="shared" si="646"/>
        <v>57.36419861</v>
      </c>
      <c r="D647" s="1">
        <f t="shared" si="646"/>
        <v>34.7913427</v>
      </c>
      <c r="E647" s="1">
        <f t="shared" si="646"/>
        <v>28.72552836</v>
      </c>
      <c r="F647" s="1">
        <f t="shared" si="646"/>
        <v>88.96044831</v>
      </c>
      <c r="G647" s="1">
        <f t="shared" si="646"/>
        <v>25.35573341</v>
      </c>
      <c r="H647" s="1">
        <f t="shared" si="646"/>
        <v>49.21130522</v>
      </c>
      <c r="I647" s="1">
        <f t="shared" si="646"/>
        <v>39.31174851</v>
      </c>
      <c r="J647" s="1">
        <f t="shared" si="646"/>
        <v>33.79359706</v>
      </c>
      <c r="K647" s="1">
        <f t="shared" si="646"/>
        <v>34.76233807</v>
      </c>
      <c r="L647" s="1">
        <f t="shared" si="646"/>
        <v>29.16286232</v>
      </c>
      <c r="M647" s="1">
        <f t="shared" si="646"/>
        <v>47.50909484</v>
      </c>
      <c r="N647" s="1">
        <f t="shared" si="646"/>
        <v>52.10216277</v>
      </c>
      <c r="O647" s="1">
        <f t="shared" si="646"/>
        <v>64.52846422</v>
      </c>
      <c r="P647" s="1">
        <f t="shared" si="646"/>
        <v>55.00916819</v>
      </c>
      <c r="Q647" s="1">
        <f t="shared" si="646"/>
        <v>58.83124358</v>
      </c>
      <c r="R647" s="1">
        <f t="shared" si="646"/>
        <v>49.18473974</v>
      </c>
      <c r="S647" s="1">
        <f t="shared" si="646"/>
        <v>47.21862617</v>
      </c>
      <c r="T647" s="1">
        <f t="shared" si="646"/>
        <v>47.48546857</v>
      </c>
      <c r="U647" s="1">
        <f t="shared" si="646"/>
        <v>52.3812909</v>
      </c>
    </row>
    <row r="648">
      <c r="A648" s="3">
        <f>IFERROR(__xludf.DUMMYFUNCTION("""COMPUTED_VALUE"""),44567.0)</f>
        <v>44567</v>
      </c>
      <c r="B648" s="1">
        <f t="shared" ref="B648:U648" si="647">IF($A648&gt;0,Megyeinapi!B648/'megyelakosság'!B$2*100000," ")</f>
        <v>43.40727171</v>
      </c>
      <c r="C648" s="1">
        <f t="shared" si="647"/>
        <v>49.01018911</v>
      </c>
      <c r="D648" s="1">
        <f t="shared" si="647"/>
        <v>42.65721149</v>
      </c>
      <c r="E648" s="1">
        <f t="shared" si="647"/>
        <v>34.53342207</v>
      </c>
      <c r="F648" s="1">
        <f t="shared" si="647"/>
        <v>107.8152639</v>
      </c>
      <c r="G648" s="1">
        <f t="shared" si="647"/>
        <v>45.69052951</v>
      </c>
      <c r="H648" s="1">
        <f t="shared" si="647"/>
        <v>63.30580526</v>
      </c>
      <c r="I648" s="1">
        <f t="shared" si="647"/>
        <v>68.26717617</v>
      </c>
      <c r="J648" s="1">
        <f t="shared" si="647"/>
        <v>50.88024726</v>
      </c>
      <c r="K648" s="1">
        <f t="shared" si="647"/>
        <v>31.35426571</v>
      </c>
      <c r="L648" s="1">
        <f t="shared" si="647"/>
        <v>31.34326324</v>
      </c>
      <c r="M648" s="1">
        <f t="shared" si="647"/>
        <v>60.4661207</v>
      </c>
      <c r="N648" s="1">
        <f t="shared" si="647"/>
        <v>70.17842332</v>
      </c>
      <c r="O648" s="1">
        <f t="shared" si="647"/>
        <v>80.87259136</v>
      </c>
      <c r="P648" s="1">
        <f t="shared" si="647"/>
        <v>71.3452242</v>
      </c>
      <c r="Q648" s="1">
        <f t="shared" si="647"/>
        <v>58.28482336</v>
      </c>
      <c r="R648" s="1">
        <f t="shared" si="647"/>
        <v>61.71292816</v>
      </c>
      <c r="S648" s="1">
        <f t="shared" si="647"/>
        <v>53.12095445</v>
      </c>
      <c r="T648" s="1">
        <f t="shared" si="647"/>
        <v>68.29700109</v>
      </c>
      <c r="U648" s="1">
        <f t="shared" si="647"/>
        <v>63.23170116</v>
      </c>
    </row>
    <row r="649">
      <c r="A649" s="3">
        <f>IFERROR(__xludf.DUMMYFUNCTION("""COMPUTED_VALUE"""),44568.0)</f>
        <v>44568</v>
      </c>
      <c r="B649" s="1">
        <f t="shared" ref="B649:U649" si="648">IF($A649&gt;0,Megyeinapi!B649/'megyelakosság'!B$2*100000," ")</f>
        <v>44.40285134</v>
      </c>
      <c r="C649" s="1">
        <f t="shared" si="648"/>
        <v>52.07332593</v>
      </c>
      <c r="D649" s="1">
        <f t="shared" si="648"/>
        <v>36.00147636</v>
      </c>
      <c r="E649" s="1">
        <f t="shared" si="648"/>
        <v>38.30070448</v>
      </c>
      <c r="F649" s="1">
        <f t="shared" si="648"/>
        <v>110.6720542</v>
      </c>
      <c r="G649" s="1">
        <f t="shared" si="648"/>
        <v>33.13818624</v>
      </c>
      <c r="H649" s="1">
        <f t="shared" si="648"/>
        <v>54.22799168</v>
      </c>
      <c r="I649" s="1">
        <f t="shared" si="648"/>
        <v>63.82875295</v>
      </c>
      <c r="J649" s="1">
        <f t="shared" si="648"/>
        <v>55.24683565</v>
      </c>
      <c r="K649" s="1">
        <f t="shared" si="648"/>
        <v>33.73991637</v>
      </c>
      <c r="L649" s="1">
        <f t="shared" si="648"/>
        <v>36.24916532</v>
      </c>
      <c r="M649" s="1">
        <f t="shared" si="648"/>
        <v>68.77190651</v>
      </c>
      <c r="N649" s="1">
        <f t="shared" si="648"/>
        <v>59.54532888</v>
      </c>
      <c r="O649" s="1">
        <f t="shared" si="648"/>
        <v>81.72063569</v>
      </c>
      <c r="P649" s="1">
        <f t="shared" si="648"/>
        <v>67.34455743</v>
      </c>
      <c r="Q649" s="1">
        <f t="shared" si="648"/>
        <v>57.55626307</v>
      </c>
      <c r="R649" s="1">
        <f t="shared" si="648"/>
        <v>57.53686535</v>
      </c>
      <c r="S649" s="1">
        <f t="shared" si="648"/>
        <v>70.04096216</v>
      </c>
      <c r="T649" s="1">
        <f t="shared" si="648"/>
        <v>70.93508267</v>
      </c>
      <c r="U649" s="1">
        <f t="shared" si="648"/>
        <v>70.71474271</v>
      </c>
    </row>
    <row r="650">
      <c r="A650" s="3">
        <f>IFERROR(__xludf.DUMMYFUNCTION("""COMPUTED_VALUE"""),44569.0)</f>
        <v>44569</v>
      </c>
      <c r="B650" s="1">
        <f t="shared" ref="B650:U650" si="649">IF($A650&gt;0,Megyeinapi!B650/'megyelakosság'!B$2*100000," ")</f>
        <v>0</v>
      </c>
      <c r="C650" s="1">
        <f t="shared" si="649"/>
        <v>0</v>
      </c>
      <c r="D650" s="1">
        <f t="shared" si="649"/>
        <v>0</v>
      </c>
      <c r="E650" s="1">
        <f t="shared" si="649"/>
        <v>0</v>
      </c>
      <c r="F650" s="1">
        <f t="shared" si="649"/>
        <v>0</v>
      </c>
      <c r="G650" s="1">
        <f t="shared" si="649"/>
        <v>0</v>
      </c>
      <c r="H650" s="1">
        <f t="shared" si="649"/>
        <v>0</v>
      </c>
      <c r="I650" s="1">
        <f t="shared" si="649"/>
        <v>0</v>
      </c>
      <c r="J650" s="1">
        <f t="shared" si="649"/>
        <v>0</v>
      </c>
      <c r="K650" s="1">
        <f t="shared" si="649"/>
        <v>0</v>
      </c>
      <c r="L650" s="1">
        <f t="shared" si="649"/>
        <v>0</v>
      </c>
      <c r="M650" s="1">
        <f t="shared" si="649"/>
        <v>0</v>
      </c>
      <c r="N650" s="1">
        <f t="shared" si="649"/>
        <v>0</v>
      </c>
      <c r="O650" s="1">
        <f t="shared" si="649"/>
        <v>0</v>
      </c>
      <c r="P650" s="1">
        <f t="shared" si="649"/>
        <v>0</v>
      </c>
      <c r="Q650" s="1">
        <f t="shared" si="649"/>
        <v>0</v>
      </c>
      <c r="R650" s="1">
        <f t="shared" si="649"/>
        <v>0</v>
      </c>
      <c r="S650" s="1">
        <f t="shared" si="649"/>
        <v>0</v>
      </c>
      <c r="T650" s="1">
        <f t="shared" si="649"/>
        <v>0</v>
      </c>
      <c r="U650" s="1">
        <f t="shared" si="649"/>
        <v>0</v>
      </c>
    </row>
    <row r="651">
      <c r="A651" s="3">
        <f>IFERROR(__xludf.DUMMYFUNCTION("""COMPUTED_VALUE"""),44570.0)</f>
        <v>44570</v>
      </c>
      <c r="B651" s="1">
        <f t="shared" ref="B651:U651" si="650">IF($A651&gt;0,Megyeinapi!B651/'megyelakosság'!B$2*100000," ")</f>
        <v>0</v>
      </c>
      <c r="C651" s="1">
        <f t="shared" si="650"/>
        <v>0</v>
      </c>
      <c r="D651" s="1">
        <f t="shared" si="650"/>
        <v>0</v>
      </c>
      <c r="E651" s="1">
        <f t="shared" si="650"/>
        <v>0</v>
      </c>
      <c r="F651" s="1">
        <f t="shared" si="650"/>
        <v>0</v>
      </c>
      <c r="G651" s="1">
        <f t="shared" si="650"/>
        <v>0</v>
      </c>
      <c r="H651" s="1">
        <f t="shared" si="650"/>
        <v>0</v>
      </c>
      <c r="I651" s="1">
        <f t="shared" si="650"/>
        <v>0</v>
      </c>
      <c r="J651" s="1">
        <f t="shared" si="650"/>
        <v>0</v>
      </c>
      <c r="K651" s="1">
        <f t="shared" si="650"/>
        <v>0</v>
      </c>
      <c r="L651" s="1">
        <f t="shared" si="650"/>
        <v>0</v>
      </c>
      <c r="M651" s="1">
        <f t="shared" si="650"/>
        <v>0</v>
      </c>
      <c r="N651" s="1">
        <f t="shared" si="650"/>
        <v>0</v>
      </c>
      <c r="O651" s="1">
        <f t="shared" si="650"/>
        <v>0</v>
      </c>
      <c r="P651" s="1">
        <f t="shared" si="650"/>
        <v>0</v>
      </c>
      <c r="Q651" s="1">
        <f t="shared" si="650"/>
        <v>0</v>
      </c>
      <c r="R651" s="1">
        <f t="shared" si="650"/>
        <v>0</v>
      </c>
      <c r="S651" s="1">
        <f t="shared" si="650"/>
        <v>0</v>
      </c>
      <c r="T651" s="1">
        <f t="shared" si="650"/>
        <v>0</v>
      </c>
      <c r="U651" s="1">
        <f t="shared" si="650"/>
        <v>0</v>
      </c>
    </row>
    <row r="652">
      <c r="A652" s="3">
        <f>IFERROR(__xludf.DUMMYFUNCTION("""COMPUTED_VALUE"""),44571.0)</f>
        <v>44571</v>
      </c>
      <c r="B652" s="1">
        <f t="shared" ref="B652:U652" si="651">IF($A652&gt;0,Megyeinapi!B652/'megyelakosság'!B$2*100000," ")</f>
        <v>128.2306559</v>
      </c>
      <c r="C652" s="1">
        <f t="shared" si="651"/>
        <v>129.2086804</v>
      </c>
      <c r="D652" s="1">
        <f t="shared" si="651"/>
        <v>73.81815322</v>
      </c>
      <c r="E652" s="1">
        <f t="shared" si="651"/>
        <v>75.65958836</v>
      </c>
      <c r="F652" s="1">
        <f t="shared" si="651"/>
        <v>244.4269736</v>
      </c>
      <c r="G652" s="1">
        <f t="shared" si="651"/>
        <v>101.1718868</v>
      </c>
      <c r="H652" s="1">
        <f t="shared" si="651"/>
        <v>154.0839411</v>
      </c>
      <c r="I652" s="1">
        <f t="shared" si="651"/>
        <v>166.1238405</v>
      </c>
      <c r="J652" s="1">
        <f t="shared" si="651"/>
        <v>117.3283314</v>
      </c>
      <c r="K652" s="1">
        <f t="shared" si="651"/>
        <v>77.36324258</v>
      </c>
      <c r="L652" s="1">
        <f t="shared" si="651"/>
        <v>61.32377591</v>
      </c>
      <c r="M652" s="1">
        <f t="shared" si="651"/>
        <v>143.5239788</v>
      </c>
      <c r="N652" s="1">
        <f t="shared" si="651"/>
        <v>126.0021692</v>
      </c>
      <c r="O652" s="1">
        <f t="shared" si="651"/>
        <v>177.4725503</v>
      </c>
      <c r="P652" s="1">
        <f t="shared" si="651"/>
        <v>116.6861144</v>
      </c>
      <c r="Q652" s="1">
        <f t="shared" si="651"/>
        <v>135.6943544</v>
      </c>
      <c r="R652" s="1">
        <f t="shared" si="651"/>
        <v>136.4180517</v>
      </c>
      <c r="S652" s="1">
        <f t="shared" si="651"/>
        <v>141.26239</v>
      </c>
      <c r="T652" s="1">
        <f t="shared" si="651"/>
        <v>169.1303417</v>
      </c>
      <c r="U652" s="1">
        <f t="shared" si="651"/>
        <v>128.3341627</v>
      </c>
    </row>
    <row r="653">
      <c r="A653" s="3">
        <f>IFERROR(__xludf.DUMMYFUNCTION("""COMPUTED_VALUE"""),44572.0)</f>
        <v>44572</v>
      </c>
      <c r="B653" s="1">
        <f t="shared" ref="B653:U653" si="652">IF($A653&gt;0,Megyeinapi!B653/'megyelakosság'!B$2*100000," ")</f>
        <v>25.88507029</v>
      </c>
      <c r="C653" s="1">
        <f t="shared" si="652"/>
        <v>27.28976439</v>
      </c>
      <c r="D653" s="1">
        <f t="shared" si="652"/>
        <v>16.94187123</v>
      </c>
      <c r="E653" s="1">
        <f t="shared" si="652"/>
        <v>11.30184722</v>
      </c>
      <c r="F653" s="1">
        <f t="shared" si="652"/>
        <v>59.64978037</v>
      </c>
      <c r="G653" s="1">
        <f t="shared" si="652"/>
        <v>18.07537431</v>
      </c>
      <c r="H653" s="1">
        <f t="shared" si="652"/>
        <v>27.23344075</v>
      </c>
      <c r="I653" s="1">
        <f t="shared" si="652"/>
        <v>28.53272069</v>
      </c>
      <c r="J653" s="1">
        <f t="shared" si="652"/>
        <v>21.64309025</v>
      </c>
      <c r="K653" s="1">
        <f t="shared" si="652"/>
        <v>17.0403618</v>
      </c>
      <c r="L653" s="1">
        <f t="shared" si="652"/>
        <v>17.44320737</v>
      </c>
      <c r="M653" s="1">
        <f t="shared" si="652"/>
        <v>39.53554046</v>
      </c>
      <c r="N653" s="1">
        <f t="shared" si="652"/>
        <v>15.41798694</v>
      </c>
      <c r="O653" s="1">
        <f t="shared" si="652"/>
        <v>45.56310915</v>
      </c>
      <c r="P653" s="1">
        <f t="shared" si="652"/>
        <v>30.67177863</v>
      </c>
      <c r="Q653" s="1">
        <f t="shared" si="652"/>
        <v>37.88513518</v>
      </c>
      <c r="R653" s="1">
        <f t="shared" si="652"/>
        <v>32.48048851</v>
      </c>
      <c r="S653" s="1">
        <f t="shared" si="652"/>
        <v>44.07071776</v>
      </c>
      <c r="T653" s="1">
        <f t="shared" si="652"/>
        <v>29.60513781</v>
      </c>
      <c r="U653" s="1">
        <f t="shared" si="652"/>
        <v>41.53088064</v>
      </c>
    </row>
    <row r="654">
      <c r="A654" s="3">
        <f>IFERROR(__xludf.DUMMYFUNCTION("""COMPUTED_VALUE"""),44573.0)</f>
        <v>44573</v>
      </c>
      <c r="B654" s="1">
        <f t="shared" ref="B654:U654" si="653">IF($A654&gt;0,Megyeinapi!B654/'megyelakosság'!B$2*100000," ")</f>
        <v>58.73919796</v>
      </c>
      <c r="C654" s="1">
        <f t="shared" si="653"/>
        <v>75.18608556</v>
      </c>
      <c r="D654" s="1">
        <f t="shared" si="653"/>
        <v>50.22054686</v>
      </c>
      <c r="E654" s="1">
        <f t="shared" si="653"/>
        <v>34.21948187</v>
      </c>
      <c r="F654" s="1">
        <f t="shared" si="653"/>
        <v>136.6117096</v>
      </c>
      <c r="G654" s="1">
        <f t="shared" si="653"/>
        <v>34.39342056</v>
      </c>
      <c r="H654" s="1">
        <f t="shared" si="653"/>
        <v>63.78358492</v>
      </c>
      <c r="I654" s="1">
        <f t="shared" si="653"/>
        <v>76.93266912</v>
      </c>
      <c r="J654" s="1">
        <f t="shared" si="653"/>
        <v>43.66588384</v>
      </c>
      <c r="K654" s="1">
        <f t="shared" si="653"/>
        <v>46.3497841</v>
      </c>
      <c r="L654" s="1">
        <f t="shared" si="653"/>
        <v>33.52366416</v>
      </c>
      <c r="M654" s="1">
        <f t="shared" si="653"/>
        <v>59.4694264</v>
      </c>
      <c r="N654" s="1">
        <f t="shared" si="653"/>
        <v>77.62158943</v>
      </c>
      <c r="O654" s="1">
        <f t="shared" si="653"/>
        <v>121.4245295</v>
      </c>
      <c r="P654" s="1">
        <f t="shared" si="653"/>
        <v>68.34472412</v>
      </c>
      <c r="Q654" s="1">
        <f t="shared" si="653"/>
        <v>66.29898657</v>
      </c>
      <c r="R654" s="1">
        <f t="shared" si="653"/>
        <v>68.67303284</v>
      </c>
      <c r="S654" s="1">
        <f t="shared" si="653"/>
        <v>81.0586416</v>
      </c>
      <c r="T654" s="1">
        <f t="shared" si="653"/>
        <v>58.33091509</v>
      </c>
      <c r="U654" s="1">
        <f t="shared" si="653"/>
        <v>98.77614855</v>
      </c>
    </row>
    <row r="655">
      <c r="A655" s="3">
        <f>IFERROR(__xludf.DUMMYFUNCTION("""COMPUTED_VALUE"""),44574.0)</f>
        <v>44574</v>
      </c>
      <c r="B655" s="1">
        <f t="shared" ref="B655:U655" si="654">IF($A655&gt;0,Megyeinapi!B655/'megyelakosság'!B$2*100000," ")</f>
        <v>71.48261718</v>
      </c>
      <c r="C655" s="1">
        <f t="shared" si="654"/>
        <v>73.23681668</v>
      </c>
      <c r="D655" s="1">
        <f t="shared" si="654"/>
        <v>37.21161002</v>
      </c>
      <c r="E655" s="1">
        <f t="shared" si="654"/>
        <v>32.33584067</v>
      </c>
      <c r="F655" s="1">
        <f t="shared" si="654"/>
        <v>161.5800564</v>
      </c>
      <c r="G655" s="1">
        <f t="shared" si="654"/>
        <v>51.71565428</v>
      </c>
      <c r="H655" s="1">
        <f t="shared" si="654"/>
        <v>80.02809344</v>
      </c>
      <c r="I655" s="1">
        <f t="shared" si="654"/>
        <v>99.3361387</v>
      </c>
      <c r="J655" s="1">
        <f t="shared" si="654"/>
        <v>56.95550067</v>
      </c>
      <c r="K655" s="1">
        <f t="shared" si="654"/>
        <v>48.73543475</v>
      </c>
      <c r="L655" s="1">
        <f t="shared" si="654"/>
        <v>41.70016762</v>
      </c>
      <c r="M655" s="1">
        <f t="shared" si="654"/>
        <v>80.73223808</v>
      </c>
      <c r="N655" s="1">
        <f t="shared" si="654"/>
        <v>90.38130277</v>
      </c>
      <c r="O655" s="1">
        <f t="shared" si="654"/>
        <v>142.2401631</v>
      </c>
      <c r="P655" s="1">
        <f t="shared" si="654"/>
        <v>73.01216869</v>
      </c>
      <c r="Q655" s="1">
        <f t="shared" si="654"/>
        <v>76.13455051</v>
      </c>
      <c r="R655" s="1">
        <f t="shared" si="654"/>
        <v>70.99306774</v>
      </c>
      <c r="S655" s="1">
        <f t="shared" si="654"/>
        <v>72.00840492</v>
      </c>
      <c r="T655" s="1">
        <f t="shared" si="654"/>
        <v>92.9190959</v>
      </c>
      <c r="U655" s="1">
        <f t="shared" si="654"/>
        <v>105.510886</v>
      </c>
    </row>
    <row r="656">
      <c r="A656" s="3">
        <f>IFERROR(__xludf.DUMMYFUNCTION("""COMPUTED_VALUE"""),44575.0)</f>
        <v>44575</v>
      </c>
      <c r="B656" s="1">
        <f t="shared" ref="B656:U656" si="655">IF($A656&gt;0,Megyeinapi!B656/'megyelakosság'!B$2*100000," ")</f>
        <v>68.69499423</v>
      </c>
      <c r="C656" s="1">
        <f t="shared" si="655"/>
        <v>77.9707554</v>
      </c>
      <c r="D656" s="1">
        <f t="shared" si="655"/>
        <v>39.32934393</v>
      </c>
      <c r="E656" s="1">
        <f t="shared" si="655"/>
        <v>40.65525599</v>
      </c>
      <c r="F656" s="1">
        <f t="shared" si="655"/>
        <v>131.9265736</v>
      </c>
      <c r="G656" s="1">
        <f t="shared" si="655"/>
        <v>70.79521605</v>
      </c>
      <c r="H656" s="1">
        <f t="shared" si="655"/>
        <v>82.65588159</v>
      </c>
      <c r="I656" s="1">
        <f t="shared" si="655"/>
        <v>111.1719339</v>
      </c>
      <c r="J656" s="1">
        <f t="shared" si="655"/>
        <v>65.87852911</v>
      </c>
      <c r="K656" s="1">
        <f t="shared" si="655"/>
        <v>59.30045907</v>
      </c>
      <c r="L656" s="1">
        <f t="shared" si="655"/>
        <v>50.96687153</v>
      </c>
      <c r="M656" s="1">
        <f t="shared" si="655"/>
        <v>89.70248675</v>
      </c>
      <c r="N656" s="1">
        <f t="shared" si="655"/>
        <v>57.41870999</v>
      </c>
      <c r="O656" s="1">
        <f t="shared" si="655"/>
        <v>121.8100041</v>
      </c>
      <c r="P656" s="1">
        <f t="shared" si="655"/>
        <v>97.01616936</v>
      </c>
      <c r="Q656" s="1">
        <f t="shared" si="655"/>
        <v>68.84894759</v>
      </c>
      <c r="R656" s="1">
        <f t="shared" si="655"/>
        <v>75.63313752</v>
      </c>
      <c r="S656" s="1">
        <f t="shared" si="655"/>
        <v>110.570283</v>
      </c>
      <c r="T656" s="1">
        <f t="shared" si="655"/>
        <v>99.95398013</v>
      </c>
      <c r="U656" s="1">
        <f t="shared" si="655"/>
        <v>121.2252732</v>
      </c>
    </row>
    <row r="657">
      <c r="A657" s="3">
        <f>IFERROR(__xludf.DUMMYFUNCTION("""COMPUTED_VALUE"""),44576.0)</f>
        <v>44576</v>
      </c>
      <c r="B657" s="1">
        <f t="shared" ref="B657:U657" si="656">IF($A657&gt;0,Megyeinapi!B657/'megyelakosság'!B$2*100000," ")</f>
        <v>0</v>
      </c>
      <c r="C657" s="1">
        <f t="shared" si="656"/>
        <v>0</v>
      </c>
      <c r="D657" s="1">
        <f t="shared" si="656"/>
        <v>0</v>
      </c>
      <c r="E657" s="1">
        <f t="shared" si="656"/>
        <v>0</v>
      </c>
      <c r="F657" s="1">
        <f t="shared" si="656"/>
        <v>0</v>
      </c>
      <c r="G657" s="1">
        <f t="shared" si="656"/>
        <v>0</v>
      </c>
      <c r="H657" s="1">
        <f t="shared" si="656"/>
        <v>0</v>
      </c>
      <c r="I657" s="1">
        <f t="shared" si="656"/>
        <v>0</v>
      </c>
      <c r="J657" s="1">
        <f t="shared" si="656"/>
        <v>0</v>
      </c>
      <c r="K657" s="1">
        <f t="shared" si="656"/>
        <v>0</v>
      </c>
      <c r="L657" s="1">
        <f t="shared" si="656"/>
        <v>0</v>
      </c>
      <c r="M657" s="1">
        <f t="shared" si="656"/>
        <v>0</v>
      </c>
      <c r="N657" s="1">
        <f t="shared" si="656"/>
        <v>0</v>
      </c>
      <c r="O657" s="1">
        <f t="shared" si="656"/>
        <v>0</v>
      </c>
      <c r="P657" s="1">
        <f t="shared" si="656"/>
        <v>0</v>
      </c>
      <c r="Q657" s="1">
        <f t="shared" si="656"/>
        <v>0</v>
      </c>
      <c r="R657" s="1">
        <f t="shared" si="656"/>
        <v>0</v>
      </c>
      <c r="S657" s="1">
        <f t="shared" si="656"/>
        <v>0</v>
      </c>
      <c r="T657" s="1">
        <f t="shared" si="656"/>
        <v>0</v>
      </c>
      <c r="U657" s="1">
        <f t="shared" si="656"/>
        <v>0</v>
      </c>
    </row>
    <row r="658">
      <c r="A658" s="3">
        <f>IFERROR(__xludf.DUMMYFUNCTION("""COMPUTED_VALUE"""),44577.0)</f>
        <v>44577</v>
      </c>
      <c r="B658" s="1">
        <f t="shared" ref="B658:U658" si="657">IF($A658&gt;0,Megyeinapi!B658/'megyelakosság'!B$2*100000," ")</f>
        <v>0</v>
      </c>
      <c r="C658" s="1">
        <f t="shared" si="657"/>
        <v>0</v>
      </c>
      <c r="D658" s="1">
        <f t="shared" si="657"/>
        <v>0</v>
      </c>
      <c r="E658" s="1">
        <f t="shared" si="657"/>
        <v>0</v>
      </c>
      <c r="F658" s="1">
        <f t="shared" si="657"/>
        <v>0</v>
      </c>
      <c r="G658" s="1">
        <f t="shared" si="657"/>
        <v>0</v>
      </c>
      <c r="H658" s="1">
        <f t="shared" si="657"/>
        <v>0</v>
      </c>
      <c r="I658" s="1">
        <f t="shared" si="657"/>
        <v>0</v>
      </c>
      <c r="J658" s="1">
        <f t="shared" si="657"/>
        <v>0</v>
      </c>
      <c r="K658" s="1">
        <f t="shared" si="657"/>
        <v>0</v>
      </c>
      <c r="L658" s="1">
        <f t="shared" si="657"/>
        <v>0</v>
      </c>
      <c r="M658" s="1">
        <f t="shared" si="657"/>
        <v>0</v>
      </c>
      <c r="N658" s="1">
        <f t="shared" si="657"/>
        <v>0</v>
      </c>
      <c r="O658" s="1">
        <f t="shared" si="657"/>
        <v>0</v>
      </c>
      <c r="P658" s="1">
        <f t="shared" si="657"/>
        <v>0</v>
      </c>
      <c r="Q658" s="1">
        <f t="shared" si="657"/>
        <v>0</v>
      </c>
      <c r="R658" s="1">
        <f t="shared" si="657"/>
        <v>0</v>
      </c>
      <c r="S658" s="1">
        <f t="shared" si="657"/>
        <v>0</v>
      </c>
      <c r="T658" s="1">
        <f t="shared" si="657"/>
        <v>0</v>
      </c>
      <c r="U658" s="1">
        <f t="shared" si="657"/>
        <v>0</v>
      </c>
    </row>
    <row r="659">
      <c r="A659" s="3">
        <f>IFERROR(__xludf.DUMMYFUNCTION("""COMPUTED_VALUE"""),44578.0)</f>
        <v>44578</v>
      </c>
      <c r="B659" s="1">
        <f t="shared" ref="B659:U659" si="658">IF($A659&gt;0,Megyeinapi!B659/'megyelakosság'!B$2*100000," ")</f>
        <v>170.0450002</v>
      </c>
      <c r="C659" s="1">
        <f t="shared" si="658"/>
        <v>195.4838225</v>
      </c>
      <c r="D659" s="1">
        <f t="shared" si="658"/>
        <v>131.6020354</v>
      </c>
      <c r="E659" s="1">
        <f t="shared" si="658"/>
        <v>87.58931599</v>
      </c>
      <c r="F659" s="1">
        <f t="shared" si="658"/>
        <v>314.5897421</v>
      </c>
      <c r="G659" s="1">
        <f t="shared" si="658"/>
        <v>201.8416798</v>
      </c>
      <c r="H659" s="1">
        <f t="shared" si="658"/>
        <v>213.0897294</v>
      </c>
      <c r="I659" s="1">
        <f t="shared" si="658"/>
        <v>289.3429231</v>
      </c>
      <c r="J659" s="1">
        <f t="shared" si="658"/>
        <v>144.8568234</v>
      </c>
      <c r="K659" s="1">
        <f t="shared" si="658"/>
        <v>114.1704241</v>
      </c>
      <c r="L659" s="1">
        <f t="shared" si="658"/>
        <v>90.48663823</v>
      </c>
      <c r="M659" s="1">
        <f t="shared" si="658"/>
        <v>217.2793568</v>
      </c>
      <c r="N659" s="1">
        <f t="shared" si="658"/>
        <v>132.9136805</v>
      </c>
      <c r="O659" s="1">
        <f t="shared" si="658"/>
        <v>287.7954085</v>
      </c>
      <c r="P659" s="1">
        <f t="shared" si="658"/>
        <v>232.372062</v>
      </c>
      <c r="Q659" s="1">
        <f t="shared" si="658"/>
        <v>170.8473885</v>
      </c>
      <c r="R659" s="1">
        <f t="shared" si="658"/>
        <v>174.466624</v>
      </c>
      <c r="S659" s="1">
        <f t="shared" si="658"/>
        <v>286.4596655</v>
      </c>
      <c r="T659" s="1">
        <f t="shared" si="658"/>
        <v>193.4593164</v>
      </c>
      <c r="U659" s="1">
        <f t="shared" si="658"/>
        <v>236.8382653</v>
      </c>
    </row>
    <row r="660">
      <c r="A660" s="3">
        <f>IFERROR(__xludf.DUMMYFUNCTION("""COMPUTED_VALUE"""),44579.0)</f>
        <v>44579</v>
      </c>
      <c r="B660" s="1">
        <f t="shared" ref="B660:U660" si="659">IF($A660&gt;0,Megyeinapi!B660/'megyelakosság'!B$2*100000," ")</f>
        <v>41.01788061</v>
      </c>
      <c r="C660" s="1">
        <f t="shared" si="659"/>
        <v>86.3247649</v>
      </c>
      <c r="D660" s="1">
        <f t="shared" si="659"/>
        <v>47.49774613</v>
      </c>
      <c r="E660" s="1">
        <f t="shared" si="659"/>
        <v>20.87702334</v>
      </c>
      <c r="F660" s="1">
        <f t="shared" si="659"/>
        <v>99.93052286</v>
      </c>
      <c r="G660" s="1">
        <f t="shared" si="659"/>
        <v>30.12562385</v>
      </c>
      <c r="H660" s="1">
        <f t="shared" si="659"/>
        <v>37.02792383</v>
      </c>
      <c r="I660" s="1">
        <f t="shared" si="659"/>
        <v>80.31432491</v>
      </c>
      <c r="J660" s="1">
        <f t="shared" si="659"/>
        <v>30.18641535</v>
      </c>
      <c r="K660" s="1">
        <f t="shared" si="659"/>
        <v>47.71301304</v>
      </c>
      <c r="L660" s="1">
        <f t="shared" si="659"/>
        <v>37.33936578</v>
      </c>
      <c r="M660" s="1">
        <f t="shared" si="659"/>
        <v>103.6562069</v>
      </c>
      <c r="N660" s="1">
        <f t="shared" si="659"/>
        <v>43.06403249</v>
      </c>
      <c r="O660" s="1">
        <f t="shared" si="659"/>
        <v>99.68375656</v>
      </c>
      <c r="P660" s="1">
        <f t="shared" si="659"/>
        <v>66.01100183</v>
      </c>
      <c r="Q660" s="1">
        <f t="shared" si="659"/>
        <v>80.68805234</v>
      </c>
      <c r="R660" s="1">
        <f t="shared" si="659"/>
        <v>61.71292816</v>
      </c>
      <c r="S660" s="1">
        <f t="shared" si="659"/>
        <v>87.35445842</v>
      </c>
      <c r="T660" s="1">
        <f t="shared" si="659"/>
        <v>71.22820285</v>
      </c>
      <c r="U660" s="1">
        <f t="shared" si="659"/>
        <v>104.7625818</v>
      </c>
    </row>
    <row r="661">
      <c r="A661" s="3">
        <f>IFERROR(__xludf.DUMMYFUNCTION("""COMPUTED_VALUE"""),44580.0)</f>
        <v>44580</v>
      </c>
      <c r="B661" s="1">
        <f t="shared" ref="B661:U661" si="660">IF($A661&gt;0,Megyeinapi!B661/'megyelakosság'!B$2*100000," ")</f>
        <v>136.5935248</v>
      </c>
      <c r="C661" s="1">
        <f t="shared" si="660"/>
        <v>160.1185155</v>
      </c>
      <c r="D661" s="1">
        <f t="shared" si="660"/>
        <v>111.9373635</v>
      </c>
      <c r="E661" s="1">
        <f t="shared" si="660"/>
        <v>63.41592054</v>
      </c>
      <c r="F661" s="1">
        <f t="shared" si="660"/>
        <v>202.6035644</v>
      </c>
      <c r="G661" s="1">
        <f t="shared" si="660"/>
        <v>74.8119659</v>
      </c>
      <c r="H661" s="1">
        <f t="shared" si="660"/>
        <v>131.628297</v>
      </c>
      <c r="I661" s="1">
        <f t="shared" si="660"/>
        <v>196.9814495</v>
      </c>
      <c r="J661" s="1">
        <f t="shared" si="660"/>
        <v>90.9389494</v>
      </c>
      <c r="K661" s="1">
        <f t="shared" si="660"/>
        <v>111.7847734</v>
      </c>
      <c r="L661" s="1">
        <f t="shared" si="660"/>
        <v>63.50417683</v>
      </c>
      <c r="M661" s="1">
        <f t="shared" si="660"/>
        <v>150.5008389</v>
      </c>
      <c r="N661" s="1">
        <f t="shared" si="660"/>
        <v>108.989218</v>
      </c>
      <c r="O661" s="1">
        <f t="shared" si="660"/>
        <v>229.4345395</v>
      </c>
      <c r="P661" s="1">
        <f t="shared" si="660"/>
        <v>174.3623937</v>
      </c>
      <c r="Q661" s="1">
        <f t="shared" si="660"/>
        <v>129.5015919</v>
      </c>
      <c r="R661" s="1">
        <f t="shared" si="660"/>
        <v>113.2177028</v>
      </c>
      <c r="S661" s="1">
        <f t="shared" si="660"/>
        <v>184.5461306</v>
      </c>
      <c r="T661" s="1">
        <f t="shared" si="660"/>
        <v>130.7315986</v>
      </c>
      <c r="U661" s="1">
        <f t="shared" si="660"/>
        <v>172.4841079</v>
      </c>
    </row>
    <row r="662">
      <c r="A662" s="3">
        <f>IFERROR(__xludf.DUMMYFUNCTION("""COMPUTED_VALUE"""),44581.0)</f>
        <v>44581</v>
      </c>
      <c r="B662" s="1">
        <f t="shared" ref="B662:U662" si="661">IF($A662&gt;0,Megyeinapi!B662/'megyelakosság'!B$2*100000," ")</f>
        <v>121.8589463</v>
      </c>
      <c r="C662" s="1">
        <f t="shared" si="661"/>
        <v>162.9031854</v>
      </c>
      <c r="D662" s="1">
        <f t="shared" si="661"/>
        <v>109.5170962</v>
      </c>
      <c r="E662" s="1">
        <f t="shared" si="661"/>
        <v>77.38625947</v>
      </c>
      <c r="F662" s="1">
        <f t="shared" si="661"/>
        <v>201.6893915</v>
      </c>
      <c r="G662" s="1">
        <f t="shared" si="661"/>
        <v>142.8456664</v>
      </c>
      <c r="H662" s="1">
        <f t="shared" si="661"/>
        <v>131.8671868</v>
      </c>
      <c r="I662" s="1">
        <f t="shared" si="661"/>
        <v>246.8608723</v>
      </c>
      <c r="J662" s="1">
        <f t="shared" si="661"/>
        <v>100.2416812</v>
      </c>
      <c r="K662" s="1">
        <f t="shared" si="661"/>
        <v>112.1255807</v>
      </c>
      <c r="L662" s="1">
        <f t="shared" si="661"/>
        <v>85.85328627</v>
      </c>
      <c r="M662" s="1">
        <f t="shared" si="661"/>
        <v>181.3983621</v>
      </c>
      <c r="N662" s="1">
        <f t="shared" si="661"/>
        <v>137.698573</v>
      </c>
      <c r="O662" s="1">
        <f t="shared" si="661"/>
        <v>203.6077348</v>
      </c>
      <c r="P662" s="1">
        <f t="shared" si="661"/>
        <v>168.3613936</v>
      </c>
      <c r="Q662" s="1">
        <f t="shared" si="661"/>
        <v>130.7765724</v>
      </c>
      <c r="R662" s="1">
        <f t="shared" si="661"/>
        <v>125.7458912</v>
      </c>
      <c r="S662" s="1">
        <f t="shared" si="661"/>
        <v>222.3210316</v>
      </c>
      <c r="T662" s="1">
        <f t="shared" si="661"/>
        <v>146.5600882</v>
      </c>
      <c r="U662" s="1">
        <f t="shared" si="661"/>
        <v>178.8446932</v>
      </c>
    </row>
    <row r="663">
      <c r="A663" s="3">
        <f>IFERROR(__xludf.DUMMYFUNCTION("""COMPUTED_VALUE"""),44582.0)</f>
        <v>44582</v>
      </c>
      <c r="B663" s="1">
        <f t="shared" ref="B663:U663" si="662">IF($A663&gt;0,Megyeinapi!B663/'megyelakosság'!B$2*100000," ")</f>
        <v>138.9829159</v>
      </c>
      <c r="C663" s="1">
        <f t="shared" si="662"/>
        <v>151.2075721</v>
      </c>
      <c r="D663" s="1">
        <f t="shared" si="662"/>
        <v>118.2905652</v>
      </c>
      <c r="E663" s="1">
        <f t="shared" si="662"/>
        <v>87.90325619</v>
      </c>
      <c r="F663" s="1">
        <f t="shared" si="662"/>
        <v>195.1187739</v>
      </c>
      <c r="G663" s="1">
        <f t="shared" si="662"/>
        <v>149.3728849</v>
      </c>
      <c r="H663" s="1">
        <f t="shared" si="662"/>
        <v>140.2283309</v>
      </c>
      <c r="I663" s="1">
        <f t="shared" si="662"/>
        <v>221.7098074</v>
      </c>
      <c r="J663" s="1">
        <f t="shared" si="662"/>
        <v>144.6669717</v>
      </c>
      <c r="K663" s="1">
        <f t="shared" si="662"/>
        <v>117.2376892</v>
      </c>
      <c r="L663" s="1">
        <f t="shared" si="662"/>
        <v>81.49248443</v>
      </c>
      <c r="M663" s="1">
        <f t="shared" si="662"/>
        <v>204.6545624</v>
      </c>
      <c r="N663" s="1">
        <f t="shared" si="662"/>
        <v>141.9518108</v>
      </c>
      <c r="O663" s="1">
        <f t="shared" si="662"/>
        <v>191.1954495</v>
      </c>
      <c r="P663" s="1">
        <f t="shared" si="662"/>
        <v>190.3650608</v>
      </c>
      <c r="Q663" s="1">
        <f t="shared" si="662"/>
        <v>128.5908915</v>
      </c>
      <c r="R663" s="1">
        <f t="shared" si="662"/>
        <v>135.0260308</v>
      </c>
      <c r="S663" s="1">
        <f t="shared" si="662"/>
        <v>223.1080087</v>
      </c>
      <c r="T663" s="1">
        <f t="shared" si="662"/>
        <v>184.6657111</v>
      </c>
      <c r="U663" s="1">
        <f t="shared" si="662"/>
        <v>219.2531176</v>
      </c>
    </row>
    <row r="664">
      <c r="A664" s="3">
        <f>IFERROR(__xludf.DUMMYFUNCTION("""COMPUTED_VALUE"""),44583.0)</f>
        <v>44583</v>
      </c>
      <c r="B664" s="1">
        <f t="shared" ref="B664:U664" si="663">IF($A664&gt;0,Megyeinapi!B664/'megyelakosság'!B$2*100000," ")</f>
        <v>0</v>
      </c>
      <c r="C664" s="1">
        <f t="shared" si="663"/>
        <v>0</v>
      </c>
      <c r="D664" s="1">
        <f t="shared" si="663"/>
        <v>0</v>
      </c>
      <c r="E664" s="1">
        <f t="shared" si="663"/>
        <v>0</v>
      </c>
      <c r="F664" s="1">
        <f t="shared" si="663"/>
        <v>0</v>
      </c>
      <c r="G664" s="1">
        <f t="shared" si="663"/>
        <v>0</v>
      </c>
      <c r="H664" s="1">
        <f t="shared" si="663"/>
        <v>0</v>
      </c>
      <c r="I664" s="1">
        <f t="shared" si="663"/>
        <v>0</v>
      </c>
      <c r="J664" s="1">
        <f t="shared" si="663"/>
        <v>0</v>
      </c>
      <c r="K664" s="1">
        <f t="shared" si="663"/>
        <v>0</v>
      </c>
      <c r="L664" s="1">
        <f t="shared" si="663"/>
        <v>0</v>
      </c>
      <c r="M664" s="1">
        <f t="shared" si="663"/>
        <v>0</v>
      </c>
      <c r="N664" s="1">
        <f t="shared" si="663"/>
        <v>0</v>
      </c>
      <c r="O664" s="1">
        <f t="shared" si="663"/>
        <v>0</v>
      </c>
      <c r="P664" s="1">
        <f t="shared" si="663"/>
        <v>0</v>
      </c>
      <c r="Q664" s="1">
        <f t="shared" si="663"/>
        <v>0</v>
      </c>
      <c r="R664" s="1">
        <f t="shared" si="663"/>
        <v>0</v>
      </c>
      <c r="S664" s="1">
        <f t="shared" si="663"/>
        <v>0</v>
      </c>
      <c r="T664" s="1">
        <f t="shared" si="663"/>
        <v>0</v>
      </c>
      <c r="U664" s="1">
        <f t="shared" si="663"/>
        <v>0</v>
      </c>
    </row>
    <row r="665">
      <c r="A665" s="3">
        <f>IFERROR(__xludf.DUMMYFUNCTION("""COMPUTED_VALUE"""),44584.0)</f>
        <v>44584</v>
      </c>
      <c r="B665" s="1">
        <f t="shared" ref="B665:U665" si="664">IF($A665&gt;0,Megyeinapi!B665/'megyelakosság'!B$2*100000," ")</f>
        <v>0</v>
      </c>
      <c r="C665" s="1">
        <f t="shared" si="664"/>
        <v>0</v>
      </c>
      <c r="D665" s="1">
        <f t="shared" si="664"/>
        <v>0</v>
      </c>
      <c r="E665" s="1">
        <f t="shared" si="664"/>
        <v>0</v>
      </c>
      <c r="F665" s="1">
        <f t="shared" si="664"/>
        <v>0</v>
      </c>
      <c r="G665" s="1">
        <f t="shared" si="664"/>
        <v>0</v>
      </c>
      <c r="H665" s="1">
        <f t="shared" si="664"/>
        <v>0</v>
      </c>
      <c r="I665" s="1">
        <f t="shared" si="664"/>
        <v>0</v>
      </c>
      <c r="J665" s="1">
        <f t="shared" si="664"/>
        <v>0</v>
      </c>
      <c r="K665" s="1">
        <f t="shared" si="664"/>
        <v>0</v>
      </c>
      <c r="L665" s="1">
        <f t="shared" si="664"/>
        <v>0</v>
      </c>
      <c r="M665" s="1">
        <f t="shared" si="664"/>
        <v>0</v>
      </c>
      <c r="N665" s="1">
        <f t="shared" si="664"/>
        <v>0</v>
      </c>
      <c r="O665" s="1">
        <f t="shared" si="664"/>
        <v>0</v>
      </c>
      <c r="P665" s="1">
        <f t="shared" si="664"/>
        <v>0</v>
      </c>
      <c r="Q665" s="1">
        <f t="shared" si="664"/>
        <v>0</v>
      </c>
      <c r="R665" s="1">
        <f t="shared" si="664"/>
        <v>0</v>
      </c>
      <c r="S665" s="1">
        <f t="shared" si="664"/>
        <v>0</v>
      </c>
      <c r="T665" s="1">
        <f t="shared" si="664"/>
        <v>0</v>
      </c>
      <c r="U665" s="1">
        <f t="shared" si="664"/>
        <v>0</v>
      </c>
    </row>
    <row r="666">
      <c r="A666" s="3">
        <f>IFERROR(__xludf.DUMMYFUNCTION("""COMPUTED_VALUE"""),44585.0)</f>
        <v>44585</v>
      </c>
      <c r="B666" s="1">
        <f t="shared" ref="B666:U666" si="665">IF($A666&gt;0,Megyeinapi!B666/'megyelakosság'!B$2*100000," ")</f>
        <v>348.8511011</v>
      </c>
      <c r="C666" s="1">
        <f t="shared" si="665"/>
        <v>401.5493903</v>
      </c>
      <c r="D666" s="1">
        <f t="shared" si="665"/>
        <v>242.9343321</v>
      </c>
      <c r="E666" s="1">
        <f t="shared" si="665"/>
        <v>232.7866588</v>
      </c>
      <c r="F666" s="1">
        <f t="shared" si="665"/>
        <v>480.7406629</v>
      </c>
      <c r="G666" s="1">
        <f t="shared" si="665"/>
        <v>366.0263298</v>
      </c>
      <c r="H666" s="1">
        <f t="shared" si="665"/>
        <v>392.018213</v>
      </c>
      <c r="I666" s="1">
        <f t="shared" si="665"/>
        <v>603.4142042</v>
      </c>
      <c r="J666" s="1">
        <f t="shared" si="665"/>
        <v>328.8230905</v>
      </c>
      <c r="K666" s="1">
        <f t="shared" si="665"/>
        <v>308.7713558</v>
      </c>
      <c r="L666" s="1">
        <f t="shared" si="665"/>
        <v>232.2126981</v>
      </c>
      <c r="M666" s="1">
        <f t="shared" si="665"/>
        <v>485.3901228</v>
      </c>
      <c r="N666" s="1">
        <f t="shared" si="665"/>
        <v>370.5633413</v>
      </c>
      <c r="O666" s="1">
        <f t="shared" si="665"/>
        <v>492.0199028</v>
      </c>
      <c r="P666" s="1">
        <f t="shared" si="665"/>
        <v>412.7354559</v>
      </c>
      <c r="Q666" s="1">
        <f t="shared" si="665"/>
        <v>328.3985516</v>
      </c>
      <c r="R666" s="1">
        <f t="shared" si="665"/>
        <v>289.0763477</v>
      </c>
      <c r="S666" s="1">
        <f t="shared" si="665"/>
        <v>535.5379185</v>
      </c>
      <c r="T666" s="1">
        <f t="shared" si="665"/>
        <v>495.373098</v>
      </c>
      <c r="U666" s="1">
        <f t="shared" si="665"/>
        <v>499.4930239</v>
      </c>
    </row>
    <row r="667">
      <c r="A667" s="3">
        <f>IFERROR(__xludf.DUMMYFUNCTION("""COMPUTED_VALUE"""),44586.0)</f>
        <v>44586</v>
      </c>
      <c r="B667" s="1">
        <f t="shared" ref="B667:U667" si="666">IF($A667&gt;0,Megyeinapi!B667/'megyelakosság'!B$2*100000," ")</f>
        <v>78.05344271</v>
      </c>
      <c r="C667" s="1">
        <f t="shared" si="666"/>
        <v>133.6641521</v>
      </c>
      <c r="D667" s="1">
        <f t="shared" si="666"/>
        <v>78.96122127</v>
      </c>
      <c r="E667" s="1">
        <f t="shared" si="666"/>
        <v>33.59160147</v>
      </c>
      <c r="F667" s="1">
        <f t="shared" si="666"/>
        <v>101.8731402</v>
      </c>
      <c r="G667" s="1">
        <f t="shared" si="666"/>
        <v>77.07138769</v>
      </c>
      <c r="H667" s="1">
        <f t="shared" si="666"/>
        <v>107.2615342</v>
      </c>
      <c r="I667" s="1">
        <f t="shared" si="666"/>
        <v>181.3412915</v>
      </c>
      <c r="J667" s="1">
        <f t="shared" si="666"/>
        <v>78.02903591</v>
      </c>
      <c r="K667" s="1">
        <f t="shared" si="666"/>
        <v>83.49777282</v>
      </c>
      <c r="L667" s="1">
        <f t="shared" si="666"/>
        <v>54.23747292</v>
      </c>
      <c r="M667" s="1">
        <f t="shared" si="666"/>
        <v>106.3140584</v>
      </c>
      <c r="N667" s="1">
        <f t="shared" si="666"/>
        <v>47.31727027</v>
      </c>
      <c r="O667" s="1">
        <f t="shared" si="666"/>
        <v>103.2301238</v>
      </c>
      <c r="P667" s="1">
        <f t="shared" si="666"/>
        <v>103.0171695</v>
      </c>
      <c r="Q667" s="1">
        <f t="shared" si="666"/>
        <v>112.7447052</v>
      </c>
      <c r="R667" s="1">
        <f t="shared" si="666"/>
        <v>90.48136084</v>
      </c>
      <c r="S667" s="1">
        <f t="shared" si="666"/>
        <v>176.282871</v>
      </c>
      <c r="T667" s="1">
        <f t="shared" si="666"/>
        <v>160.6298566</v>
      </c>
      <c r="U667" s="1">
        <f t="shared" si="666"/>
        <v>93.91217154</v>
      </c>
    </row>
    <row r="668">
      <c r="A668" s="3">
        <f>IFERROR(__xludf.DUMMYFUNCTION("""COMPUTED_VALUE"""),44587.0)</f>
        <v>44587</v>
      </c>
      <c r="B668" s="1">
        <f t="shared" ref="B668:U668" si="667">IF($A668&gt;0,Megyeinapi!B668/'megyelakosság'!B$2*100000," ")</f>
        <v>162.0803632</v>
      </c>
      <c r="C668" s="1">
        <f t="shared" si="667"/>
        <v>282.6439883</v>
      </c>
      <c r="D668" s="1">
        <f t="shared" si="667"/>
        <v>203.6049882</v>
      </c>
      <c r="E668" s="1">
        <f t="shared" si="667"/>
        <v>113.6463526</v>
      </c>
      <c r="F668" s="1">
        <f t="shared" si="667"/>
        <v>209.0027745</v>
      </c>
      <c r="G668" s="1">
        <f t="shared" si="667"/>
        <v>144.6029945</v>
      </c>
      <c r="H668" s="1">
        <f t="shared" si="667"/>
        <v>193.0229836</v>
      </c>
      <c r="I668" s="1">
        <f t="shared" si="667"/>
        <v>272.0119372</v>
      </c>
      <c r="J668" s="1">
        <f t="shared" si="667"/>
        <v>150.1726701</v>
      </c>
      <c r="K668" s="1">
        <f t="shared" si="667"/>
        <v>214.7085587</v>
      </c>
      <c r="L668" s="1">
        <f t="shared" si="667"/>
        <v>121.8299015</v>
      </c>
      <c r="M668" s="1">
        <f t="shared" si="667"/>
        <v>230.5686141</v>
      </c>
      <c r="N668" s="1">
        <f t="shared" si="667"/>
        <v>146.2050486</v>
      </c>
      <c r="O668" s="1">
        <f t="shared" si="667"/>
        <v>257.6512873</v>
      </c>
      <c r="P668" s="1">
        <f t="shared" si="667"/>
        <v>252.3753959</v>
      </c>
      <c r="Q668" s="1">
        <f t="shared" si="667"/>
        <v>210.1896442</v>
      </c>
      <c r="R668" s="1">
        <f t="shared" si="667"/>
        <v>186.9948124</v>
      </c>
      <c r="S668" s="1">
        <f t="shared" si="667"/>
        <v>303.3796732</v>
      </c>
      <c r="T668" s="1">
        <f t="shared" si="667"/>
        <v>207.822205</v>
      </c>
      <c r="U668" s="1">
        <f t="shared" si="667"/>
        <v>241.7022423</v>
      </c>
    </row>
    <row r="669">
      <c r="A669" s="3">
        <f>IFERROR(__xludf.DUMMYFUNCTION("""COMPUTED_VALUE"""),44588.0)</f>
        <v>44588</v>
      </c>
      <c r="B669" s="1">
        <f t="shared" ref="B669:U669" si="668">IF($A669&gt;0,Megyeinapi!B669/'megyelakosság'!B$2*100000," ")</f>
        <v>164.4697543</v>
      </c>
      <c r="C669" s="1">
        <f t="shared" si="668"/>
        <v>251.7341531</v>
      </c>
      <c r="D669" s="1">
        <f t="shared" si="668"/>
        <v>168.2085786</v>
      </c>
      <c r="E669" s="1">
        <f t="shared" si="668"/>
        <v>111.7627114</v>
      </c>
      <c r="F669" s="1">
        <f t="shared" si="668"/>
        <v>182.9488475</v>
      </c>
      <c r="G669" s="1">
        <f t="shared" si="668"/>
        <v>192.3018989</v>
      </c>
      <c r="H669" s="1">
        <f t="shared" si="668"/>
        <v>180.3618225</v>
      </c>
      <c r="I669" s="1">
        <f t="shared" si="668"/>
        <v>328.0206112</v>
      </c>
      <c r="J669" s="1">
        <f t="shared" si="668"/>
        <v>157.3870335</v>
      </c>
      <c r="K669" s="1">
        <f t="shared" si="668"/>
        <v>168.3587746</v>
      </c>
      <c r="L669" s="1">
        <f t="shared" si="668"/>
        <v>126.7358035</v>
      </c>
      <c r="M669" s="1">
        <f t="shared" si="668"/>
        <v>277.7454775</v>
      </c>
      <c r="N669" s="1">
        <f t="shared" si="668"/>
        <v>178.6359866</v>
      </c>
      <c r="O669" s="1">
        <f t="shared" si="668"/>
        <v>208.0021463</v>
      </c>
      <c r="P669" s="1">
        <f t="shared" si="668"/>
        <v>185.3642274</v>
      </c>
      <c r="Q669" s="1">
        <f t="shared" si="668"/>
        <v>210.9182045</v>
      </c>
      <c r="R669" s="1">
        <f t="shared" si="668"/>
        <v>214.8352311</v>
      </c>
      <c r="S669" s="1">
        <f t="shared" si="668"/>
        <v>280.5573372</v>
      </c>
      <c r="T669" s="1">
        <f t="shared" si="668"/>
        <v>230.978699</v>
      </c>
      <c r="U669" s="1">
        <f t="shared" si="668"/>
        <v>225.987855</v>
      </c>
    </row>
    <row r="670">
      <c r="A670" s="3">
        <f>IFERROR(__xludf.DUMMYFUNCTION("""COMPUTED_VALUE"""),44589.0)</f>
        <v>44589</v>
      </c>
      <c r="B670" s="1">
        <f t="shared" ref="B670:U670" si="669">IF($A670&gt;0,Megyeinapi!B670/'megyelakosság'!B$2*100000," ")</f>
        <v>137.3899885</v>
      </c>
      <c r="C670" s="1">
        <f t="shared" si="669"/>
        <v>206.0655678</v>
      </c>
      <c r="D670" s="1">
        <f t="shared" si="669"/>
        <v>158.8300428</v>
      </c>
      <c r="E670" s="1">
        <f t="shared" si="669"/>
        <v>139.8603594</v>
      </c>
      <c r="F670" s="1">
        <f t="shared" si="669"/>
        <v>162.1514145</v>
      </c>
      <c r="G670" s="1">
        <f t="shared" si="669"/>
        <v>185.5236336</v>
      </c>
      <c r="H670" s="1">
        <f t="shared" si="669"/>
        <v>192.7840938</v>
      </c>
      <c r="I670" s="1">
        <f t="shared" si="669"/>
        <v>250.0311746</v>
      </c>
      <c r="J670" s="1">
        <f t="shared" si="669"/>
        <v>188.5227072</v>
      </c>
      <c r="K670" s="1">
        <f t="shared" si="669"/>
        <v>179.9462206</v>
      </c>
      <c r="L670" s="1">
        <f t="shared" si="669"/>
        <v>107.3847454</v>
      </c>
      <c r="M670" s="1">
        <f t="shared" si="669"/>
        <v>225.2529112</v>
      </c>
      <c r="N670" s="1">
        <f t="shared" si="669"/>
        <v>188.7374264</v>
      </c>
      <c r="O670" s="1">
        <f t="shared" si="669"/>
        <v>177.0870757</v>
      </c>
      <c r="P670" s="1">
        <f t="shared" si="669"/>
        <v>196.366061</v>
      </c>
      <c r="Q670" s="1">
        <f t="shared" si="669"/>
        <v>186.8757149</v>
      </c>
      <c r="R670" s="1">
        <f t="shared" si="669"/>
        <v>211.5871823</v>
      </c>
      <c r="S670" s="1">
        <f t="shared" si="669"/>
        <v>241.208482</v>
      </c>
      <c r="T670" s="1">
        <f t="shared" si="669"/>
        <v>234.7892612</v>
      </c>
      <c r="U670" s="1">
        <f t="shared" si="669"/>
        <v>271.6344085</v>
      </c>
    </row>
    <row r="671">
      <c r="A671" s="3">
        <f>IFERROR(__xludf.DUMMYFUNCTION("""COMPUTED_VALUE"""),44590.0)</f>
        <v>44590</v>
      </c>
      <c r="B671" s="1">
        <f t="shared" ref="B671:U671" si="670">IF($A671&gt;0,Megyeinapi!B671/'megyelakosság'!B$2*100000," ")</f>
        <v>0</v>
      </c>
      <c r="C671" s="1">
        <f t="shared" si="670"/>
        <v>0</v>
      </c>
      <c r="D671" s="1">
        <f t="shared" si="670"/>
        <v>0</v>
      </c>
      <c r="E671" s="1">
        <f t="shared" si="670"/>
        <v>0</v>
      </c>
      <c r="F671" s="1">
        <f t="shared" si="670"/>
        <v>0</v>
      </c>
      <c r="G671" s="1">
        <f t="shared" si="670"/>
        <v>0</v>
      </c>
      <c r="H671" s="1">
        <f t="shared" si="670"/>
        <v>0</v>
      </c>
      <c r="I671" s="1">
        <f t="shared" si="670"/>
        <v>0</v>
      </c>
      <c r="J671" s="1">
        <f t="shared" si="670"/>
        <v>0</v>
      </c>
      <c r="K671" s="1">
        <f t="shared" si="670"/>
        <v>0</v>
      </c>
      <c r="L671" s="1">
        <f t="shared" si="670"/>
        <v>0</v>
      </c>
      <c r="M671" s="1">
        <f t="shared" si="670"/>
        <v>0</v>
      </c>
      <c r="N671" s="1">
        <f t="shared" si="670"/>
        <v>0</v>
      </c>
      <c r="O671" s="1">
        <f t="shared" si="670"/>
        <v>0</v>
      </c>
      <c r="P671" s="1">
        <f t="shared" si="670"/>
        <v>0</v>
      </c>
      <c r="Q671" s="1">
        <f t="shared" si="670"/>
        <v>0</v>
      </c>
      <c r="R671" s="1">
        <f t="shared" si="670"/>
        <v>0</v>
      </c>
      <c r="S671" s="1">
        <f t="shared" si="670"/>
        <v>0</v>
      </c>
      <c r="T671" s="1">
        <f t="shared" si="670"/>
        <v>0</v>
      </c>
      <c r="U671" s="1">
        <f t="shared" si="670"/>
        <v>0</v>
      </c>
    </row>
    <row r="672">
      <c r="A672" s="3">
        <f>IFERROR(__xludf.DUMMYFUNCTION("""COMPUTED_VALUE"""),44591.0)</f>
        <v>44591</v>
      </c>
      <c r="B672" s="1">
        <f t="shared" ref="B672:U672" si="671">IF($A672&gt;0,Megyeinapi!B672/'megyelakosság'!B$2*100000," ")</f>
        <v>0</v>
      </c>
      <c r="C672" s="1">
        <f t="shared" si="671"/>
        <v>0</v>
      </c>
      <c r="D672" s="1">
        <f t="shared" si="671"/>
        <v>0</v>
      </c>
      <c r="E672" s="1">
        <f t="shared" si="671"/>
        <v>0</v>
      </c>
      <c r="F672" s="1">
        <f t="shared" si="671"/>
        <v>0</v>
      </c>
      <c r="G672" s="1">
        <f t="shared" si="671"/>
        <v>0</v>
      </c>
      <c r="H672" s="1">
        <f t="shared" si="671"/>
        <v>0</v>
      </c>
      <c r="I672" s="1">
        <f t="shared" si="671"/>
        <v>0</v>
      </c>
      <c r="J672" s="1">
        <f t="shared" si="671"/>
        <v>0</v>
      </c>
      <c r="K672" s="1">
        <f t="shared" si="671"/>
        <v>0</v>
      </c>
      <c r="L672" s="1">
        <f t="shared" si="671"/>
        <v>0</v>
      </c>
      <c r="M672" s="1">
        <f t="shared" si="671"/>
        <v>0</v>
      </c>
      <c r="N672" s="1">
        <f t="shared" si="671"/>
        <v>0</v>
      </c>
      <c r="O672" s="1">
        <f t="shared" si="671"/>
        <v>0</v>
      </c>
      <c r="P672" s="1">
        <f t="shared" si="671"/>
        <v>0</v>
      </c>
      <c r="Q672" s="1">
        <f t="shared" si="671"/>
        <v>0</v>
      </c>
      <c r="R672" s="1">
        <f t="shared" si="671"/>
        <v>0</v>
      </c>
      <c r="S672" s="1">
        <f t="shared" si="671"/>
        <v>0</v>
      </c>
      <c r="T672" s="1">
        <f t="shared" si="671"/>
        <v>0</v>
      </c>
      <c r="U672" s="1">
        <f t="shared" si="671"/>
        <v>0</v>
      </c>
    </row>
    <row r="673">
      <c r="A673" s="3">
        <f>IFERROR(__xludf.DUMMYFUNCTION("""COMPUTED_VALUE"""),44592.0)</f>
        <v>44592</v>
      </c>
      <c r="B673" s="1">
        <f t="shared" ref="B673:U673" si="672">IF($A673&gt;0,Megyeinapi!B673/'megyelakosság'!B$2*100000," ")</f>
        <v>430.8868623</v>
      </c>
      <c r="C673" s="1">
        <f t="shared" si="672"/>
        <v>534.0996745</v>
      </c>
      <c r="D673" s="1">
        <f t="shared" si="672"/>
        <v>377.5617017</v>
      </c>
      <c r="E673" s="1">
        <f t="shared" si="672"/>
        <v>364.484573</v>
      </c>
      <c r="F673" s="1">
        <f t="shared" si="672"/>
        <v>414.5774007</v>
      </c>
      <c r="G673" s="1">
        <f t="shared" si="672"/>
        <v>527.1984174</v>
      </c>
      <c r="H673" s="1">
        <f t="shared" si="672"/>
        <v>428.0905775</v>
      </c>
      <c r="I673" s="1">
        <f t="shared" si="672"/>
        <v>682.0377012</v>
      </c>
      <c r="J673" s="1">
        <f t="shared" si="672"/>
        <v>436.0892834</v>
      </c>
      <c r="K673" s="1">
        <f t="shared" si="672"/>
        <v>366.0269715</v>
      </c>
      <c r="L673" s="1">
        <f t="shared" si="672"/>
        <v>334.1464412</v>
      </c>
      <c r="M673" s="1">
        <f t="shared" si="672"/>
        <v>616.95377</v>
      </c>
      <c r="N673" s="1">
        <f t="shared" si="672"/>
        <v>460.4129894</v>
      </c>
      <c r="O673" s="1">
        <f t="shared" si="672"/>
        <v>453.2411483</v>
      </c>
      <c r="P673" s="1">
        <f t="shared" si="672"/>
        <v>481.7469578</v>
      </c>
      <c r="Q673" s="1">
        <f t="shared" si="672"/>
        <v>445.3324785</v>
      </c>
      <c r="R673" s="1">
        <f t="shared" si="672"/>
        <v>407.8621342</v>
      </c>
      <c r="S673" s="1">
        <f t="shared" si="672"/>
        <v>652.4040183</v>
      </c>
      <c r="T673" s="1">
        <f t="shared" si="672"/>
        <v>593.8614773</v>
      </c>
      <c r="U673" s="1">
        <f t="shared" si="672"/>
        <v>511.8400425</v>
      </c>
    </row>
    <row r="674">
      <c r="A674" s="3">
        <f>IFERROR(__xludf.DUMMYFUNCTION("""COMPUTED_VALUE"""),44593.0)</f>
        <v>44593</v>
      </c>
      <c r="B674" s="1">
        <f t="shared" ref="B674:U674" si="673">IF($A674&gt;0,Megyeinapi!B674/'megyelakosság'!B$2*100000," ")</f>
        <v>90.19951416</v>
      </c>
      <c r="C674" s="1">
        <f t="shared" si="673"/>
        <v>176.5480676</v>
      </c>
      <c r="D674" s="1">
        <f t="shared" si="673"/>
        <v>81.98655542</v>
      </c>
      <c r="E674" s="1">
        <f t="shared" si="673"/>
        <v>63.10198033</v>
      </c>
      <c r="F674" s="1">
        <f t="shared" si="673"/>
        <v>86.10365806</v>
      </c>
      <c r="G674" s="1">
        <f t="shared" si="673"/>
        <v>79.58185634</v>
      </c>
      <c r="H674" s="1">
        <f t="shared" si="673"/>
        <v>100.5726189</v>
      </c>
      <c r="I674" s="1">
        <f t="shared" si="673"/>
        <v>106.5221572</v>
      </c>
      <c r="J674" s="1">
        <f t="shared" si="673"/>
        <v>101.3807912</v>
      </c>
      <c r="K674" s="1">
        <f t="shared" si="673"/>
        <v>79.06727876</v>
      </c>
      <c r="L674" s="1">
        <f t="shared" si="673"/>
        <v>86.12583639</v>
      </c>
      <c r="M674" s="1">
        <f t="shared" si="673"/>
        <v>50.83140916</v>
      </c>
      <c r="N674" s="1">
        <f t="shared" si="673"/>
        <v>74.96331582</v>
      </c>
      <c r="O674" s="1">
        <f t="shared" si="673"/>
        <v>92.43683226</v>
      </c>
      <c r="P674" s="1">
        <f t="shared" si="673"/>
        <v>91.68194699</v>
      </c>
      <c r="Q674" s="1">
        <f t="shared" si="673"/>
        <v>129.3194518</v>
      </c>
      <c r="R674" s="1">
        <f t="shared" si="673"/>
        <v>122.4978424</v>
      </c>
      <c r="S674" s="1">
        <f t="shared" si="673"/>
        <v>121.1944738</v>
      </c>
      <c r="T674" s="1">
        <f t="shared" si="673"/>
        <v>148.9050496</v>
      </c>
      <c r="U674" s="1">
        <f t="shared" si="673"/>
        <v>102.1435173</v>
      </c>
    </row>
    <row r="675">
      <c r="A675" s="3">
        <f>IFERROR(__xludf.DUMMYFUNCTION("""COMPUTED_VALUE"""),44594.0)</f>
        <v>44594</v>
      </c>
      <c r="B675" s="1">
        <f t="shared" ref="B675:U675" si="674">IF($A675&gt;0,Megyeinapi!B675/'megyelakosság'!B$2*100000," ")</f>
        <v>184.5804627</v>
      </c>
      <c r="C675" s="1">
        <f t="shared" si="674"/>
        <v>373.9811589</v>
      </c>
      <c r="D675" s="1">
        <f t="shared" si="674"/>
        <v>185.4529833</v>
      </c>
      <c r="E675" s="1">
        <f t="shared" si="674"/>
        <v>160.7373827</v>
      </c>
      <c r="F675" s="1">
        <f t="shared" si="674"/>
        <v>157.7519575</v>
      </c>
      <c r="G675" s="1">
        <f t="shared" si="674"/>
        <v>152.6364942</v>
      </c>
      <c r="H675" s="1">
        <f t="shared" si="674"/>
        <v>199.473009</v>
      </c>
      <c r="I675" s="1">
        <f t="shared" si="674"/>
        <v>282.5796116</v>
      </c>
      <c r="J675" s="1">
        <f t="shared" si="674"/>
        <v>171.0563537</v>
      </c>
      <c r="K675" s="1">
        <f t="shared" si="674"/>
        <v>219.47986</v>
      </c>
      <c r="L675" s="1">
        <f t="shared" si="674"/>
        <v>152.9006146</v>
      </c>
      <c r="M675" s="1">
        <f t="shared" si="674"/>
        <v>157.1454675</v>
      </c>
      <c r="N675" s="1">
        <f t="shared" si="674"/>
        <v>204.1554133</v>
      </c>
      <c r="O675" s="1">
        <f t="shared" si="674"/>
        <v>210.3920894</v>
      </c>
      <c r="P675" s="1">
        <f t="shared" si="674"/>
        <v>229.7049508</v>
      </c>
      <c r="Q675" s="1">
        <f t="shared" si="674"/>
        <v>287.0527551</v>
      </c>
      <c r="R675" s="1">
        <f t="shared" si="674"/>
        <v>245.4596917</v>
      </c>
      <c r="S675" s="1">
        <f t="shared" si="674"/>
        <v>216.0252147</v>
      </c>
      <c r="T675" s="1">
        <f t="shared" si="674"/>
        <v>207.822205</v>
      </c>
      <c r="U675" s="1">
        <f t="shared" si="674"/>
        <v>186.3277348</v>
      </c>
    </row>
    <row r="676">
      <c r="A676" s="3">
        <f>IFERROR(__xludf.DUMMYFUNCTION("""COMPUTED_VALUE"""),44595.0)</f>
        <v>44595</v>
      </c>
      <c r="B676" s="1">
        <f t="shared" ref="B676:U676" si="675">IF($A676&gt;0,Megyeinapi!B676/'megyelakosság'!B$2*100000," ")</f>
        <v>167.854725</v>
      </c>
      <c r="C676" s="1">
        <f t="shared" si="675"/>
        <v>265.6575023</v>
      </c>
      <c r="D676" s="1">
        <f t="shared" si="675"/>
        <v>171.2339128</v>
      </c>
      <c r="E676" s="1">
        <f t="shared" si="675"/>
        <v>157.2840405</v>
      </c>
      <c r="F676" s="1">
        <f t="shared" si="675"/>
        <v>152.1526486</v>
      </c>
      <c r="G676" s="1">
        <f t="shared" si="675"/>
        <v>202.3437735</v>
      </c>
      <c r="H676" s="1">
        <f t="shared" si="675"/>
        <v>179.645153</v>
      </c>
      <c r="I676" s="1">
        <f t="shared" si="675"/>
        <v>220.230333</v>
      </c>
      <c r="J676" s="1">
        <f t="shared" si="675"/>
        <v>151.1219284</v>
      </c>
      <c r="K676" s="1">
        <f t="shared" si="675"/>
        <v>161.2018226</v>
      </c>
      <c r="L676" s="1">
        <f t="shared" si="675"/>
        <v>146.9045121</v>
      </c>
      <c r="M676" s="1">
        <f t="shared" si="675"/>
        <v>224.9206797</v>
      </c>
      <c r="N676" s="1">
        <f t="shared" si="675"/>
        <v>221.1683644</v>
      </c>
      <c r="O676" s="1">
        <f t="shared" si="675"/>
        <v>170.7652906</v>
      </c>
      <c r="P676" s="1">
        <f t="shared" si="675"/>
        <v>176.696116</v>
      </c>
      <c r="Q676" s="1">
        <f t="shared" si="675"/>
        <v>224.7608501</v>
      </c>
      <c r="R676" s="1">
        <f t="shared" si="675"/>
        <v>244.0676708</v>
      </c>
      <c r="S676" s="1">
        <f t="shared" si="675"/>
        <v>228.2233598</v>
      </c>
      <c r="T676" s="1">
        <f t="shared" si="675"/>
        <v>225.995656</v>
      </c>
      <c r="U676" s="1">
        <f t="shared" si="675"/>
        <v>190.4434076</v>
      </c>
    </row>
    <row r="677">
      <c r="A677" s="3">
        <f>IFERROR(__xludf.DUMMYFUNCTION("""COMPUTED_VALUE"""),44596.0)</f>
        <v>44596</v>
      </c>
      <c r="B677" s="1">
        <f t="shared" ref="B677:U677" si="676">IF($A677&gt;0,Megyeinapi!B677/'megyelakosság'!B$2*100000," ")</f>
        <v>148.3413643</v>
      </c>
      <c r="C677" s="1">
        <f t="shared" si="676"/>
        <v>257.0250258</v>
      </c>
      <c r="D677" s="1">
        <f t="shared" si="676"/>
        <v>156.4097755</v>
      </c>
      <c r="E677" s="1">
        <f t="shared" si="676"/>
        <v>157.2840405</v>
      </c>
      <c r="F677" s="1">
        <f t="shared" si="676"/>
        <v>131.3552156</v>
      </c>
      <c r="G677" s="1">
        <f t="shared" si="676"/>
        <v>204.6031953</v>
      </c>
      <c r="H677" s="1">
        <f t="shared" si="676"/>
        <v>179.645153</v>
      </c>
      <c r="I677" s="1">
        <f t="shared" si="676"/>
        <v>222.3438679</v>
      </c>
      <c r="J677" s="1">
        <f t="shared" si="676"/>
        <v>178.8402721</v>
      </c>
      <c r="K677" s="1">
        <f t="shared" si="676"/>
        <v>131.5515931</v>
      </c>
      <c r="L677" s="1">
        <f t="shared" si="676"/>
        <v>140.3633093</v>
      </c>
      <c r="M677" s="1">
        <f t="shared" si="676"/>
        <v>189.3719165</v>
      </c>
      <c r="N677" s="1">
        <f t="shared" si="676"/>
        <v>214.7885078</v>
      </c>
      <c r="O677" s="1">
        <f t="shared" si="676"/>
        <v>151.6457457</v>
      </c>
      <c r="P677" s="1">
        <f t="shared" si="676"/>
        <v>201.7002834</v>
      </c>
      <c r="Q677" s="1">
        <f t="shared" si="676"/>
        <v>198.5326796</v>
      </c>
      <c r="R677" s="1">
        <f t="shared" si="676"/>
        <v>188.3868333</v>
      </c>
      <c r="S677" s="1">
        <f t="shared" si="676"/>
        <v>150.7061152</v>
      </c>
      <c r="T677" s="1">
        <f t="shared" si="676"/>
        <v>204.3047629</v>
      </c>
      <c r="U677" s="1">
        <f t="shared" si="676"/>
        <v>136.5655084</v>
      </c>
    </row>
    <row r="678">
      <c r="A678" s="3">
        <f>IFERROR(__xludf.DUMMYFUNCTION("""COMPUTED_VALUE"""),44597.0)</f>
        <v>44597</v>
      </c>
      <c r="B678" s="1">
        <f t="shared" ref="B678:U678" si="677">IF($A678&gt;0,Megyeinapi!B678/'megyelakosság'!B$2*100000," ")</f>
        <v>0</v>
      </c>
      <c r="C678" s="1">
        <f t="shared" si="677"/>
        <v>0</v>
      </c>
      <c r="D678" s="1">
        <f t="shared" si="677"/>
        <v>0</v>
      </c>
      <c r="E678" s="1">
        <f t="shared" si="677"/>
        <v>0</v>
      </c>
      <c r="F678" s="1">
        <f t="shared" si="677"/>
        <v>0</v>
      </c>
      <c r="G678" s="1">
        <f t="shared" si="677"/>
        <v>0</v>
      </c>
      <c r="H678" s="1">
        <f t="shared" si="677"/>
        <v>0</v>
      </c>
      <c r="I678" s="1">
        <f t="shared" si="677"/>
        <v>0</v>
      </c>
      <c r="J678" s="1">
        <f t="shared" si="677"/>
        <v>0</v>
      </c>
      <c r="K678" s="1">
        <f t="shared" si="677"/>
        <v>0</v>
      </c>
      <c r="L678" s="1">
        <f t="shared" si="677"/>
        <v>0</v>
      </c>
      <c r="M678" s="1">
        <f t="shared" si="677"/>
        <v>0</v>
      </c>
      <c r="N678" s="1">
        <f t="shared" si="677"/>
        <v>0</v>
      </c>
      <c r="O678" s="1">
        <f t="shared" si="677"/>
        <v>0</v>
      </c>
      <c r="P678" s="1">
        <f t="shared" si="677"/>
        <v>0</v>
      </c>
      <c r="Q678" s="1">
        <f t="shared" si="677"/>
        <v>0</v>
      </c>
      <c r="R678" s="1">
        <f t="shared" si="677"/>
        <v>0</v>
      </c>
      <c r="S678" s="1">
        <f t="shared" si="677"/>
        <v>0</v>
      </c>
      <c r="T678" s="1">
        <f t="shared" si="677"/>
        <v>0</v>
      </c>
      <c r="U678" s="1">
        <f t="shared" si="677"/>
        <v>0</v>
      </c>
    </row>
    <row r="679">
      <c r="A679" s="3">
        <f>IFERROR(__xludf.DUMMYFUNCTION("""COMPUTED_VALUE"""),44598.0)</f>
        <v>44598</v>
      </c>
      <c r="B679" s="1">
        <f t="shared" ref="B679:U679" si="678">IF($A679&gt;0,Megyeinapi!B679/'megyelakosság'!B$2*100000," ")</f>
        <v>0</v>
      </c>
      <c r="C679" s="1">
        <f t="shared" si="678"/>
        <v>0</v>
      </c>
      <c r="D679" s="1">
        <f t="shared" si="678"/>
        <v>0</v>
      </c>
      <c r="E679" s="1">
        <f t="shared" si="678"/>
        <v>0</v>
      </c>
      <c r="F679" s="1">
        <f t="shared" si="678"/>
        <v>0</v>
      </c>
      <c r="G679" s="1">
        <f t="shared" si="678"/>
        <v>0</v>
      </c>
      <c r="H679" s="1">
        <f t="shared" si="678"/>
        <v>0</v>
      </c>
      <c r="I679" s="1">
        <f t="shared" si="678"/>
        <v>0</v>
      </c>
      <c r="J679" s="1">
        <f t="shared" si="678"/>
        <v>0</v>
      </c>
      <c r="K679" s="1">
        <f t="shared" si="678"/>
        <v>0</v>
      </c>
      <c r="L679" s="1">
        <f t="shared" si="678"/>
        <v>0</v>
      </c>
      <c r="M679" s="1">
        <f t="shared" si="678"/>
        <v>0</v>
      </c>
      <c r="N679" s="1">
        <f t="shared" si="678"/>
        <v>0</v>
      </c>
      <c r="O679" s="1">
        <f t="shared" si="678"/>
        <v>0</v>
      </c>
      <c r="P679" s="1">
        <f t="shared" si="678"/>
        <v>0</v>
      </c>
      <c r="Q679" s="1">
        <f t="shared" si="678"/>
        <v>0</v>
      </c>
      <c r="R679" s="1">
        <f t="shared" si="678"/>
        <v>0</v>
      </c>
      <c r="S679" s="1">
        <f t="shared" si="678"/>
        <v>0</v>
      </c>
      <c r="T679" s="1">
        <f t="shared" si="678"/>
        <v>0</v>
      </c>
      <c r="U679" s="1">
        <f t="shared" si="678"/>
        <v>0</v>
      </c>
    </row>
    <row r="680">
      <c r="A680" s="3">
        <f>IFERROR(__xludf.DUMMYFUNCTION("""COMPUTED_VALUE"""),44599.0)</f>
        <v>44599</v>
      </c>
      <c r="B680" s="1">
        <f t="shared" ref="B680:U680" si="679">IF($A680&gt;0,Megyeinapi!B680/'megyelakosság'!B$2*100000," ")</f>
        <v>330.9306678</v>
      </c>
      <c r="C680" s="1">
        <f t="shared" si="679"/>
        <v>468.9384003</v>
      </c>
      <c r="D680" s="1">
        <f t="shared" si="679"/>
        <v>249.8926006</v>
      </c>
      <c r="E680" s="1">
        <f t="shared" si="679"/>
        <v>349.5724134</v>
      </c>
      <c r="F680" s="1">
        <f t="shared" si="679"/>
        <v>275.5088515</v>
      </c>
      <c r="G680" s="1">
        <f t="shared" si="679"/>
        <v>371.0472671</v>
      </c>
      <c r="H680" s="1">
        <f t="shared" si="679"/>
        <v>355.9458485</v>
      </c>
      <c r="I680" s="1">
        <f t="shared" si="679"/>
        <v>485.0562517</v>
      </c>
      <c r="J680" s="1">
        <f t="shared" si="679"/>
        <v>370.970161</v>
      </c>
      <c r="K680" s="1">
        <f t="shared" si="679"/>
        <v>304.681669</v>
      </c>
      <c r="L680" s="1">
        <f t="shared" si="679"/>
        <v>335.5091918</v>
      </c>
      <c r="M680" s="1">
        <f t="shared" si="679"/>
        <v>407.3157361</v>
      </c>
      <c r="N680" s="1">
        <f t="shared" si="679"/>
        <v>409.9057908</v>
      </c>
      <c r="O680" s="1">
        <f t="shared" si="679"/>
        <v>309.6132764</v>
      </c>
      <c r="P680" s="1">
        <f t="shared" si="679"/>
        <v>337.7229538</v>
      </c>
      <c r="Q680" s="1">
        <f t="shared" si="679"/>
        <v>352.0767611</v>
      </c>
      <c r="R680" s="1">
        <f t="shared" si="679"/>
        <v>320.6288223</v>
      </c>
      <c r="S680" s="1">
        <f t="shared" si="679"/>
        <v>439.9202005</v>
      </c>
      <c r="T680" s="1">
        <f t="shared" si="679"/>
        <v>442.0252259</v>
      </c>
      <c r="U680" s="1">
        <f t="shared" si="679"/>
        <v>328.1313723</v>
      </c>
    </row>
    <row r="681">
      <c r="A681" s="3">
        <f>IFERROR(__xludf.DUMMYFUNCTION("""COMPUTED_VALUE"""),44600.0)</f>
        <v>44600</v>
      </c>
      <c r="B681" s="1">
        <f t="shared" ref="B681:U681" si="680">IF($A681&gt;0,Megyeinapi!B681/'megyelakosság'!B$2*100000," ")</f>
        <v>65.3100235</v>
      </c>
      <c r="C681" s="1">
        <f t="shared" si="680"/>
        <v>122.5254728</v>
      </c>
      <c r="D681" s="1">
        <f t="shared" si="680"/>
        <v>78.65868785</v>
      </c>
      <c r="E681" s="1">
        <f t="shared" si="680"/>
        <v>45.2073889</v>
      </c>
      <c r="F681" s="1">
        <f t="shared" si="680"/>
        <v>61.53526193</v>
      </c>
      <c r="G681" s="1">
        <f t="shared" si="680"/>
        <v>53.47298234</v>
      </c>
      <c r="H681" s="1">
        <f t="shared" si="680"/>
        <v>69.27805104</v>
      </c>
      <c r="I681" s="1">
        <f t="shared" si="680"/>
        <v>80.10297142</v>
      </c>
      <c r="J681" s="1">
        <f t="shared" si="680"/>
        <v>72.71318919</v>
      </c>
      <c r="K681" s="1">
        <f t="shared" si="680"/>
        <v>92.01795373</v>
      </c>
      <c r="L681" s="1">
        <f t="shared" si="680"/>
        <v>73.86108121</v>
      </c>
      <c r="M681" s="1">
        <f t="shared" si="680"/>
        <v>41.19669762</v>
      </c>
      <c r="N681" s="1">
        <f t="shared" si="680"/>
        <v>38.81079472</v>
      </c>
      <c r="O681" s="1">
        <f t="shared" si="680"/>
        <v>68.53740107</v>
      </c>
      <c r="P681" s="1">
        <f t="shared" si="680"/>
        <v>66.67777963</v>
      </c>
      <c r="Q681" s="1">
        <f t="shared" si="680"/>
        <v>106.1876626</v>
      </c>
      <c r="R681" s="1">
        <f t="shared" si="680"/>
        <v>85.37728407</v>
      </c>
      <c r="S681" s="1">
        <f t="shared" si="680"/>
        <v>117.6530769</v>
      </c>
      <c r="T681" s="1">
        <f t="shared" si="680"/>
        <v>85.00485114</v>
      </c>
      <c r="U681" s="1">
        <f t="shared" si="680"/>
        <v>79.3202405</v>
      </c>
    </row>
    <row r="682">
      <c r="A682" s="3">
        <f>IFERROR(__xludf.DUMMYFUNCTION("""COMPUTED_VALUE"""),44601.0)</f>
        <v>44601</v>
      </c>
      <c r="B682" s="1">
        <f t="shared" ref="B682:U682" si="681">IF($A682&gt;0,Megyeinapi!B682/'megyelakosság'!B$2*100000," ")</f>
        <v>140.9740751</v>
      </c>
      <c r="C682" s="1">
        <f t="shared" si="681"/>
        <v>275.9607807</v>
      </c>
      <c r="D682" s="1">
        <f t="shared" si="681"/>
        <v>144.3084389</v>
      </c>
      <c r="E682" s="1">
        <f t="shared" si="681"/>
        <v>135.1512564</v>
      </c>
      <c r="F682" s="1">
        <f t="shared" si="681"/>
        <v>107.6438565</v>
      </c>
      <c r="G682" s="1">
        <f t="shared" si="681"/>
        <v>114.7284175</v>
      </c>
      <c r="H682" s="1">
        <f t="shared" si="681"/>
        <v>120.1615851</v>
      </c>
      <c r="I682" s="1">
        <f t="shared" si="681"/>
        <v>167.3919614</v>
      </c>
      <c r="J682" s="1">
        <f t="shared" si="681"/>
        <v>134.0352782</v>
      </c>
      <c r="K682" s="1">
        <f t="shared" si="681"/>
        <v>139.3901595</v>
      </c>
      <c r="L682" s="1">
        <f t="shared" si="681"/>
        <v>121.2848012</v>
      </c>
      <c r="M682" s="1">
        <f t="shared" si="681"/>
        <v>119.2710842</v>
      </c>
      <c r="N682" s="1">
        <f t="shared" si="681"/>
        <v>190.3323905</v>
      </c>
      <c r="O682" s="1">
        <f t="shared" si="681"/>
        <v>136.6893274</v>
      </c>
      <c r="P682" s="1">
        <f t="shared" si="681"/>
        <v>149.6916153</v>
      </c>
      <c r="Q682" s="1">
        <f t="shared" si="681"/>
        <v>190.1542362</v>
      </c>
      <c r="R682" s="1">
        <f t="shared" si="681"/>
        <v>174.930631</v>
      </c>
      <c r="S682" s="1">
        <f t="shared" si="681"/>
        <v>152.2800694</v>
      </c>
      <c r="T682" s="1">
        <f t="shared" si="681"/>
        <v>153.3018522</v>
      </c>
      <c r="U682" s="1">
        <f t="shared" si="681"/>
        <v>160.5112414</v>
      </c>
    </row>
    <row r="683">
      <c r="A683" s="3">
        <f>IFERROR(__xludf.DUMMYFUNCTION("""COMPUTED_VALUE"""),44602.0)</f>
        <v>44602</v>
      </c>
      <c r="B683" s="1">
        <f t="shared" ref="B683:U683" si="682">IF($A683&gt;0,Megyeinapi!B683/'megyelakosság'!B$2*100000," ")</f>
        <v>123.8501055</v>
      </c>
      <c r="C683" s="1">
        <f t="shared" si="682"/>
        <v>200.2177612</v>
      </c>
      <c r="D683" s="1">
        <f t="shared" si="682"/>
        <v>117.0804315</v>
      </c>
      <c r="E683" s="1">
        <f t="shared" si="682"/>
        <v>137.662778</v>
      </c>
      <c r="F683" s="1">
        <f t="shared" si="682"/>
        <v>102.5587699</v>
      </c>
      <c r="G683" s="1">
        <f t="shared" si="682"/>
        <v>135.8163542</v>
      </c>
      <c r="H683" s="1">
        <f t="shared" si="682"/>
        <v>131.8671868</v>
      </c>
      <c r="I683" s="1">
        <f t="shared" si="682"/>
        <v>155.7675196</v>
      </c>
      <c r="J683" s="1">
        <f t="shared" si="682"/>
        <v>128.9092832</v>
      </c>
      <c r="K683" s="1">
        <f t="shared" si="682"/>
        <v>116.5560747</v>
      </c>
      <c r="L683" s="1">
        <f t="shared" si="682"/>
        <v>109.2925962</v>
      </c>
      <c r="M683" s="1">
        <f t="shared" si="682"/>
        <v>132.892573</v>
      </c>
      <c r="N683" s="1">
        <f t="shared" si="682"/>
        <v>154.7115241</v>
      </c>
      <c r="O683" s="1">
        <f t="shared" si="682"/>
        <v>121.2703396</v>
      </c>
      <c r="P683" s="1">
        <f t="shared" si="682"/>
        <v>156.0260043</v>
      </c>
      <c r="Q683" s="1">
        <f t="shared" si="682"/>
        <v>160.1011242</v>
      </c>
      <c r="R683" s="1">
        <f t="shared" si="682"/>
        <v>154.9783309</v>
      </c>
      <c r="S683" s="1">
        <f t="shared" si="682"/>
        <v>160.543329</v>
      </c>
      <c r="T683" s="1">
        <f t="shared" si="682"/>
        <v>156.8192943</v>
      </c>
      <c r="U683" s="1">
        <f t="shared" si="682"/>
        <v>129.0824669</v>
      </c>
    </row>
    <row r="684">
      <c r="A684" s="3">
        <f>IFERROR(__xludf.DUMMYFUNCTION("""COMPUTED_VALUE"""),44603.0)</f>
        <v>44603</v>
      </c>
      <c r="B684" s="1">
        <f t="shared" ref="B684:U684" si="683">IF($A684&gt;0,Megyeinapi!B684/'megyelakosság'!B$2*100000," ")</f>
        <v>106.1287882</v>
      </c>
      <c r="C684" s="1">
        <f t="shared" si="683"/>
        <v>165.6878552</v>
      </c>
      <c r="D684" s="1">
        <f t="shared" si="683"/>
        <v>115.8702979</v>
      </c>
      <c r="E684" s="1">
        <f t="shared" si="683"/>
        <v>146.1391634</v>
      </c>
      <c r="F684" s="1">
        <f t="shared" si="683"/>
        <v>90.0460286</v>
      </c>
      <c r="G684" s="1">
        <f t="shared" si="683"/>
        <v>135.3142605</v>
      </c>
      <c r="H684" s="1">
        <f t="shared" si="683"/>
        <v>132.1060766</v>
      </c>
      <c r="I684" s="1">
        <f t="shared" si="683"/>
        <v>135.4775849</v>
      </c>
      <c r="J684" s="1">
        <f t="shared" si="683"/>
        <v>125.1122498</v>
      </c>
      <c r="K684" s="1">
        <f t="shared" si="683"/>
        <v>105.6502432</v>
      </c>
      <c r="L684" s="1">
        <f t="shared" si="683"/>
        <v>101.9337431</v>
      </c>
      <c r="M684" s="1">
        <f t="shared" si="683"/>
        <v>133.2248044</v>
      </c>
      <c r="N684" s="1">
        <f t="shared" si="683"/>
        <v>131.8503711</v>
      </c>
      <c r="O684" s="1">
        <f t="shared" si="683"/>
        <v>94.05582599</v>
      </c>
      <c r="P684" s="1">
        <f t="shared" si="683"/>
        <v>102.3503917</v>
      </c>
      <c r="Q684" s="1">
        <f t="shared" si="683"/>
        <v>140.7942764</v>
      </c>
      <c r="R684" s="1">
        <f t="shared" si="683"/>
        <v>144.3061704</v>
      </c>
      <c r="S684" s="1">
        <f t="shared" si="683"/>
        <v>156.2149549</v>
      </c>
      <c r="T684" s="1">
        <f t="shared" si="683"/>
        <v>150.0775303</v>
      </c>
      <c r="U684" s="1">
        <f t="shared" si="683"/>
        <v>110.749015</v>
      </c>
    </row>
    <row r="685">
      <c r="A685" s="3">
        <f>IFERROR(__xludf.DUMMYFUNCTION("""COMPUTED_VALUE"""),44604.0)</f>
        <v>44604</v>
      </c>
      <c r="B685" s="1">
        <f t="shared" ref="B685:U685" si="684">IF($A685&gt;0,Megyeinapi!B685/'megyelakosság'!B$2*100000," ")</f>
        <v>0</v>
      </c>
      <c r="C685" s="1">
        <f t="shared" si="684"/>
        <v>0</v>
      </c>
      <c r="D685" s="1">
        <f t="shared" si="684"/>
        <v>0</v>
      </c>
      <c r="E685" s="1">
        <f t="shared" si="684"/>
        <v>0</v>
      </c>
      <c r="F685" s="1">
        <f t="shared" si="684"/>
        <v>0</v>
      </c>
      <c r="G685" s="1">
        <f t="shared" si="684"/>
        <v>0</v>
      </c>
      <c r="H685" s="1">
        <f t="shared" si="684"/>
        <v>0</v>
      </c>
      <c r="I685" s="1">
        <f t="shared" si="684"/>
        <v>0</v>
      </c>
      <c r="J685" s="1">
        <f t="shared" si="684"/>
        <v>0</v>
      </c>
      <c r="K685" s="1">
        <f t="shared" si="684"/>
        <v>0</v>
      </c>
      <c r="L685" s="1">
        <f t="shared" si="684"/>
        <v>0</v>
      </c>
      <c r="M685" s="1">
        <f t="shared" si="684"/>
        <v>0</v>
      </c>
      <c r="N685" s="1">
        <f t="shared" si="684"/>
        <v>0</v>
      </c>
      <c r="O685" s="1">
        <f t="shared" si="684"/>
        <v>0</v>
      </c>
      <c r="P685" s="1">
        <f t="shared" si="684"/>
        <v>0</v>
      </c>
      <c r="Q685" s="1">
        <f t="shared" si="684"/>
        <v>0</v>
      </c>
      <c r="R685" s="1">
        <f t="shared" si="684"/>
        <v>0</v>
      </c>
      <c r="S685" s="1">
        <f t="shared" si="684"/>
        <v>0</v>
      </c>
      <c r="T685" s="1">
        <f t="shared" si="684"/>
        <v>0</v>
      </c>
      <c r="U685" s="1">
        <f t="shared" si="684"/>
        <v>0</v>
      </c>
    </row>
    <row r="686">
      <c r="A686" s="3">
        <f>IFERROR(__xludf.DUMMYFUNCTION("""COMPUTED_VALUE"""),44605.0)</f>
        <v>44605</v>
      </c>
      <c r="B686" s="1">
        <f t="shared" ref="B686:U686" si="685">IF($A686&gt;0,Megyeinapi!B686/'megyelakosság'!B$2*100000," ")</f>
        <v>0</v>
      </c>
      <c r="C686" s="1">
        <f t="shared" si="685"/>
        <v>0</v>
      </c>
      <c r="D686" s="1">
        <f t="shared" si="685"/>
        <v>0</v>
      </c>
      <c r="E686" s="1">
        <f t="shared" si="685"/>
        <v>0</v>
      </c>
      <c r="F686" s="1">
        <f t="shared" si="685"/>
        <v>0</v>
      </c>
      <c r="G686" s="1">
        <f t="shared" si="685"/>
        <v>0</v>
      </c>
      <c r="H686" s="1">
        <f t="shared" si="685"/>
        <v>0</v>
      </c>
      <c r="I686" s="1">
        <f t="shared" si="685"/>
        <v>0</v>
      </c>
      <c r="J686" s="1">
        <f t="shared" si="685"/>
        <v>0</v>
      </c>
      <c r="K686" s="1">
        <f t="shared" si="685"/>
        <v>0</v>
      </c>
      <c r="L686" s="1">
        <f t="shared" si="685"/>
        <v>0</v>
      </c>
      <c r="M686" s="1">
        <f t="shared" si="685"/>
        <v>0</v>
      </c>
      <c r="N686" s="1">
        <f t="shared" si="685"/>
        <v>0</v>
      </c>
      <c r="O686" s="1">
        <f t="shared" si="685"/>
        <v>0</v>
      </c>
      <c r="P686" s="1">
        <f t="shared" si="685"/>
        <v>0</v>
      </c>
      <c r="Q686" s="1">
        <f t="shared" si="685"/>
        <v>0</v>
      </c>
      <c r="R686" s="1">
        <f t="shared" si="685"/>
        <v>0</v>
      </c>
      <c r="S686" s="1">
        <f t="shared" si="685"/>
        <v>0</v>
      </c>
      <c r="T686" s="1">
        <f t="shared" si="685"/>
        <v>0</v>
      </c>
      <c r="U686" s="1">
        <f t="shared" si="685"/>
        <v>0</v>
      </c>
    </row>
    <row r="687">
      <c r="A687" s="3">
        <f>IFERROR(__xludf.DUMMYFUNCTION("""COMPUTED_VALUE"""),44606.0)</f>
        <v>44606</v>
      </c>
      <c r="B687" s="1">
        <f t="shared" ref="B687:U687" si="686">IF($A687&gt;0,Megyeinapi!B687/'megyelakosság'!B$2*100000," ")</f>
        <v>191.1512883</v>
      </c>
      <c r="C687" s="1">
        <f t="shared" si="686"/>
        <v>309.0983518</v>
      </c>
      <c r="D687" s="1">
        <f t="shared" si="686"/>
        <v>140.6780379</v>
      </c>
      <c r="E687" s="1">
        <f t="shared" si="686"/>
        <v>267.6340211</v>
      </c>
      <c r="F687" s="1">
        <f t="shared" si="686"/>
        <v>176.7210447</v>
      </c>
      <c r="G687" s="1">
        <f t="shared" si="686"/>
        <v>243.0133657</v>
      </c>
      <c r="H687" s="1">
        <f t="shared" si="686"/>
        <v>239.128721</v>
      </c>
      <c r="I687" s="1">
        <f t="shared" si="686"/>
        <v>259.1193746</v>
      </c>
      <c r="J687" s="1">
        <f t="shared" si="686"/>
        <v>258.3881214</v>
      </c>
      <c r="K687" s="1">
        <f t="shared" si="686"/>
        <v>169.3811963</v>
      </c>
      <c r="L687" s="1">
        <f t="shared" si="686"/>
        <v>196.2360829</v>
      </c>
      <c r="M687" s="1">
        <f t="shared" si="686"/>
        <v>212.6281167</v>
      </c>
      <c r="N687" s="1">
        <f t="shared" si="686"/>
        <v>261.5741233</v>
      </c>
      <c r="O687" s="1">
        <f t="shared" si="686"/>
        <v>180.3250631</v>
      </c>
      <c r="P687" s="1">
        <f t="shared" si="686"/>
        <v>182.6971162</v>
      </c>
      <c r="Q687" s="1">
        <f t="shared" si="686"/>
        <v>246.4355188</v>
      </c>
      <c r="R687" s="1">
        <f t="shared" si="686"/>
        <v>214.3712241</v>
      </c>
      <c r="S687" s="1">
        <f t="shared" si="686"/>
        <v>312.8233984</v>
      </c>
      <c r="T687" s="1">
        <f t="shared" si="686"/>
        <v>274.9467254</v>
      </c>
      <c r="U687" s="1">
        <f t="shared" si="686"/>
        <v>152.6540478</v>
      </c>
    </row>
    <row r="688">
      <c r="A688" s="3">
        <f>IFERROR(__xludf.DUMMYFUNCTION("""COMPUTED_VALUE"""),44607.0)</f>
        <v>44607</v>
      </c>
      <c r="B688" s="1">
        <f t="shared" ref="B688:U688" si="687">IF($A688&gt;0,Megyeinapi!B688/'megyelakosság'!B$2*100000," ")</f>
        <v>38.03114173</v>
      </c>
      <c r="C688" s="1">
        <f t="shared" si="687"/>
        <v>98.85577916</v>
      </c>
      <c r="D688" s="1">
        <f t="shared" si="687"/>
        <v>52.33828076</v>
      </c>
      <c r="E688" s="1">
        <f t="shared" si="687"/>
        <v>34.69039217</v>
      </c>
      <c r="F688" s="1">
        <f t="shared" si="687"/>
        <v>31.1390137</v>
      </c>
      <c r="G688" s="1">
        <f t="shared" si="687"/>
        <v>47.9499513</v>
      </c>
      <c r="H688" s="1">
        <f t="shared" si="687"/>
        <v>37.26681366</v>
      </c>
      <c r="I688" s="1">
        <f t="shared" si="687"/>
        <v>52.41566468</v>
      </c>
      <c r="J688" s="1">
        <f t="shared" si="687"/>
        <v>38.72974045</v>
      </c>
      <c r="K688" s="1">
        <f t="shared" si="687"/>
        <v>47.37220581</v>
      </c>
      <c r="L688" s="1">
        <f t="shared" si="687"/>
        <v>34.06876439</v>
      </c>
      <c r="M688" s="1">
        <f t="shared" si="687"/>
        <v>56.14711208</v>
      </c>
      <c r="N688" s="1">
        <f t="shared" si="687"/>
        <v>26.58273611</v>
      </c>
      <c r="O688" s="1">
        <f t="shared" si="687"/>
        <v>37.08266582</v>
      </c>
      <c r="P688" s="1">
        <f t="shared" si="687"/>
        <v>40.67344557</v>
      </c>
      <c r="Q688" s="1">
        <f t="shared" si="687"/>
        <v>68.30252738</v>
      </c>
      <c r="R688" s="1">
        <f t="shared" si="687"/>
        <v>67.74501889</v>
      </c>
      <c r="S688" s="1">
        <f t="shared" si="687"/>
        <v>47.61211473</v>
      </c>
      <c r="T688" s="1">
        <f t="shared" si="687"/>
        <v>64.77955897</v>
      </c>
      <c r="U688" s="1">
        <f t="shared" si="687"/>
        <v>66.59906986</v>
      </c>
    </row>
    <row r="689">
      <c r="A689" s="3">
        <f>IFERROR(__xludf.DUMMYFUNCTION("""COMPUTED_VALUE"""),44608.0)</f>
        <v>44608</v>
      </c>
      <c r="B689" s="1">
        <f t="shared" ref="B689:U689" si="688">IF($A689&gt;0,Megyeinapi!B689/'megyelakosság'!B$2*100000," ")</f>
        <v>81.43841344</v>
      </c>
      <c r="C689" s="1">
        <f t="shared" si="688"/>
        <v>185.4590111</v>
      </c>
      <c r="D689" s="1">
        <f t="shared" si="688"/>
        <v>83.49922249</v>
      </c>
      <c r="E689" s="1">
        <f t="shared" si="688"/>
        <v>96.37964161</v>
      </c>
      <c r="F689" s="1">
        <f t="shared" si="688"/>
        <v>73.24810195</v>
      </c>
      <c r="G689" s="1">
        <f t="shared" si="688"/>
        <v>72.30149724</v>
      </c>
      <c r="H689" s="1">
        <f t="shared" si="688"/>
        <v>88.62812737</v>
      </c>
      <c r="I689" s="1">
        <f t="shared" si="688"/>
        <v>101.8723805</v>
      </c>
      <c r="J689" s="1">
        <f t="shared" si="688"/>
        <v>87.33176769</v>
      </c>
      <c r="K689" s="1">
        <f t="shared" si="688"/>
        <v>72.93274851</v>
      </c>
      <c r="L689" s="1">
        <f t="shared" si="688"/>
        <v>72.49833063</v>
      </c>
      <c r="M689" s="1">
        <f t="shared" si="688"/>
        <v>72.42645227</v>
      </c>
      <c r="N689" s="1">
        <f t="shared" si="688"/>
        <v>132.9136805</v>
      </c>
      <c r="O689" s="1">
        <f t="shared" si="688"/>
        <v>77.63460391</v>
      </c>
      <c r="P689" s="1">
        <f t="shared" si="688"/>
        <v>86.34772462</v>
      </c>
      <c r="Q689" s="1">
        <f t="shared" si="688"/>
        <v>134.783654</v>
      </c>
      <c r="R689" s="1">
        <f t="shared" si="688"/>
        <v>109.9696539</v>
      </c>
      <c r="S689" s="1">
        <f t="shared" si="688"/>
        <v>91.68283249</v>
      </c>
      <c r="T689" s="1">
        <f t="shared" si="688"/>
        <v>105.8163837</v>
      </c>
      <c r="U689" s="1">
        <f t="shared" si="688"/>
        <v>93.53801946</v>
      </c>
    </row>
    <row r="690">
      <c r="A690" s="3">
        <f>IFERROR(__xludf.DUMMYFUNCTION("""COMPUTED_VALUE"""),44609.0)</f>
        <v>44609</v>
      </c>
      <c r="B690" s="1">
        <f t="shared" ref="B690:U690" si="689">IF($A690&gt;0,Megyeinapi!B690/'megyelakosság'!B$2*100000," ")</f>
        <v>72.27908088</v>
      </c>
      <c r="C690" s="1">
        <f t="shared" si="689"/>
        <v>150.6506381</v>
      </c>
      <c r="D690" s="1">
        <f t="shared" si="689"/>
        <v>72.00295273</v>
      </c>
      <c r="E690" s="1">
        <f t="shared" si="689"/>
        <v>106.1117878</v>
      </c>
      <c r="F690" s="1">
        <f t="shared" si="689"/>
        <v>75.24785512</v>
      </c>
      <c r="G690" s="1">
        <f t="shared" si="689"/>
        <v>102.9292148</v>
      </c>
      <c r="H690" s="1">
        <f t="shared" si="689"/>
        <v>79.31142395</v>
      </c>
      <c r="I690" s="1">
        <f t="shared" si="689"/>
        <v>91.09335272</v>
      </c>
      <c r="J690" s="1">
        <f t="shared" si="689"/>
        <v>82.77532764</v>
      </c>
      <c r="K690" s="1">
        <f t="shared" si="689"/>
        <v>80.4305077</v>
      </c>
      <c r="L690" s="1">
        <f t="shared" si="689"/>
        <v>75.76893201</v>
      </c>
      <c r="M690" s="1">
        <f t="shared" si="689"/>
        <v>79.07108091</v>
      </c>
      <c r="N690" s="1">
        <f t="shared" si="689"/>
        <v>119.0906578</v>
      </c>
      <c r="O690" s="1">
        <f t="shared" si="689"/>
        <v>69.3854454</v>
      </c>
      <c r="P690" s="1">
        <f t="shared" si="689"/>
        <v>93.68228038</v>
      </c>
      <c r="Q690" s="1">
        <f t="shared" si="689"/>
        <v>112.7447052</v>
      </c>
      <c r="R690" s="1">
        <f t="shared" si="689"/>
        <v>105.7935911</v>
      </c>
      <c r="S690" s="1">
        <f t="shared" si="689"/>
        <v>94.43725235</v>
      </c>
      <c r="T690" s="1">
        <f t="shared" si="689"/>
        <v>112.2650275</v>
      </c>
      <c r="U690" s="1">
        <f t="shared" si="689"/>
        <v>77.44948012</v>
      </c>
    </row>
    <row r="691">
      <c r="A691" s="3">
        <f>IFERROR(__xludf.DUMMYFUNCTION("""COMPUTED_VALUE"""),44610.0)</f>
        <v>44610</v>
      </c>
      <c r="B691" s="1">
        <f t="shared" ref="B691:U691" si="690">IF($A691&gt;0,Megyeinapi!B691/'megyelakosság'!B$2*100000," ")</f>
        <v>61.12858906</v>
      </c>
      <c r="C691" s="1">
        <f t="shared" si="690"/>
        <v>130.0440813</v>
      </c>
      <c r="D691" s="1">
        <f t="shared" si="690"/>
        <v>73.21308639</v>
      </c>
      <c r="E691" s="1">
        <f t="shared" si="690"/>
        <v>106.2687579</v>
      </c>
      <c r="F691" s="1">
        <f t="shared" si="690"/>
        <v>57.99284203</v>
      </c>
      <c r="G691" s="1">
        <f t="shared" si="690"/>
        <v>74.8119659</v>
      </c>
      <c r="H691" s="1">
        <f t="shared" si="690"/>
        <v>79.31142395</v>
      </c>
      <c r="I691" s="1">
        <f t="shared" si="690"/>
        <v>87.92305042</v>
      </c>
      <c r="J691" s="1">
        <f t="shared" si="690"/>
        <v>86.57236101</v>
      </c>
      <c r="K691" s="1">
        <f t="shared" si="690"/>
        <v>79.06727876</v>
      </c>
      <c r="L691" s="1">
        <f t="shared" si="690"/>
        <v>72.49833063</v>
      </c>
      <c r="M691" s="1">
        <f t="shared" si="690"/>
        <v>86.71240386</v>
      </c>
      <c r="N691" s="1">
        <f t="shared" si="690"/>
        <v>101.5460519</v>
      </c>
      <c r="O691" s="1">
        <f t="shared" si="690"/>
        <v>54.81450187</v>
      </c>
      <c r="P691" s="1">
        <f t="shared" si="690"/>
        <v>70.34505751</v>
      </c>
      <c r="Q691" s="1">
        <f t="shared" si="690"/>
        <v>97.8092192</v>
      </c>
      <c r="R691" s="1">
        <f t="shared" si="690"/>
        <v>85.37728407</v>
      </c>
      <c r="S691" s="1">
        <f t="shared" si="690"/>
        <v>80.2716645</v>
      </c>
      <c r="T691" s="1">
        <f t="shared" si="690"/>
        <v>97.9021389</v>
      </c>
      <c r="U691" s="1">
        <f t="shared" si="690"/>
        <v>52.00713882</v>
      </c>
    </row>
    <row r="692">
      <c r="A692" s="3">
        <f>IFERROR(__xludf.DUMMYFUNCTION("""COMPUTED_VALUE"""),44611.0)</f>
        <v>44611</v>
      </c>
      <c r="B692" s="1">
        <f t="shared" ref="B692:U692" si="691">IF($A692&gt;0,Megyeinapi!B692/'megyelakosság'!B$2*100000," ")</f>
        <v>0</v>
      </c>
      <c r="C692" s="1">
        <f t="shared" si="691"/>
        <v>0</v>
      </c>
      <c r="D692" s="1">
        <f t="shared" si="691"/>
        <v>0</v>
      </c>
      <c r="E692" s="1">
        <f t="shared" si="691"/>
        <v>0</v>
      </c>
      <c r="F692" s="1">
        <f t="shared" si="691"/>
        <v>0</v>
      </c>
      <c r="G692" s="1">
        <f t="shared" si="691"/>
        <v>0</v>
      </c>
      <c r="H692" s="1">
        <f t="shared" si="691"/>
        <v>0</v>
      </c>
      <c r="I692" s="1">
        <f t="shared" si="691"/>
        <v>0</v>
      </c>
      <c r="J692" s="1">
        <f t="shared" si="691"/>
        <v>0</v>
      </c>
      <c r="K692" s="1">
        <f t="shared" si="691"/>
        <v>0</v>
      </c>
      <c r="L692" s="1">
        <f t="shared" si="691"/>
        <v>0</v>
      </c>
      <c r="M692" s="1">
        <f t="shared" si="691"/>
        <v>0</v>
      </c>
      <c r="N692" s="1">
        <f t="shared" si="691"/>
        <v>0</v>
      </c>
      <c r="O692" s="1">
        <f t="shared" si="691"/>
        <v>0</v>
      </c>
      <c r="P692" s="1">
        <f t="shared" si="691"/>
        <v>0</v>
      </c>
      <c r="Q692" s="1">
        <f t="shared" si="691"/>
        <v>0</v>
      </c>
      <c r="R692" s="1">
        <f t="shared" si="691"/>
        <v>0</v>
      </c>
      <c r="S692" s="1">
        <f t="shared" si="691"/>
        <v>0</v>
      </c>
      <c r="T692" s="1">
        <f t="shared" si="691"/>
        <v>0</v>
      </c>
      <c r="U692" s="1">
        <f t="shared" si="691"/>
        <v>0</v>
      </c>
    </row>
    <row r="693">
      <c r="A693" s="3">
        <f>IFERROR(__xludf.DUMMYFUNCTION("""COMPUTED_VALUE"""),44612.0)</f>
        <v>44612</v>
      </c>
      <c r="B693" s="1">
        <f t="shared" ref="B693:U693" si="692">IF($A693&gt;0,Megyeinapi!B693/'megyelakosság'!B$2*100000," ")</f>
        <v>0</v>
      </c>
      <c r="C693" s="1">
        <f t="shared" si="692"/>
        <v>0</v>
      </c>
      <c r="D693" s="1">
        <f t="shared" si="692"/>
        <v>0</v>
      </c>
      <c r="E693" s="1">
        <f t="shared" si="692"/>
        <v>0</v>
      </c>
      <c r="F693" s="1">
        <f t="shared" si="692"/>
        <v>0</v>
      </c>
      <c r="G693" s="1">
        <f t="shared" si="692"/>
        <v>0</v>
      </c>
      <c r="H693" s="1">
        <f t="shared" si="692"/>
        <v>0</v>
      </c>
      <c r="I693" s="1">
        <f t="shared" si="692"/>
        <v>0</v>
      </c>
      <c r="J693" s="1">
        <f t="shared" si="692"/>
        <v>0</v>
      </c>
      <c r="K693" s="1">
        <f t="shared" si="692"/>
        <v>0</v>
      </c>
      <c r="L693" s="1">
        <f t="shared" si="692"/>
        <v>0</v>
      </c>
      <c r="M693" s="1">
        <f t="shared" si="692"/>
        <v>0</v>
      </c>
      <c r="N693" s="1">
        <f t="shared" si="692"/>
        <v>0</v>
      </c>
      <c r="O693" s="1">
        <f t="shared" si="692"/>
        <v>0</v>
      </c>
      <c r="P693" s="1">
        <f t="shared" si="692"/>
        <v>0</v>
      </c>
      <c r="Q693" s="1">
        <f t="shared" si="692"/>
        <v>0</v>
      </c>
      <c r="R693" s="1">
        <f t="shared" si="692"/>
        <v>0</v>
      </c>
      <c r="S693" s="1">
        <f t="shared" si="692"/>
        <v>0</v>
      </c>
      <c r="T693" s="1">
        <f t="shared" si="692"/>
        <v>0</v>
      </c>
      <c r="U693" s="1">
        <f t="shared" si="692"/>
        <v>0</v>
      </c>
    </row>
    <row r="694">
      <c r="A694" s="3">
        <f>IFERROR(__xludf.DUMMYFUNCTION("""COMPUTED_VALUE"""),44613.0)</f>
        <v>44613</v>
      </c>
      <c r="B694" s="1">
        <f t="shared" ref="B694:U694" si="693">IF($A694&gt;0,Megyeinapi!B694/'megyelakosság'!B$2*100000," ")</f>
        <v>122.4562941</v>
      </c>
      <c r="C694" s="1">
        <f t="shared" si="693"/>
        <v>206.9009688</v>
      </c>
      <c r="D694" s="1">
        <f t="shared" si="693"/>
        <v>78.96122127</v>
      </c>
      <c r="E694" s="1">
        <f t="shared" si="693"/>
        <v>180.9865257</v>
      </c>
      <c r="F694" s="1">
        <f t="shared" si="693"/>
        <v>121.4707213</v>
      </c>
      <c r="G694" s="1">
        <f t="shared" si="693"/>
        <v>114.7284175</v>
      </c>
      <c r="H694" s="1">
        <f t="shared" si="693"/>
        <v>128.5227292</v>
      </c>
      <c r="I694" s="1">
        <f t="shared" si="693"/>
        <v>148.1587941</v>
      </c>
      <c r="J694" s="1">
        <f t="shared" si="693"/>
        <v>155.6783685</v>
      </c>
      <c r="K694" s="1">
        <f t="shared" si="693"/>
        <v>122.3497977</v>
      </c>
      <c r="L694" s="1">
        <f t="shared" si="693"/>
        <v>121.8299015</v>
      </c>
      <c r="M694" s="1">
        <f t="shared" si="693"/>
        <v>138.2082759</v>
      </c>
      <c r="N694" s="1">
        <f t="shared" si="693"/>
        <v>157.3697978</v>
      </c>
      <c r="O694" s="1">
        <f t="shared" si="693"/>
        <v>110.7083329</v>
      </c>
      <c r="P694" s="1">
        <f t="shared" si="693"/>
        <v>96.34939157</v>
      </c>
      <c r="Q694" s="1">
        <f t="shared" si="693"/>
        <v>180.3186723</v>
      </c>
      <c r="R694" s="1">
        <f t="shared" si="693"/>
        <v>133.6340099</v>
      </c>
      <c r="S694" s="1">
        <f t="shared" si="693"/>
        <v>166.4456573</v>
      </c>
      <c r="T694" s="1">
        <f t="shared" si="693"/>
        <v>193.7524366</v>
      </c>
      <c r="U694" s="1">
        <f t="shared" si="693"/>
        <v>90.54480284</v>
      </c>
    </row>
    <row r="695">
      <c r="A695" s="3">
        <f>IFERROR(__xludf.DUMMYFUNCTION("""COMPUTED_VALUE"""),44614.0)</f>
        <v>44614</v>
      </c>
      <c r="B695" s="1">
        <f t="shared" ref="B695:U695" si="694">IF($A695&gt;0,Megyeinapi!B695/'megyelakosság'!B$2*100000," ")</f>
        <v>27.67711362</v>
      </c>
      <c r="C695" s="1">
        <f t="shared" si="694"/>
        <v>62.37660432</v>
      </c>
      <c r="D695" s="1">
        <f t="shared" si="694"/>
        <v>36.30400978</v>
      </c>
      <c r="E695" s="1">
        <f t="shared" si="694"/>
        <v>28.09764796</v>
      </c>
      <c r="F695" s="1">
        <f t="shared" si="694"/>
        <v>24.96834676</v>
      </c>
      <c r="G695" s="1">
        <f t="shared" si="694"/>
        <v>28.11724893</v>
      </c>
      <c r="H695" s="1">
        <f t="shared" si="694"/>
        <v>43.95572894</v>
      </c>
      <c r="I695" s="1">
        <f t="shared" si="694"/>
        <v>36.56415318</v>
      </c>
      <c r="J695" s="1">
        <f t="shared" si="694"/>
        <v>28.098047</v>
      </c>
      <c r="K695" s="1">
        <f t="shared" si="694"/>
        <v>32.37668742</v>
      </c>
      <c r="L695" s="1">
        <f t="shared" si="694"/>
        <v>31.88836347</v>
      </c>
      <c r="M695" s="1">
        <f t="shared" si="694"/>
        <v>26.24628316</v>
      </c>
      <c r="N695" s="1">
        <f t="shared" si="694"/>
        <v>21.26618889</v>
      </c>
      <c r="O695" s="1">
        <f t="shared" si="694"/>
        <v>21.50948807</v>
      </c>
      <c r="P695" s="1">
        <f t="shared" si="694"/>
        <v>26.33772295</v>
      </c>
      <c r="Q695" s="1">
        <f t="shared" si="694"/>
        <v>53.54918146</v>
      </c>
      <c r="R695" s="1">
        <f t="shared" si="694"/>
        <v>50.1127537</v>
      </c>
      <c r="S695" s="1">
        <f t="shared" si="694"/>
        <v>45.25118342</v>
      </c>
      <c r="T695" s="1">
        <f t="shared" si="694"/>
        <v>47.19234839</v>
      </c>
      <c r="U695" s="1">
        <f t="shared" si="694"/>
        <v>41.15672856</v>
      </c>
    </row>
    <row r="696">
      <c r="A696" s="3">
        <f>IFERROR(__xludf.DUMMYFUNCTION("""COMPUTED_VALUE"""),44615.0)</f>
        <v>44615</v>
      </c>
      <c r="B696" s="1">
        <f t="shared" ref="B696:U696" si="695">IF($A696&gt;0,Megyeinapi!B696/'megyelakosság'!B$2*100000," ")</f>
        <v>49.5798654</v>
      </c>
      <c r="C696" s="1">
        <f t="shared" si="695"/>
        <v>109.4375245</v>
      </c>
      <c r="D696" s="1">
        <f t="shared" si="695"/>
        <v>66.25481784</v>
      </c>
      <c r="E696" s="1">
        <f t="shared" si="695"/>
        <v>78.64202027</v>
      </c>
      <c r="F696" s="1">
        <f t="shared" si="695"/>
        <v>50.27950836</v>
      </c>
      <c r="G696" s="1">
        <f t="shared" si="695"/>
        <v>98.15932438</v>
      </c>
      <c r="H696" s="1">
        <f t="shared" si="695"/>
        <v>54.46688151</v>
      </c>
      <c r="I696" s="1">
        <f t="shared" si="695"/>
        <v>63.40604598</v>
      </c>
      <c r="J696" s="1">
        <f t="shared" si="695"/>
        <v>63.98001242</v>
      </c>
      <c r="K696" s="1">
        <f t="shared" si="695"/>
        <v>64.75337484</v>
      </c>
      <c r="L696" s="1">
        <f t="shared" si="695"/>
        <v>51.51197176</v>
      </c>
      <c r="M696" s="1">
        <f t="shared" si="695"/>
        <v>51.49587202</v>
      </c>
      <c r="N696" s="1">
        <f t="shared" si="695"/>
        <v>82.40648193</v>
      </c>
      <c r="O696" s="1">
        <f t="shared" si="695"/>
        <v>53.42679296</v>
      </c>
      <c r="P696" s="1">
        <f t="shared" si="695"/>
        <v>58.34305718</v>
      </c>
      <c r="Q696" s="1">
        <f t="shared" si="695"/>
        <v>107.8269232</v>
      </c>
      <c r="R696" s="1">
        <f t="shared" si="695"/>
        <v>65.42498399</v>
      </c>
      <c r="S696" s="1">
        <f t="shared" si="695"/>
        <v>60.20374837</v>
      </c>
      <c r="T696" s="1">
        <f t="shared" si="695"/>
        <v>63.31395809</v>
      </c>
      <c r="U696" s="1">
        <f t="shared" si="695"/>
        <v>48.26561804</v>
      </c>
    </row>
    <row r="697">
      <c r="A697" s="3">
        <f>IFERROR(__xludf.DUMMYFUNCTION("""COMPUTED_VALUE"""),44616.0)</f>
        <v>44616</v>
      </c>
      <c r="B697" s="1">
        <f t="shared" ref="B697:U697" si="696">IF($A697&gt;0,Megyeinapi!B697/'megyelakosság'!B$2*100000," ")</f>
        <v>44.00461949</v>
      </c>
      <c r="C697" s="1">
        <f t="shared" si="696"/>
        <v>102.7543169</v>
      </c>
      <c r="D697" s="1">
        <f t="shared" si="696"/>
        <v>39.32934393</v>
      </c>
      <c r="E697" s="1">
        <f t="shared" si="696"/>
        <v>79.89778107</v>
      </c>
      <c r="F697" s="1">
        <f t="shared" si="696"/>
        <v>46.45140943</v>
      </c>
      <c r="G697" s="1">
        <f t="shared" si="696"/>
        <v>52.97088861</v>
      </c>
      <c r="H697" s="1">
        <f t="shared" si="696"/>
        <v>66.41137307</v>
      </c>
      <c r="I697" s="1">
        <f t="shared" si="696"/>
        <v>64.88552038</v>
      </c>
      <c r="J697" s="1">
        <f t="shared" si="696"/>
        <v>64.54956742</v>
      </c>
      <c r="K697" s="1">
        <f t="shared" si="696"/>
        <v>52.14350711</v>
      </c>
      <c r="L697" s="1">
        <f t="shared" si="696"/>
        <v>46.60606969</v>
      </c>
      <c r="M697" s="1">
        <f t="shared" si="696"/>
        <v>51.49587202</v>
      </c>
      <c r="N697" s="1">
        <f t="shared" si="696"/>
        <v>78.15324416</v>
      </c>
      <c r="O697" s="1">
        <f t="shared" si="696"/>
        <v>41.939647</v>
      </c>
      <c r="P697" s="1">
        <f t="shared" si="696"/>
        <v>63.01050175</v>
      </c>
      <c r="Q697" s="1">
        <f t="shared" si="696"/>
        <v>70.48820825</v>
      </c>
      <c r="R697" s="1">
        <f t="shared" si="696"/>
        <v>57.07285838</v>
      </c>
      <c r="S697" s="1">
        <f t="shared" si="696"/>
        <v>56.26886286</v>
      </c>
      <c r="T697" s="1">
        <f t="shared" si="696"/>
        <v>63.02083791</v>
      </c>
      <c r="U697" s="1">
        <f t="shared" si="696"/>
        <v>40.03427233</v>
      </c>
    </row>
    <row r="698">
      <c r="A698" s="3">
        <f>IFERROR(__xludf.DUMMYFUNCTION("""COMPUTED_VALUE"""),44617.0)</f>
        <v>44617</v>
      </c>
      <c r="B698" s="1">
        <f t="shared" ref="B698:U698" si="697">IF($A698&gt;0,Megyeinapi!B698/'megyelakosság'!B$2*100000," ")</f>
        <v>37.63290988</v>
      </c>
      <c r="C698" s="1">
        <f t="shared" si="697"/>
        <v>70.45214684</v>
      </c>
      <c r="D698" s="1">
        <f t="shared" si="697"/>
        <v>39.63187734</v>
      </c>
      <c r="E698" s="1">
        <f t="shared" si="697"/>
        <v>61.21833913</v>
      </c>
      <c r="F698" s="1">
        <f t="shared" si="697"/>
        <v>35.93842131</v>
      </c>
      <c r="G698" s="1">
        <f t="shared" si="697"/>
        <v>42.67796712</v>
      </c>
      <c r="H698" s="1">
        <f t="shared" si="697"/>
        <v>40.85016113</v>
      </c>
      <c r="I698" s="1">
        <f t="shared" si="697"/>
        <v>53.89513908</v>
      </c>
      <c r="J698" s="1">
        <f t="shared" si="697"/>
        <v>58.66416569</v>
      </c>
      <c r="K698" s="1">
        <f t="shared" si="697"/>
        <v>38.17041043</v>
      </c>
      <c r="L698" s="1">
        <f t="shared" si="697"/>
        <v>55.05512326</v>
      </c>
      <c r="M698" s="1">
        <f t="shared" si="697"/>
        <v>55.48264921</v>
      </c>
      <c r="N698" s="1">
        <f t="shared" si="697"/>
        <v>57.41870999</v>
      </c>
      <c r="O698" s="1">
        <f t="shared" si="697"/>
        <v>35.23238728</v>
      </c>
      <c r="P698" s="1">
        <f t="shared" si="697"/>
        <v>47.67461244</v>
      </c>
      <c r="Q698" s="1">
        <f t="shared" si="697"/>
        <v>61.92762482</v>
      </c>
      <c r="R698" s="1">
        <f t="shared" si="697"/>
        <v>39.90460017</v>
      </c>
      <c r="S698" s="1">
        <f t="shared" si="697"/>
        <v>40.5293208</v>
      </c>
      <c r="T698" s="1">
        <f t="shared" si="697"/>
        <v>55.39971333</v>
      </c>
      <c r="U698" s="1">
        <f t="shared" si="697"/>
        <v>35.17029532</v>
      </c>
    </row>
    <row r="699">
      <c r="A699" s="3">
        <f>IFERROR(__xludf.DUMMYFUNCTION("""COMPUTED_VALUE"""),44618.0)</f>
        <v>44618</v>
      </c>
      <c r="B699" s="1">
        <f t="shared" ref="B699:U699" si="698">IF($A699&gt;0,Megyeinapi!B699/'megyelakosság'!B$2*100000," ")</f>
        <v>0</v>
      </c>
      <c r="C699" s="1">
        <f t="shared" si="698"/>
        <v>0</v>
      </c>
      <c r="D699" s="1">
        <f t="shared" si="698"/>
        <v>0</v>
      </c>
      <c r="E699" s="1">
        <f t="shared" si="698"/>
        <v>0</v>
      </c>
      <c r="F699" s="1">
        <f t="shared" si="698"/>
        <v>0</v>
      </c>
      <c r="G699" s="1">
        <f t="shared" si="698"/>
        <v>0</v>
      </c>
      <c r="H699" s="1">
        <f t="shared" si="698"/>
        <v>0</v>
      </c>
      <c r="I699" s="1">
        <f t="shared" si="698"/>
        <v>0</v>
      </c>
      <c r="J699" s="1">
        <f t="shared" si="698"/>
        <v>0</v>
      </c>
      <c r="K699" s="1">
        <f t="shared" si="698"/>
        <v>0</v>
      </c>
      <c r="L699" s="1">
        <f t="shared" si="698"/>
        <v>0</v>
      </c>
      <c r="M699" s="1">
        <f t="shared" si="698"/>
        <v>0</v>
      </c>
      <c r="N699" s="1">
        <f t="shared" si="698"/>
        <v>0</v>
      </c>
      <c r="O699" s="1">
        <f t="shared" si="698"/>
        <v>0</v>
      </c>
      <c r="P699" s="1">
        <f t="shared" si="698"/>
        <v>0</v>
      </c>
      <c r="Q699" s="1">
        <f t="shared" si="698"/>
        <v>0</v>
      </c>
      <c r="R699" s="1">
        <f t="shared" si="698"/>
        <v>0</v>
      </c>
      <c r="S699" s="1">
        <f t="shared" si="698"/>
        <v>0</v>
      </c>
      <c r="T699" s="1">
        <f t="shared" si="698"/>
        <v>0</v>
      </c>
      <c r="U699" s="1">
        <f t="shared" si="698"/>
        <v>0</v>
      </c>
    </row>
    <row r="700">
      <c r="A700" s="3">
        <f>IFERROR(__xludf.DUMMYFUNCTION("""COMPUTED_VALUE"""),44619.0)</f>
        <v>44619</v>
      </c>
      <c r="B700" s="1">
        <f t="shared" ref="B700:U700" si="699">IF($A700&gt;0,Megyeinapi!B700/'megyelakosság'!B$2*100000," ")</f>
        <v>0</v>
      </c>
      <c r="C700" s="1">
        <f t="shared" si="699"/>
        <v>0</v>
      </c>
      <c r="D700" s="1">
        <f t="shared" si="699"/>
        <v>0</v>
      </c>
      <c r="E700" s="1">
        <f t="shared" si="699"/>
        <v>0</v>
      </c>
      <c r="F700" s="1">
        <f t="shared" si="699"/>
        <v>0</v>
      </c>
      <c r="G700" s="1">
        <f t="shared" si="699"/>
        <v>0</v>
      </c>
      <c r="H700" s="1">
        <f t="shared" si="699"/>
        <v>0</v>
      </c>
      <c r="I700" s="1">
        <f t="shared" si="699"/>
        <v>0</v>
      </c>
      <c r="J700" s="1">
        <f t="shared" si="699"/>
        <v>0</v>
      </c>
      <c r="K700" s="1">
        <f t="shared" si="699"/>
        <v>0</v>
      </c>
      <c r="L700" s="1">
        <f t="shared" si="699"/>
        <v>0</v>
      </c>
      <c r="M700" s="1">
        <f t="shared" si="699"/>
        <v>0</v>
      </c>
      <c r="N700" s="1">
        <f t="shared" si="699"/>
        <v>0</v>
      </c>
      <c r="O700" s="1">
        <f t="shared" si="699"/>
        <v>0</v>
      </c>
      <c r="P700" s="1">
        <f t="shared" si="699"/>
        <v>0</v>
      </c>
      <c r="Q700" s="1">
        <f t="shared" si="699"/>
        <v>0</v>
      </c>
      <c r="R700" s="1">
        <f t="shared" si="699"/>
        <v>0</v>
      </c>
      <c r="S700" s="1">
        <f t="shared" si="699"/>
        <v>0</v>
      </c>
      <c r="T700" s="1">
        <f t="shared" si="699"/>
        <v>0</v>
      </c>
      <c r="U700" s="1">
        <f t="shared" si="699"/>
        <v>0</v>
      </c>
    </row>
    <row r="701">
      <c r="A701" s="3">
        <f>IFERROR(__xludf.DUMMYFUNCTION("""COMPUTED_VALUE"""),44620.0)</f>
        <v>44620</v>
      </c>
      <c r="B701" s="1">
        <f t="shared" ref="B701:U701" si="700">IF($A701&gt;0,Megyeinapi!B701/'megyelakosság'!B$2*100000," ")</f>
        <v>78.65079049</v>
      </c>
      <c r="C701" s="1">
        <f t="shared" si="700"/>
        <v>133.3856851</v>
      </c>
      <c r="D701" s="1">
        <f t="shared" si="700"/>
        <v>60.80921638</v>
      </c>
      <c r="E701" s="1">
        <f t="shared" si="700"/>
        <v>108.1523991</v>
      </c>
      <c r="F701" s="1">
        <f t="shared" si="700"/>
        <v>79.24736147</v>
      </c>
      <c r="G701" s="1">
        <f t="shared" si="700"/>
        <v>86.10907484</v>
      </c>
      <c r="H701" s="1">
        <f t="shared" si="700"/>
        <v>83.61144091</v>
      </c>
      <c r="I701" s="1">
        <f t="shared" si="700"/>
        <v>103.1405015</v>
      </c>
      <c r="J701" s="1">
        <f t="shared" si="700"/>
        <v>98.53301615</v>
      </c>
      <c r="K701" s="1">
        <f t="shared" si="700"/>
        <v>73.61436298</v>
      </c>
      <c r="L701" s="1">
        <f t="shared" si="700"/>
        <v>65.95712787</v>
      </c>
      <c r="M701" s="1">
        <f t="shared" si="700"/>
        <v>84.71901527</v>
      </c>
      <c r="N701" s="1">
        <f t="shared" si="700"/>
        <v>102.0777067</v>
      </c>
      <c r="O701" s="1">
        <f t="shared" si="700"/>
        <v>76.09270512</v>
      </c>
      <c r="P701" s="1">
        <f t="shared" si="700"/>
        <v>67.67794632</v>
      </c>
      <c r="Q701" s="1">
        <f t="shared" si="700"/>
        <v>101.2698806</v>
      </c>
      <c r="R701" s="1">
        <f t="shared" si="700"/>
        <v>68.20902586</v>
      </c>
      <c r="S701" s="1">
        <f t="shared" si="700"/>
        <v>110.9637715</v>
      </c>
      <c r="T701" s="1">
        <f t="shared" si="700"/>
        <v>95.55717749</v>
      </c>
      <c r="U701" s="1">
        <f t="shared" si="700"/>
        <v>42.2791848</v>
      </c>
    </row>
    <row r="702">
      <c r="A702" s="3">
        <f>IFERROR(__xludf.DUMMYFUNCTION("""COMPUTED_VALUE"""),44621.0)</f>
        <v>44621</v>
      </c>
      <c r="B702" s="1">
        <f t="shared" ref="B702:U702" si="701">IF($A702&gt;0,Megyeinapi!B702/'megyelakosság'!B$2*100000," ")</f>
        <v>17.3230855</v>
      </c>
      <c r="C702" s="1">
        <f t="shared" si="701"/>
        <v>41.77004753</v>
      </c>
      <c r="D702" s="1">
        <f t="shared" si="701"/>
        <v>29.64827465</v>
      </c>
      <c r="E702" s="1">
        <f t="shared" si="701"/>
        <v>22.91763465</v>
      </c>
      <c r="F702" s="1">
        <f t="shared" si="701"/>
        <v>15.36953153</v>
      </c>
      <c r="G702" s="1">
        <f t="shared" si="701"/>
        <v>19.83270237</v>
      </c>
      <c r="H702" s="1">
        <f t="shared" si="701"/>
        <v>15.52783903</v>
      </c>
      <c r="I702" s="1">
        <f t="shared" si="701"/>
        <v>23.03753004</v>
      </c>
      <c r="J702" s="1">
        <f t="shared" si="701"/>
        <v>25.25027196</v>
      </c>
      <c r="K702" s="1">
        <f t="shared" si="701"/>
        <v>20.44843416</v>
      </c>
      <c r="L702" s="1">
        <f t="shared" si="701"/>
        <v>16.89810714</v>
      </c>
      <c r="M702" s="1">
        <f t="shared" si="701"/>
        <v>12.95702586</v>
      </c>
      <c r="N702" s="1">
        <f t="shared" si="701"/>
        <v>19.67122472</v>
      </c>
      <c r="O702" s="1">
        <f t="shared" si="701"/>
        <v>15.80446256</v>
      </c>
      <c r="P702" s="1">
        <f t="shared" si="701"/>
        <v>15.66927821</v>
      </c>
      <c r="Q702" s="1">
        <f t="shared" si="701"/>
        <v>30.23525212</v>
      </c>
      <c r="R702" s="1">
        <f t="shared" si="701"/>
        <v>28.76843268</v>
      </c>
      <c r="S702" s="1">
        <f t="shared" si="701"/>
        <v>31.08559556</v>
      </c>
      <c r="T702" s="1">
        <f t="shared" si="701"/>
        <v>25.20833517</v>
      </c>
      <c r="U702" s="1">
        <f t="shared" si="701"/>
        <v>21.70082052</v>
      </c>
    </row>
    <row r="703">
      <c r="A703" s="3">
        <f>IFERROR(__xludf.DUMMYFUNCTION("""COMPUTED_VALUE"""),44622.0)</f>
        <v>44622</v>
      </c>
      <c r="B703" s="1">
        <f t="shared" ref="B703:U703" si="702">IF($A703&gt;0,Megyeinapi!B703/'megyelakosság'!B$2*100000," ")</f>
        <v>36.83644618</v>
      </c>
      <c r="C703" s="1">
        <f t="shared" si="702"/>
        <v>68.78134494</v>
      </c>
      <c r="D703" s="1">
        <f t="shared" si="702"/>
        <v>29.64827465</v>
      </c>
      <c r="E703" s="1">
        <f t="shared" si="702"/>
        <v>42.85283739</v>
      </c>
      <c r="F703" s="1">
        <f t="shared" si="702"/>
        <v>33.19590268</v>
      </c>
      <c r="G703" s="1">
        <f t="shared" si="702"/>
        <v>31.88295191</v>
      </c>
      <c r="H703" s="1">
        <f t="shared" si="702"/>
        <v>32.48901704</v>
      </c>
      <c r="I703" s="1">
        <f t="shared" si="702"/>
        <v>41.84799035</v>
      </c>
      <c r="J703" s="1">
        <f t="shared" si="702"/>
        <v>40.43840547</v>
      </c>
      <c r="K703" s="1">
        <f t="shared" si="702"/>
        <v>35.78475978</v>
      </c>
      <c r="L703" s="1">
        <f t="shared" si="702"/>
        <v>42.51781796</v>
      </c>
      <c r="M703" s="1">
        <f t="shared" si="702"/>
        <v>25.24958886</v>
      </c>
      <c r="N703" s="1">
        <f t="shared" si="702"/>
        <v>51.03885333</v>
      </c>
      <c r="O703" s="1">
        <f t="shared" si="702"/>
        <v>27.4457984</v>
      </c>
      <c r="P703" s="1">
        <f t="shared" si="702"/>
        <v>36.3393899</v>
      </c>
      <c r="Q703" s="1">
        <f t="shared" si="702"/>
        <v>44.80645796</v>
      </c>
      <c r="R703" s="1">
        <f t="shared" si="702"/>
        <v>35.26453038</v>
      </c>
      <c r="S703" s="1">
        <f t="shared" si="702"/>
        <v>36.20094673</v>
      </c>
      <c r="T703" s="1">
        <f t="shared" si="702"/>
        <v>33.12257993</v>
      </c>
      <c r="U703" s="1">
        <f t="shared" si="702"/>
        <v>20.95251636</v>
      </c>
    </row>
    <row r="704">
      <c r="A704" s="3">
        <f>IFERROR(__xludf.DUMMYFUNCTION("""COMPUTED_VALUE"""),44623.0)</f>
        <v>44623</v>
      </c>
      <c r="B704" s="1">
        <f t="shared" ref="B704:U704" si="703">IF($A704&gt;0,Megyeinapi!B704/'megyelakosság'!B$2*100000," ")</f>
        <v>28.07534547</v>
      </c>
      <c r="C704" s="1">
        <f t="shared" si="703"/>
        <v>67.66747701</v>
      </c>
      <c r="D704" s="1">
        <f t="shared" si="703"/>
        <v>29.95080807</v>
      </c>
      <c r="E704" s="1">
        <f t="shared" si="703"/>
        <v>44.8934487</v>
      </c>
      <c r="F704" s="1">
        <f t="shared" si="703"/>
        <v>39.36656961</v>
      </c>
      <c r="G704" s="1">
        <f t="shared" si="703"/>
        <v>39.9164516</v>
      </c>
      <c r="H704" s="1">
        <f t="shared" si="703"/>
        <v>31.29456788</v>
      </c>
      <c r="I704" s="1">
        <f t="shared" si="703"/>
        <v>41.84799035</v>
      </c>
      <c r="J704" s="1">
        <f t="shared" si="703"/>
        <v>48.60202724</v>
      </c>
      <c r="K704" s="1">
        <f t="shared" si="703"/>
        <v>47.37220581</v>
      </c>
      <c r="L704" s="1">
        <f t="shared" si="703"/>
        <v>37.06681566</v>
      </c>
      <c r="M704" s="1">
        <f t="shared" si="703"/>
        <v>33.22314324</v>
      </c>
      <c r="N704" s="1">
        <f t="shared" si="703"/>
        <v>37.74748527</v>
      </c>
      <c r="O704" s="1">
        <f t="shared" si="703"/>
        <v>37.31395064</v>
      </c>
      <c r="P704" s="1">
        <f t="shared" si="703"/>
        <v>36.3393899</v>
      </c>
      <c r="Q704" s="1">
        <f t="shared" si="703"/>
        <v>46.26357854</v>
      </c>
      <c r="R704" s="1">
        <f t="shared" si="703"/>
        <v>35.72853736</v>
      </c>
      <c r="S704" s="1">
        <f t="shared" si="703"/>
        <v>38.56187804</v>
      </c>
      <c r="T704" s="1">
        <f t="shared" si="703"/>
        <v>41.32994486</v>
      </c>
      <c r="U704" s="1">
        <f t="shared" si="703"/>
        <v>19.08175597</v>
      </c>
    </row>
    <row r="705">
      <c r="A705" s="3">
        <f>IFERROR(__xludf.DUMMYFUNCTION("""COMPUTED_VALUE"""),44624.0)</f>
        <v>44624</v>
      </c>
      <c r="B705" s="1">
        <f t="shared" ref="B705:U705" si="704">IF($A705&gt;0,Megyeinapi!B705/'megyelakosság'!B$2*100000," ")</f>
        <v>33.25235952</v>
      </c>
      <c r="C705" s="1">
        <f t="shared" si="704"/>
        <v>60.70580242</v>
      </c>
      <c r="D705" s="1">
        <f t="shared" si="704"/>
        <v>26.32040709</v>
      </c>
      <c r="E705" s="1">
        <f t="shared" si="704"/>
        <v>52.42801351</v>
      </c>
      <c r="F705" s="1">
        <f t="shared" si="704"/>
        <v>26.79669252</v>
      </c>
      <c r="G705" s="1">
        <f t="shared" si="704"/>
        <v>35.64865489</v>
      </c>
      <c r="H705" s="1">
        <f t="shared" si="704"/>
        <v>27.71122042</v>
      </c>
      <c r="I705" s="1">
        <f t="shared" si="704"/>
        <v>28.53272069</v>
      </c>
      <c r="J705" s="1">
        <f t="shared" si="704"/>
        <v>34.55300374</v>
      </c>
      <c r="K705" s="1">
        <f t="shared" si="704"/>
        <v>27.94619335</v>
      </c>
      <c r="L705" s="1">
        <f t="shared" si="704"/>
        <v>22.89420967</v>
      </c>
      <c r="M705" s="1">
        <f t="shared" si="704"/>
        <v>41.52892905</v>
      </c>
      <c r="N705" s="1">
        <f t="shared" si="704"/>
        <v>28.17770027</v>
      </c>
      <c r="O705" s="1">
        <f t="shared" si="704"/>
        <v>20.66144374</v>
      </c>
      <c r="P705" s="1">
        <f t="shared" si="704"/>
        <v>25.33755626</v>
      </c>
      <c r="Q705" s="1">
        <f t="shared" si="704"/>
        <v>40.07081606</v>
      </c>
      <c r="R705" s="1">
        <f t="shared" si="704"/>
        <v>27.84041872</v>
      </c>
      <c r="S705" s="1">
        <f t="shared" si="704"/>
        <v>32.26606122</v>
      </c>
      <c r="T705" s="1">
        <f t="shared" si="704"/>
        <v>32.53633957</v>
      </c>
      <c r="U705" s="1">
        <f t="shared" si="704"/>
        <v>19.83006013</v>
      </c>
    </row>
    <row r="706">
      <c r="A706" s="3">
        <f>IFERROR(__xludf.DUMMYFUNCTION("""COMPUTED_VALUE"""),44625.0)</f>
        <v>44625</v>
      </c>
      <c r="B706" s="1">
        <f t="shared" ref="B706:U706" si="705">IF($A706&gt;0,Megyeinapi!B706/'megyelakosság'!B$2*100000," ")</f>
        <v>0</v>
      </c>
      <c r="C706" s="1">
        <f t="shared" si="705"/>
        <v>0</v>
      </c>
      <c r="D706" s="1">
        <f t="shared" si="705"/>
        <v>0</v>
      </c>
      <c r="E706" s="1">
        <f t="shared" si="705"/>
        <v>0</v>
      </c>
      <c r="F706" s="1">
        <f t="shared" si="705"/>
        <v>0</v>
      </c>
      <c r="G706" s="1">
        <f t="shared" si="705"/>
        <v>0</v>
      </c>
      <c r="H706" s="1">
        <f t="shared" si="705"/>
        <v>0</v>
      </c>
      <c r="I706" s="1">
        <f t="shared" si="705"/>
        <v>0</v>
      </c>
      <c r="J706" s="1">
        <f t="shared" si="705"/>
        <v>0</v>
      </c>
      <c r="K706" s="1">
        <f t="shared" si="705"/>
        <v>0</v>
      </c>
      <c r="L706" s="1">
        <f t="shared" si="705"/>
        <v>0</v>
      </c>
      <c r="M706" s="1">
        <f t="shared" si="705"/>
        <v>0</v>
      </c>
      <c r="N706" s="1">
        <f t="shared" si="705"/>
        <v>0</v>
      </c>
      <c r="O706" s="1">
        <f t="shared" si="705"/>
        <v>0</v>
      </c>
      <c r="P706" s="1">
        <f t="shared" si="705"/>
        <v>0</v>
      </c>
      <c r="Q706" s="1">
        <f t="shared" si="705"/>
        <v>0</v>
      </c>
      <c r="R706" s="1">
        <f t="shared" si="705"/>
        <v>0</v>
      </c>
      <c r="S706" s="1">
        <f t="shared" si="705"/>
        <v>0</v>
      </c>
      <c r="T706" s="1">
        <f t="shared" si="705"/>
        <v>0</v>
      </c>
      <c r="U706" s="1">
        <f t="shared" si="705"/>
        <v>0</v>
      </c>
    </row>
    <row r="707">
      <c r="A707" s="3">
        <f>IFERROR(__xludf.DUMMYFUNCTION("""COMPUTED_VALUE"""),44626.0)</f>
        <v>44626</v>
      </c>
      <c r="B707" s="1">
        <f t="shared" ref="B707:U707" si="706">IF($A707&gt;0,Megyeinapi!B707/'megyelakosság'!B$2*100000," ")</f>
        <v>0</v>
      </c>
      <c r="C707" s="1">
        <f t="shared" si="706"/>
        <v>0</v>
      </c>
      <c r="D707" s="1">
        <f t="shared" si="706"/>
        <v>0</v>
      </c>
      <c r="E707" s="1">
        <f t="shared" si="706"/>
        <v>0</v>
      </c>
      <c r="F707" s="1">
        <f t="shared" si="706"/>
        <v>0</v>
      </c>
      <c r="G707" s="1">
        <f t="shared" si="706"/>
        <v>0</v>
      </c>
      <c r="H707" s="1">
        <f t="shared" si="706"/>
        <v>0</v>
      </c>
      <c r="I707" s="1">
        <f t="shared" si="706"/>
        <v>0</v>
      </c>
      <c r="J707" s="1">
        <f t="shared" si="706"/>
        <v>0</v>
      </c>
      <c r="K707" s="1">
        <f t="shared" si="706"/>
        <v>0</v>
      </c>
      <c r="L707" s="1">
        <f t="shared" si="706"/>
        <v>0</v>
      </c>
      <c r="M707" s="1">
        <f t="shared" si="706"/>
        <v>0</v>
      </c>
      <c r="N707" s="1">
        <f t="shared" si="706"/>
        <v>0</v>
      </c>
      <c r="O707" s="1">
        <f t="shared" si="706"/>
        <v>0</v>
      </c>
      <c r="P707" s="1">
        <f t="shared" si="706"/>
        <v>0</v>
      </c>
      <c r="Q707" s="1">
        <f t="shared" si="706"/>
        <v>0</v>
      </c>
      <c r="R707" s="1">
        <f t="shared" si="706"/>
        <v>0</v>
      </c>
      <c r="S707" s="1">
        <f t="shared" si="706"/>
        <v>0</v>
      </c>
      <c r="T707" s="1">
        <f t="shared" si="706"/>
        <v>0</v>
      </c>
      <c r="U707" s="1">
        <f t="shared" si="706"/>
        <v>0</v>
      </c>
    </row>
    <row r="708">
      <c r="A708" s="3">
        <f>IFERROR(__xludf.DUMMYFUNCTION("""COMPUTED_VALUE"""),44627.0)</f>
        <v>44627</v>
      </c>
      <c r="B708" s="1">
        <f t="shared" ref="B708:U708" si="707">IF($A708&gt;0,Megyeinapi!B708/'megyelakosság'!B$2*100000," ")</f>
        <v>47.38959022</v>
      </c>
      <c r="C708" s="1">
        <f t="shared" si="707"/>
        <v>96.34957631</v>
      </c>
      <c r="D708" s="1">
        <f t="shared" si="707"/>
        <v>40.53947759</v>
      </c>
      <c r="E708" s="1">
        <f t="shared" si="707"/>
        <v>77.85716977</v>
      </c>
      <c r="F708" s="1">
        <f t="shared" si="707"/>
        <v>59.13555813</v>
      </c>
      <c r="G708" s="1">
        <f t="shared" si="707"/>
        <v>59.24706024</v>
      </c>
      <c r="H708" s="1">
        <f t="shared" si="707"/>
        <v>63.78358492</v>
      </c>
      <c r="I708" s="1">
        <f t="shared" si="707"/>
        <v>86.23222253</v>
      </c>
      <c r="J708" s="1">
        <f t="shared" si="707"/>
        <v>63.03075407</v>
      </c>
      <c r="K708" s="1">
        <f t="shared" si="707"/>
        <v>47.37220581</v>
      </c>
      <c r="L708" s="1">
        <f t="shared" si="707"/>
        <v>38.70211635</v>
      </c>
      <c r="M708" s="1">
        <f t="shared" si="707"/>
        <v>53.48926062</v>
      </c>
      <c r="N708" s="1">
        <f t="shared" si="707"/>
        <v>74.4316611</v>
      </c>
      <c r="O708" s="1">
        <f t="shared" si="707"/>
        <v>49.64914093</v>
      </c>
      <c r="P708" s="1">
        <f t="shared" si="707"/>
        <v>54.3423904</v>
      </c>
      <c r="Q708" s="1">
        <f t="shared" si="707"/>
        <v>74.85957</v>
      </c>
      <c r="R708" s="1">
        <f t="shared" si="707"/>
        <v>48.72073276</v>
      </c>
      <c r="S708" s="1">
        <f t="shared" si="707"/>
        <v>61.38421403</v>
      </c>
      <c r="T708" s="1">
        <f t="shared" si="707"/>
        <v>57.45155456</v>
      </c>
      <c r="U708" s="1">
        <f t="shared" si="707"/>
        <v>38.53766402</v>
      </c>
    </row>
    <row r="709">
      <c r="A709" s="3">
        <f>IFERROR(__xludf.DUMMYFUNCTION("""COMPUTED_VALUE"""),44628.0)</f>
        <v>44628</v>
      </c>
      <c r="B709" s="1">
        <f t="shared" ref="B709:U709" si="708">IF($A709&gt;0,Megyeinapi!B709/'megyelakosság'!B$2*100000," ")</f>
        <v>9.955796265</v>
      </c>
      <c r="C709" s="1">
        <f t="shared" si="708"/>
        <v>30.07443422</v>
      </c>
      <c r="D709" s="1">
        <f t="shared" si="708"/>
        <v>13.31147025</v>
      </c>
      <c r="E709" s="1">
        <f t="shared" si="708"/>
        <v>15.22609973</v>
      </c>
      <c r="F709" s="1">
        <f t="shared" si="708"/>
        <v>12.45560548</v>
      </c>
      <c r="G709" s="1">
        <f t="shared" si="708"/>
        <v>9.790827752</v>
      </c>
      <c r="H709" s="1">
        <f t="shared" si="708"/>
        <v>9.077813585</v>
      </c>
      <c r="I709" s="1">
        <f t="shared" si="708"/>
        <v>13.52662314</v>
      </c>
      <c r="J709" s="1">
        <f t="shared" si="708"/>
        <v>15.56783685</v>
      </c>
      <c r="K709" s="1">
        <f t="shared" si="708"/>
        <v>16.35874733</v>
      </c>
      <c r="L709" s="1">
        <f t="shared" si="708"/>
        <v>12.80985541</v>
      </c>
      <c r="M709" s="1">
        <f t="shared" si="708"/>
        <v>9.966942972</v>
      </c>
      <c r="N709" s="1">
        <f t="shared" si="708"/>
        <v>13.82302278</v>
      </c>
      <c r="O709" s="1">
        <f t="shared" si="708"/>
        <v>9.636867417</v>
      </c>
      <c r="P709" s="1">
        <f t="shared" si="708"/>
        <v>17.6696116</v>
      </c>
      <c r="Q709" s="1">
        <f t="shared" si="708"/>
        <v>22.58536905</v>
      </c>
      <c r="R709" s="1">
        <f t="shared" si="708"/>
        <v>20.41630706</v>
      </c>
      <c r="S709" s="1">
        <f t="shared" si="708"/>
        <v>16.52651916</v>
      </c>
      <c r="T709" s="1">
        <f t="shared" si="708"/>
        <v>19.93217199</v>
      </c>
      <c r="U709" s="1">
        <f t="shared" si="708"/>
        <v>14.96608311</v>
      </c>
    </row>
    <row r="710">
      <c r="A710" s="3">
        <f>IFERROR(__xludf.DUMMYFUNCTION("""COMPUTED_VALUE"""),44629.0)</f>
        <v>44629</v>
      </c>
      <c r="B710" s="1">
        <f t="shared" ref="B710:U710" si="709">IF($A710&gt;0,Megyeinapi!B710/'megyelakosság'!B$2*100000," ")</f>
        <v>20.90717216</v>
      </c>
      <c r="C710" s="1">
        <f t="shared" si="709"/>
        <v>58.75653353</v>
      </c>
      <c r="D710" s="1">
        <f t="shared" si="709"/>
        <v>26.01787367</v>
      </c>
      <c r="E710" s="1">
        <f t="shared" si="709"/>
        <v>33.12069117</v>
      </c>
      <c r="F710" s="1">
        <f t="shared" si="709"/>
        <v>26.85382833</v>
      </c>
      <c r="G710" s="1">
        <f t="shared" si="709"/>
        <v>24.35154595</v>
      </c>
      <c r="H710" s="1">
        <f t="shared" si="709"/>
        <v>20.30563565</v>
      </c>
      <c r="I710" s="1">
        <f t="shared" si="709"/>
        <v>31.70302299</v>
      </c>
      <c r="J710" s="1">
        <f t="shared" si="709"/>
        <v>28.098047</v>
      </c>
      <c r="K710" s="1">
        <f t="shared" si="709"/>
        <v>25.90134994</v>
      </c>
      <c r="L710" s="1">
        <f t="shared" si="709"/>
        <v>29.98051267</v>
      </c>
      <c r="M710" s="1">
        <f t="shared" si="709"/>
        <v>17.60826592</v>
      </c>
      <c r="N710" s="1">
        <f t="shared" si="709"/>
        <v>25.51942666</v>
      </c>
      <c r="O710" s="1">
        <f t="shared" si="709"/>
        <v>22.82010204</v>
      </c>
      <c r="P710" s="1">
        <f t="shared" si="709"/>
        <v>23.00383397</v>
      </c>
      <c r="Q710" s="1">
        <f t="shared" si="709"/>
        <v>31.14595248</v>
      </c>
      <c r="R710" s="1">
        <f t="shared" si="709"/>
        <v>26.44839778</v>
      </c>
      <c r="S710" s="1">
        <f t="shared" si="709"/>
        <v>25.9702444</v>
      </c>
      <c r="T710" s="1">
        <f t="shared" si="709"/>
        <v>24.03585446</v>
      </c>
      <c r="U710" s="1">
        <f t="shared" si="709"/>
        <v>15.34023519</v>
      </c>
    </row>
    <row r="711">
      <c r="A711" s="3">
        <f>IFERROR(__xludf.DUMMYFUNCTION("""COMPUTED_VALUE"""),44630.0)</f>
        <v>44630</v>
      </c>
      <c r="B711" s="1">
        <f t="shared" ref="B711:U711" si="710">IF($A711&gt;0,Megyeinapi!B711/'megyelakosság'!B$2*100000," ")</f>
        <v>13.34076699</v>
      </c>
      <c r="C711" s="1">
        <f t="shared" si="710"/>
        <v>48.17478816</v>
      </c>
      <c r="D711" s="1">
        <f t="shared" si="710"/>
        <v>17.54693806</v>
      </c>
      <c r="E711" s="1">
        <f t="shared" si="710"/>
        <v>26.21400676</v>
      </c>
      <c r="F711" s="1">
        <f t="shared" si="710"/>
        <v>25.4254332</v>
      </c>
      <c r="G711" s="1">
        <f t="shared" si="710"/>
        <v>23.59840535</v>
      </c>
      <c r="H711" s="1">
        <f t="shared" si="710"/>
        <v>19.58896616</v>
      </c>
      <c r="I711" s="1">
        <f t="shared" si="710"/>
        <v>31.28031602</v>
      </c>
      <c r="J711" s="1">
        <f t="shared" si="710"/>
        <v>28.098047</v>
      </c>
      <c r="K711" s="1">
        <f t="shared" si="710"/>
        <v>25.21973547</v>
      </c>
      <c r="L711" s="1">
        <f t="shared" si="710"/>
        <v>18.80595795</v>
      </c>
      <c r="M711" s="1">
        <f t="shared" si="710"/>
        <v>20.59834881</v>
      </c>
      <c r="N711" s="1">
        <f t="shared" si="710"/>
        <v>30.30431916</v>
      </c>
      <c r="O711" s="1">
        <f t="shared" si="710"/>
        <v>20.81563362</v>
      </c>
      <c r="P711" s="1">
        <f t="shared" si="710"/>
        <v>25.00416736</v>
      </c>
      <c r="Q711" s="1">
        <f t="shared" si="710"/>
        <v>28.04957124</v>
      </c>
      <c r="R711" s="1">
        <f t="shared" si="710"/>
        <v>25.05637685</v>
      </c>
      <c r="S711" s="1">
        <f t="shared" si="710"/>
        <v>15.34605351</v>
      </c>
      <c r="T711" s="1">
        <f t="shared" si="710"/>
        <v>33.12257993</v>
      </c>
      <c r="U711" s="1">
        <f t="shared" si="710"/>
        <v>10.47625818</v>
      </c>
    </row>
    <row r="712">
      <c r="A712" s="3">
        <f>IFERROR(__xludf.DUMMYFUNCTION("""COMPUTED_VALUE"""),44631.0)</f>
        <v>44631</v>
      </c>
      <c r="B712" s="1">
        <f t="shared" ref="B712:U712" si="711">IF($A712&gt;0,Megyeinapi!B712/'megyelakosság'!B$2*100000," ")</f>
        <v>15.92927402</v>
      </c>
      <c r="C712" s="1">
        <f t="shared" si="711"/>
        <v>36.75764183</v>
      </c>
      <c r="D712" s="1">
        <f t="shared" si="711"/>
        <v>16.94187123</v>
      </c>
      <c r="E712" s="1">
        <f t="shared" si="711"/>
        <v>25.42915625</v>
      </c>
      <c r="F712" s="1">
        <f t="shared" si="711"/>
        <v>21.42592686</v>
      </c>
      <c r="G712" s="1">
        <f t="shared" si="711"/>
        <v>21.59003043</v>
      </c>
      <c r="H712" s="1">
        <f t="shared" si="711"/>
        <v>20.06674582</v>
      </c>
      <c r="I712" s="1">
        <f t="shared" si="711"/>
        <v>22.19211609</v>
      </c>
      <c r="J712" s="1">
        <f t="shared" si="711"/>
        <v>23.73145861</v>
      </c>
      <c r="K712" s="1">
        <f t="shared" si="711"/>
        <v>17.38116904</v>
      </c>
      <c r="L712" s="1">
        <f t="shared" si="711"/>
        <v>13.62750576</v>
      </c>
      <c r="M712" s="1">
        <f t="shared" si="711"/>
        <v>18.27272878</v>
      </c>
      <c r="N712" s="1">
        <f t="shared" si="711"/>
        <v>25.51942666</v>
      </c>
      <c r="O712" s="1">
        <f t="shared" si="711"/>
        <v>18.27150062</v>
      </c>
      <c r="P712" s="1">
        <f t="shared" si="711"/>
        <v>29.00483414</v>
      </c>
      <c r="Q712" s="1">
        <f t="shared" si="711"/>
        <v>25.49961022</v>
      </c>
      <c r="R712" s="1">
        <f t="shared" si="711"/>
        <v>15.3122303</v>
      </c>
      <c r="S712" s="1">
        <f t="shared" si="711"/>
        <v>18.10047337</v>
      </c>
      <c r="T712" s="1">
        <f t="shared" si="711"/>
        <v>22.86337375</v>
      </c>
      <c r="U712" s="1">
        <f t="shared" si="711"/>
        <v>14.21777896</v>
      </c>
    </row>
    <row r="713">
      <c r="A713" s="3">
        <f>IFERROR(__xludf.DUMMYFUNCTION("""COMPUTED_VALUE"""),44632.0)</f>
        <v>44632</v>
      </c>
      <c r="B713" s="1">
        <f t="shared" ref="B713:U713" si="712">IF($A713&gt;0,Megyeinapi!B713/'megyelakosság'!B$2*100000," ")</f>
        <v>0</v>
      </c>
      <c r="C713" s="1">
        <f t="shared" si="712"/>
        <v>0</v>
      </c>
      <c r="D713" s="1">
        <f t="shared" si="712"/>
        <v>0</v>
      </c>
      <c r="E713" s="1">
        <f t="shared" si="712"/>
        <v>0</v>
      </c>
      <c r="F713" s="1">
        <f t="shared" si="712"/>
        <v>0</v>
      </c>
      <c r="G713" s="1">
        <f t="shared" si="712"/>
        <v>0</v>
      </c>
      <c r="H713" s="1">
        <f t="shared" si="712"/>
        <v>0</v>
      </c>
      <c r="I713" s="1">
        <f t="shared" si="712"/>
        <v>0</v>
      </c>
      <c r="J713" s="1">
        <f t="shared" si="712"/>
        <v>0</v>
      </c>
      <c r="K713" s="1">
        <f t="shared" si="712"/>
        <v>0</v>
      </c>
      <c r="L713" s="1">
        <f t="shared" si="712"/>
        <v>0</v>
      </c>
      <c r="M713" s="1">
        <f t="shared" si="712"/>
        <v>0</v>
      </c>
      <c r="N713" s="1">
        <f t="shared" si="712"/>
        <v>0</v>
      </c>
      <c r="O713" s="1">
        <f t="shared" si="712"/>
        <v>0</v>
      </c>
      <c r="P713" s="1">
        <f t="shared" si="712"/>
        <v>0</v>
      </c>
      <c r="Q713" s="1">
        <f t="shared" si="712"/>
        <v>0</v>
      </c>
      <c r="R713" s="1">
        <f t="shared" si="712"/>
        <v>0</v>
      </c>
      <c r="S713" s="1">
        <f t="shared" si="712"/>
        <v>0</v>
      </c>
      <c r="T713" s="1">
        <f t="shared" si="712"/>
        <v>0</v>
      </c>
      <c r="U713" s="1">
        <f t="shared" si="712"/>
        <v>0</v>
      </c>
    </row>
    <row r="714">
      <c r="A714" s="3">
        <f>IFERROR(__xludf.DUMMYFUNCTION("""COMPUTED_VALUE"""),44633.0)</f>
        <v>44633</v>
      </c>
      <c r="B714" s="1">
        <f t="shared" ref="B714:U714" si="713">IF($A714&gt;0,Megyeinapi!B714/'megyelakosság'!B$2*100000," ")</f>
        <v>0</v>
      </c>
      <c r="C714" s="1">
        <f t="shared" si="713"/>
        <v>0</v>
      </c>
      <c r="D714" s="1">
        <f t="shared" si="713"/>
        <v>0</v>
      </c>
      <c r="E714" s="1">
        <f t="shared" si="713"/>
        <v>0</v>
      </c>
      <c r="F714" s="1">
        <f t="shared" si="713"/>
        <v>0</v>
      </c>
      <c r="G714" s="1">
        <f t="shared" si="713"/>
        <v>0</v>
      </c>
      <c r="H714" s="1">
        <f t="shared" si="713"/>
        <v>0</v>
      </c>
      <c r="I714" s="1">
        <f t="shared" si="713"/>
        <v>0</v>
      </c>
      <c r="J714" s="1">
        <f t="shared" si="713"/>
        <v>0</v>
      </c>
      <c r="K714" s="1">
        <f t="shared" si="713"/>
        <v>0</v>
      </c>
      <c r="L714" s="1">
        <f t="shared" si="713"/>
        <v>0</v>
      </c>
      <c r="M714" s="1">
        <f t="shared" si="713"/>
        <v>0</v>
      </c>
      <c r="N714" s="1">
        <f t="shared" si="713"/>
        <v>0</v>
      </c>
      <c r="O714" s="1">
        <f t="shared" si="713"/>
        <v>0</v>
      </c>
      <c r="P714" s="1">
        <f t="shared" si="713"/>
        <v>0</v>
      </c>
      <c r="Q714" s="1">
        <f t="shared" si="713"/>
        <v>0</v>
      </c>
      <c r="R714" s="1">
        <f t="shared" si="713"/>
        <v>0</v>
      </c>
      <c r="S714" s="1">
        <f t="shared" si="713"/>
        <v>0</v>
      </c>
      <c r="T714" s="1">
        <f t="shared" si="713"/>
        <v>0</v>
      </c>
      <c r="U714" s="1">
        <f t="shared" si="713"/>
        <v>0</v>
      </c>
    </row>
    <row r="715">
      <c r="A715" s="3">
        <f>IFERROR(__xludf.DUMMYFUNCTION("""COMPUTED_VALUE"""),44634.0)</f>
        <v>44634</v>
      </c>
      <c r="B715" s="1">
        <f t="shared" ref="B715:U715" si="714">IF($A715&gt;0,Megyeinapi!B715/'megyelakosság'!B$2*100000," ")</f>
        <v>0</v>
      </c>
      <c r="C715" s="1">
        <f t="shared" si="714"/>
        <v>0</v>
      </c>
      <c r="D715" s="1">
        <f t="shared" si="714"/>
        <v>0</v>
      </c>
      <c r="E715" s="1">
        <f t="shared" si="714"/>
        <v>0</v>
      </c>
      <c r="F715" s="1">
        <f t="shared" si="714"/>
        <v>0</v>
      </c>
      <c r="G715" s="1">
        <f t="shared" si="714"/>
        <v>0</v>
      </c>
      <c r="H715" s="1">
        <f t="shared" si="714"/>
        <v>0</v>
      </c>
      <c r="I715" s="1">
        <f t="shared" si="714"/>
        <v>0</v>
      </c>
      <c r="J715" s="1">
        <f t="shared" si="714"/>
        <v>0</v>
      </c>
      <c r="K715" s="1">
        <f t="shared" si="714"/>
        <v>0</v>
      </c>
      <c r="L715" s="1">
        <f t="shared" si="714"/>
        <v>0</v>
      </c>
      <c r="M715" s="1">
        <f t="shared" si="714"/>
        <v>0</v>
      </c>
      <c r="N715" s="1">
        <f t="shared" si="714"/>
        <v>0</v>
      </c>
      <c r="O715" s="1">
        <f t="shared" si="714"/>
        <v>0</v>
      </c>
      <c r="P715" s="1">
        <f t="shared" si="714"/>
        <v>0</v>
      </c>
      <c r="Q715" s="1">
        <f t="shared" si="714"/>
        <v>0</v>
      </c>
      <c r="R715" s="1">
        <f t="shared" si="714"/>
        <v>0</v>
      </c>
      <c r="S715" s="1">
        <f t="shared" si="714"/>
        <v>0</v>
      </c>
      <c r="T715" s="1">
        <f t="shared" si="714"/>
        <v>0</v>
      </c>
      <c r="U715" s="1">
        <f t="shared" si="714"/>
        <v>0</v>
      </c>
    </row>
    <row r="716">
      <c r="A716" s="3">
        <f>IFERROR(__xludf.DUMMYFUNCTION("""COMPUTED_VALUE"""),44635.0)</f>
        <v>44635</v>
      </c>
      <c r="B716" s="1">
        <f t="shared" ref="B716:U716" si="715">IF($A716&gt;0,Megyeinapi!B716/'megyelakosság'!B$2*100000," ")</f>
        <v>0</v>
      </c>
      <c r="C716" s="1">
        <f t="shared" si="715"/>
        <v>0</v>
      </c>
      <c r="D716" s="1">
        <f t="shared" si="715"/>
        <v>0</v>
      </c>
      <c r="E716" s="1">
        <f t="shared" si="715"/>
        <v>0</v>
      </c>
      <c r="F716" s="1">
        <f t="shared" si="715"/>
        <v>0</v>
      </c>
      <c r="G716" s="1">
        <f t="shared" si="715"/>
        <v>0</v>
      </c>
      <c r="H716" s="1">
        <f t="shared" si="715"/>
        <v>0</v>
      </c>
      <c r="I716" s="1">
        <f t="shared" si="715"/>
        <v>0</v>
      </c>
      <c r="J716" s="1">
        <f t="shared" si="715"/>
        <v>0</v>
      </c>
      <c r="K716" s="1">
        <f t="shared" si="715"/>
        <v>0</v>
      </c>
      <c r="L716" s="1">
        <f t="shared" si="715"/>
        <v>0</v>
      </c>
      <c r="M716" s="1">
        <f t="shared" si="715"/>
        <v>0</v>
      </c>
      <c r="N716" s="1">
        <f t="shared" si="715"/>
        <v>0</v>
      </c>
      <c r="O716" s="1">
        <f t="shared" si="715"/>
        <v>0</v>
      </c>
      <c r="P716" s="1">
        <f t="shared" si="715"/>
        <v>0</v>
      </c>
      <c r="Q716" s="1">
        <f t="shared" si="715"/>
        <v>0</v>
      </c>
      <c r="R716" s="1">
        <f t="shared" si="715"/>
        <v>0</v>
      </c>
      <c r="S716" s="1">
        <f t="shared" si="715"/>
        <v>0</v>
      </c>
      <c r="T716" s="1">
        <f t="shared" si="715"/>
        <v>0</v>
      </c>
      <c r="U716" s="1">
        <f t="shared" si="715"/>
        <v>0</v>
      </c>
    </row>
    <row r="717">
      <c r="A717" s="3">
        <f>IFERROR(__xludf.DUMMYFUNCTION("""COMPUTED_VALUE"""),44636.0)</f>
        <v>44636</v>
      </c>
      <c r="B717" s="1">
        <f t="shared" ref="B717:U717" si="716">IF($A717&gt;0,Megyeinapi!B717/'megyelakosság'!B$2*100000," ")</f>
        <v>35.4426347</v>
      </c>
      <c r="C717" s="1">
        <f t="shared" si="716"/>
        <v>68.78134494</v>
      </c>
      <c r="D717" s="1">
        <f t="shared" si="716"/>
        <v>26.32040709</v>
      </c>
      <c r="E717" s="1">
        <f t="shared" si="716"/>
        <v>48.9746713</v>
      </c>
      <c r="F717" s="1">
        <f t="shared" si="716"/>
        <v>67.42024984</v>
      </c>
      <c r="G717" s="1">
        <f t="shared" si="716"/>
        <v>61.25543516</v>
      </c>
      <c r="H717" s="1">
        <f t="shared" si="716"/>
        <v>43.23905944</v>
      </c>
      <c r="I717" s="1">
        <f t="shared" si="716"/>
        <v>62.77198552</v>
      </c>
      <c r="J717" s="1">
        <f t="shared" si="716"/>
        <v>51.82950561</v>
      </c>
      <c r="K717" s="1">
        <f t="shared" si="716"/>
        <v>36.12556702</v>
      </c>
      <c r="L717" s="1">
        <f t="shared" si="716"/>
        <v>34.88641474</v>
      </c>
      <c r="M717" s="1">
        <f t="shared" si="716"/>
        <v>42.52562335</v>
      </c>
      <c r="N717" s="1">
        <f t="shared" si="716"/>
        <v>59.54532888</v>
      </c>
      <c r="O717" s="1">
        <f t="shared" si="716"/>
        <v>42.78769133</v>
      </c>
      <c r="P717" s="1">
        <f t="shared" si="716"/>
        <v>49.00816803</v>
      </c>
      <c r="Q717" s="1">
        <f t="shared" si="716"/>
        <v>53.73132154</v>
      </c>
      <c r="R717" s="1">
        <f t="shared" si="716"/>
        <v>32.48048851</v>
      </c>
      <c r="S717" s="1">
        <f t="shared" si="716"/>
        <v>51.54700024</v>
      </c>
      <c r="T717" s="1">
        <f t="shared" si="716"/>
        <v>55.10659315</v>
      </c>
      <c r="U717" s="1">
        <f t="shared" si="716"/>
        <v>16.08853935</v>
      </c>
    </row>
    <row r="718">
      <c r="A718" s="3">
        <f>IFERROR(__xludf.DUMMYFUNCTION("""COMPUTED_VALUE"""),44637.0)</f>
        <v>44637</v>
      </c>
      <c r="B718" s="1">
        <f t="shared" ref="B718:U718" si="717">IF($A718&gt;0,Megyeinapi!B718/'megyelakosság'!B$2*100000," ")</f>
        <v>11.15049182</v>
      </c>
      <c r="C718" s="1">
        <f t="shared" si="717"/>
        <v>28.12516534</v>
      </c>
      <c r="D718" s="1">
        <f t="shared" si="717"/>
        <v>19.36213855</v>
      </c>
      <c r="E718" s="1">
        <f t="shared" si="717"/>
        <v>16.16792033</v>
      </c>
      <c r="F718" s="1">
        <f t="shared" si="717"/>
        <v>16.79792666</v>
      </c>
      <c r="G718" s="1">
        <f t="shared" si="717"/>
        <v>15.06281193</v>
      </c>
      <c r="H718" s="1">
        <f t="shared" si="717"/>
        <v>11.70560173</v>
      </c>
      <c r="I718" s="1">
        <f t="shared" si="717"/>
        <v>18.17639985</v>
      </c>
      <c r="J718" s="1">
        <f t="shared" si="717"/>
        <v>14.6185785</v>
      </c>
      <c r="K718" s="1">
        <f t="shared" si="717"/>
        <v>15.67713286</v>
      </c>
      <c r="L718" s="1">
        <f t="shared" si="717"/>
        <v>11.17455472</v>
      </c>
      <c r="M718" s="1">
        <f t="shared" si="717"/>
        <v>12.62479443</v>
      </c>
      <c r="N718" s="1">
        <f t="shared" si="717"/>
        <v>15.41798694</v>
      </c>
      <c r="O718" s="1">
        <f t="shared" si="717"/>
        <v>11.64133584</v>
      </c>
      <c r="P718" s="1">
        <f t="shared" si="717"/>
        <v>15.66927821</v>
      </c>
      <c r="Q718" s="1">
        <f t="shared" si="717"/>
        <v>20.2175481</v>
      </c>
      <c r="R718" s="1">
        <f t="shared" si="717"/>
        <v>21.34432102</v>
      </c>
      <c r="S718" s="1">
        <f t="shared" si="717"/>
        <v>9.050236683</v>
      </c>
      <c r="T718" s="1">
        <f t="shared" si="717"/>
        <v>41.32994486</v>
      </c>
      <c r="U718" s="1">
        <f t="shared" si="717"/>
        <v>14.96608311</v>
      </c>
    </row>
    <row r="719">
      <c r="A719" s="3">
        <f>IFERROR(__xludf.DUMMYFUNCTION("""COMPUTED_VALUE"""),44638.0)</f>
        <v>44638</v>
      </c>
      <c r="B719" s="1">
        <f t="shared" ref="B719:U719" si="718">IF($A719&gt;0,Megyeinapi!B719/'megyelakosság'!B$2*100000," ")</f>
        <v>26.08418621</v>
      </c>
      <c r="C719" s="1">
        <f t="shared" si="718"/>
        <v>67.66747701</v>
      </c>
      <c r="D719" s="1">
        <f t="shared" si="718"/>
        <v>37.81667685</v>
      </c>
      <c r="E719" s="1">
        <f t="shared" si="718"/>
        <v>26.21400676</v>
      </c>
      <c r="F719" s="1">
        <f t="shared" si="718"/>
        <v>38.39526093</v>
      </c>
      <c r="G719" s="1">
        <f t="shared" si="718"/>
        <v>35.89970176</v>
      </c>
      <c r="H719" s="1">
        <f t="shared" si="718"/>
        <v>28.18900008</v>
      </c>
      <c r="I719" s="1">
        <f t="shared" si="718"/>
        <v>35.29603226</v>
      </c>
      <c r="J719" s="1">
        <f t="shared" si="718"/>
        <v>39.10944379</v>
      </c>
      <c r="K719" s="1">
        <f t="shared" si="718"/>
        <v>28.62780783</v>
      </c>
      <c r="L719" s="1">
        <f t="shared" si="718"/>
        <v>29.16286232</v>
      </c>
      <c r="M719" s="1">
        <f t="shared" si="718"/>
        <v>21.59504311</v>
      </c>
      <c r="N719" s="1">
        <f t="shared" si="718"/>
        <v>29.24100972</v>
      </c>
      <c r="O719" s="1">
        <f t="shared" si="718"/>
        <v>30.29831116</v>
      </c>
      <c r="P719" s="1">
        <f t="shared" si="718"/>
        <v>36.3393899</v>
      </c>
      <c r="Q719" s="1">
        <f t="shared" si="718"/>
        <v>45.1707381</v>
      </c>
      <c r="R719" s="1">
        <f t="shared" si="718"/>
        <v>27.84041872</v>
      </c>
      <c r="S719" s="1">
        <f t="shared" si="718"/>
        <v>28.3311757</v>
      </c>
      <c r="T719" s="1">
        <f t="shared" si="718"/>
        <v>-2.931201763</v>
      </c>
      <c r="U719" s="1">
        <f t="shared" si="718"/>
        <v>25.06818922</v>
      </c>
    </row>
    <row r="720">
      <c r="A720" s="3">
        <f>IFERROR(__xludf.DUMMYFUNCTION("""COMPUTED_VALUE"""),44639.0)</f>
        <v>44639</v>
      </c>
      <c r="B720" s="1">
        <f t="shared" ref="B720:U720" si="719">IF($A720&gt;0,Megyeinapi!B720/'megyelakosság'!B$2*100000," ")</f>
        <v>0</v>
      </c>
      <c r="C720" s="1">
        <f t="shared" si="719"/>
        <v>0</v>
      </c>
      <c r="D720" s="1">
        <f t="shared" si="719"/>
        <v>0</v>
      </c>
      <c r="E720" s="1">
        <f t="shared" si="719"/>
        <v>0</v>
      </c>
      <c r="F720" s="1">
        <f t="shared" si="719"/>
        <v>0</v>
      </c>
      <c r="G720" s="1">
        <f t="shared" si="719"/>
        <v>0</v>
      </c>
      <c r="H720" s="1">
        <f t="shared" si="719"/>
        <v>0</v>
      </c>
      <c r="I720" s="1">
        <f t="shared" si="719"/>
        <v>0</v>
      </c>
      <c r="J720" s="1">
        <f t="shared" si="719"/>
        <v>0</v>
      </c>
      <c r="K720" s="1">
        <f t="shared" si="719"/>
        <v>0</v>
      </c>
      <c r="L720" s="1">
        <f t="shared" si="719"/>
        <v>0</v>
      </c>
      <c r="M720" s="1">
        <f t="shared" si="719"/>
        <v>0</v>
      </c>
      <c r="N720" s="1">
        <f t="shared" si="719"/>
        <v>0</v>
      </c>
      <c r="O720" s="1">
        <f t="shared" si="719"/>
        <v>0</v>
      </c>
      <c r="P720" s="1">
        <f t="shared" si="719"/>
        <v>0</v>
      </c>
      <c r="Q720" s="1">
        <f t="shared" si="719"/>
        <v>0</v>
      </c>
      <c r="R720" s="1">
        <f t="shared" si="719"/>
        <v>0</v>
      </c>
      <c r="S720" s="1">
        <f t="shared" si="719"/>
        <v>0</v>
      </c>
      <c r="T720" s="1">
        <f t="shared" si="719"/>
        <v>0</v>
      </c>
      <c r="U720" s="1">
        <f t="shared" si="719"/>
        <v>0</v>
      </c>
    </row>
    <row r="721">
      <c r="A721" s="3">
        <f>IFERROR(__xludf.DUMMYFUNCTION("""COMPUTED_VALUE"""),44640.0)</f>
        <v>44640</v>
      </c>
      <c r="B721" s="1">
        <f t="shared" ref="B721:U721" si="720">IF($A721&gt;0,Megyeinapi!B721/'megyelakosság'!B$2*100000," ")</f>
        <v>0</v>
      </c>
      <c r="C721" s="1">
        <f t="shared" si="720"/>
        <v>0</v>
      </c>
      <c r="D721" s="1">
        <f t="shared" si="720"/>
        <v>0</v>
      </c>
      <c r="E721" s="1">
        <f t="shared" si="720"/>
        <v>0</v>
      </c>
      <c r="F721" s="1">
        <f t="shared" si="720"/>
        <v>0</v>
      </c>
      <c r="G721" s="1">
        <f t="shared" si="720"/>
        <v>0</v>
      </c>
      <c r="H721" s="1">
        <f t="shared" si="720"/>
        <v>0</v>
      </c>
      <c r="I721" s="1">
        <f t="shared" si="720"/>
        <v>0</v>
      </c>
      <c r="J721" s="1">
        <f t="shared" si="720"/>
        <v>0</v>
      </c>
      <c r="K721" s="1">
        <f t="shared" si="720"/>
        <v>0</v>
      </c>
      <c r="L721" s="1">
        <f t="shared" si="720"/>
        <v>0</v>
      </c>
      <c r="M721" s="1">
        <f t="shared" si="720"/>
        <v>0</v>
      </c>
      <c r="N721" s="1">
        <f t="shared" si="720"/>
        <v>0</v>
      </c>
      <c r="O721" s="1">
        <f t="shared" si="720"/>
        <v>0</v>
      </c>
      <c r="P721" s="1">
        <f t="shared" si="720"/>
        <v>0</v>
      </c>
      <c r="Q721" s="1">
        <f t="shared" si="720"/>
        <v>0</v>
      </c>
      <c r="R721" s="1">
        <f t="shared" si="720"/>
        <v>0</v>
      </c>
      <c r="S721" s="1">
        <f t="shared" si="720"/>
        <v>0</v>
      </c>
      <c r="T721" s="1">
        <f t="shared" si="720"/>
        <v>0</v>
      </c>
      <c r="U721" s="1">
        <f t="shared" si="720"/>
        <v>0</v>
      </c>
    </row>
    <row r="722">
      <c r="A722" s="3">
        <f>IFERROR(__xludf.DUMMYFUNCTION("""COMPUTED_VALUE"""),44641.0)</f>
        <v>44641</v>
      </c>
      <c r="B722" s="1">
        <f t="shared" ref="B722:U722" si="721">IF($A722&gt;0,Megyeinapi!B722/'megyelakosság'!B$2*100000," ")</f>
        <v>46.39401059</v>
      </c>
      <c r="C722" s="1">
        <f t="shared" si="721"/>
        <v>109.7159915</v>
      </c>
      <c r="D722" s="1">
        <f t="shared" si="721"/>
        <v>35.09387612</v>
      </c>
      <c r="E722" s="1">
        <f t="shared" si="721"/>
        <v>59.17772783</v>
      </c>
      <c r="F722" s="1">
        <f t="shared" si="721"/>
        <v>72.90528712</v>
      </c>
      <c r="G722" s="1">
        <f t="shared" si="721"/>
        <v>68.2847474</v>
      </c>
      <c r="H722" s="1">
        <f t="shared" si="721"/>
        <v>42.52238995</v>
      </c>
      <c r="I722" s="1">
        <f t="shared" si="721"/>
        <v>117.3011851</v>
      </c>
      <c r="J722" s="1">
        <f t="shared" si="721"/>
        <v>51.82950561</v>
      </c>
      <c r="K722" s="1">
        <f t="shared" si="721"/>
        <v>44.98655515</v>
      </c>
      <c r="L722" s="1">
        <f t="shared" si="721"/>
        <v>39.24721658</v>
      </c>
      <c r="M722" s="1">
        <f t="shared" si="721"/>
        <v>60.13388927</v>
      </c>
      <c r="N722" s="1">
        <f t="shared" si="721"/>
        <v>45.72230611</v>
      </c>
      <c r="O722" s="1">
        <f t="shared" si="721"/>
        <v>48.4156219</v>
      </c>
      <c r="P722" s="1">
        <f t="shared" si="721"/>
        <v>55.34255709</v>
      </c>
      <c r="Q722" s="1">
        <f t="shared" si="721"/>
        <v>56.46342263</v>
      </c>
      <c r="R722" s="1">
        <f t="shared" si="721"/>
        <v>42.68864204</v>
      </c>
      <c r="S722" s="1">
        <f t="shared" si="721"/>
        <v>53.90793155</v>
      </c>
      <c r="T722" s="1">
        <f t="shared" si="721"/>
        <v>53.64099227</v>
      </c>
      <c r="U722" s="1">
        <f t="shared" si="721"/>
        <v>39.66012025</v>
      </c>
    </row>
    <row r="723">
      <c r="A723" s="3">
        <f>IFERROR(__xludf.DUMMYFUNCTION("""COMPUTED_VALUE"""),44642.0)</f>
        <v>44642</v>
      </c>
      <c r="B723" s="1">
        <f t="shared" ref="B723:U723" si="722">IF($A723&gt;0,Megyeinapi!B723/'megyelakosság'!B$2*100000," ")</f>
        <v>10.35402812</v>
      </c>
      <c r="C723" s="1">
        <f t="shared" si="722"/>
        <v>32.02370311</v>
      </c>
      <c r="D723" s="1">
        <f t="shared" si="722"/>
        <v>15.42920416</v>
      </c>
      <c r="E723" s="1">
        <f t="shared" si="722"/>
        <v>13.65639873</v>
      </c>
      <c r="F723" s="1">
        <f t="shared" si="722"/>
        <v>16.79792666</v>
      </c>
      <c r="G723" s="1">
        <f t="shared" si="722"/>
        <v>16.82013998</v>
      </c>
      <c r="H723" s="1">
        <f t="shared" si="722"/>
        <v>13.61672038</v>
      </c>
      <c r="I723" s="1">
        <f t="shared" si="722"/>
        <v>12.25850222</v>
      </c>
      <c r="J723" s="1">
        <f t="shared" si="722"/>
        <v>12.90991348</v>
      </c>
      <c r="K723" s="1">
        <f t="shared" si="722"/>
        <v>20.44843416</v>
      </c>
      <c r="L723" s="1">
        <f t="shared" si="722"/>
        <v>13.08240553</v>
      </c>
      <c r="M723" s="1">
        <f t="shared" si="722"/>
        <v>11.62810013</v>
      </c>
      <c r="N723" s="1">
        <f t="shared" si="722"/>
        <v>9.569784999</v>
      </c>
      <c r="O723" s="1">
        <f t="shared" si="722"/>
        <v>13.56870932</v>
      </c>
      <c r="P723" s="1">
        <f t="shared" si="722"/>
        <v>16.66944491</v>
      </c>
      <c r="Q723" s="1">
        <f t="shared" si="722"/>
        <v>19.48898781</v>
      </c>
      <c r="R723" s="1">
        <f t="shared" si="722"/>
        <v>14.84822332</v>
      </c>
      <c r="S723" s="1">
        <f t="shared" si="722"/>
        <v>8.656748132</v>
      </c>
      <c r="T723" s="1">
        <f t="shared" si="722"/>
        <v>16.70785005</v>
      </c>
      <c r="U723" s="1">
        <f t="shared" si="722"/>
        <v>15.34023519</v>
      </c>
    </row>
    <row r="724">
      <c r="A724" s="3">
        <f>IFERROR(__xludf.DUMMYFUNCTION("""COMPUTED_VALUE"""),44643.0)</f>
        <v>44643</v>
      </c>
      <c r="B724" s="1">
        <f t="shared" ref="B724:U724" si="723">IF($A724&gt;0,Megyeinapi!B724/'megyelakosság'!B$2*100000," ")</f>
        <v>25.28772251</v>
      </c>
      <c r="C724" s="1">
        <f t="shared" si="723"/>
        <v>58.47806655</v>
      </c>
      <c r="D724" s="1">
        <f t="shared" si="723"/>
        <v>22.99253953</v>
      </c>
      <c r="E724" s="1">
        <f t="shared" si="723"/>
        <v>29.82431906</v>
      </c>
      <c r="F724" s="1">
        <f t="shared" si="723"/>
        <v>35.8241497</v>
      </c>
      <c r="G724" s="1">
        <f t="shared" si="723"/>
        <v>28.11724893</v>
      </c>
      <c r="H724" s="1">
        <f t="shared" si="723"/>
        <v>20.78341531</v>
      </c>
      <c r="I724" s="1">
        <f t="shared" si="723"/>
        <v>34.02791134</v>
      </c>
      <c r="J724" s="1">
        <f t="shared" si="723"/>
        <v>28.098047</v>
      </c>
      <c r="K724" s="1">
        <f t="shared" si="723"/>
        <v>22.49327758</v>
      </c>
      <c r="L724" s="1">
        <f t="shared" si="723"/>
        <v>22.89420967</v>
      </c>
      <c r="M724" s="1">
        <f t="shared" si="723"/>
        <v>20.26611738</v>
      </c>
      <c r="N724" s="1">
        <f t="shared" si="723"/>
        <v>19.13957</v>
      </c>
      <c r="O724" s="1">
        <f t="shared" si="723"/>
        <v>28.44803261</v>
      </c>
      <c r="P724" s="1">
        <f t="shared" si="723"/>
        <v>24.33738956</v>
      </c>
      <c r="Q724" s="1">
        <f t="shared" si="723"/>
        <v>30.23525212</v>
      </c>
      <c r="R724" s="1">
        <f t="shared" si="723"/>
        <v>24.12836289</v>
      </c>
      <c r="S724" s="1">
        <f t="shared" si="723"/>
        <v>27.15071005</v>
      </c>
      <c r="T724" s="1">
        <f t="shared" si="723"/>
        <v>19.05281146</v>
      </c>
      <c r="U724" s="1">
        <f t="shared" si="723"/>
        <v>24.69403714</v>
      </c>
    </row>
    <row r="725">
      <c r="A725" s="3">
        <f>IFERROR(__xludf.DUMMYFUNCTION("""COMPUTED_VALUE"""),44644.0)</f>
        <v>44644</v>
      </c>
      <c r="B725" s="1">
        <f t="shared" ref="B725:U725" si="724">IF($A725&gt;0,Megyeinapi!B725/'megyelakosság'!B$2*100000," ")</f>
        <v>24.09302696</v>
      </c>
      <c r="C725" s="1">
        <f t="shared" si="724"/>
        <v>48.73172212</v>
      </c>
      <c r="D725" s="1">
        <f t="shared" si="724"/>
        <v>22.99253953</v>
      </c>
      <c r="E725" s="1">
        <f t="shared" si="724"/>
        <v>24.80127585</v>
      </c>
      <c r="F725" s="1">
        <f t="shared" si="724"/>
        <v>35.48133488</v>
      </c>
      <c r="G725" s="1">
        <f t="shared" si="724"/>
        <v>26.108874</v>
      </c>
      <c r="H725" s="1">
        <f t="shared" si="724"/>
        <v>18.15562717</v>
      </c>
      <c r="I725" s="1">
        <f t="shared" si="724"/>
        <v>35.50738575</v>
      </c>
      <c r="J725" s="1">
        <f t="shared" si="724"/>
        <v>26.95893698</v>
      </c>
      <c r="K725" s="1">
        <f t="shared" si="724"/>
        <v>16.69955456</v>
      </c>
      <c r="L725" s="1">
        <f t="shared" si="724"/>
        <v>16.08045679</v>
      </c>
      <c r="M725" s="1">
        <f t="shared" si="724"/>
        <v>29.23636605</v>
      </c>
      <c r="N725" s="1">
        <f t="shared" si="724"/>
        <v>19.67122472</v>
      </c>
      <c r="O725" s="1">
        <f t="shared" si="724"/>
        <v>22.89719698</v>
      </c>
      <c r="P725" s="1">
        <f t="shared" si="724"/>
        <v>26.33772295</v>
      </c>
      <c r="Q725" s="1">
        <f t="shared" si="724"/>
        <v>26.77459073</v>
      </c>
      <c r="R725" s="1">
        <f t="shared" si="724"/>
        <v>24.59236987</v>
      </c>
      <c r="S725" s="1">
        <f t="shared" si="724"/>
        <v>22.03535888</v>
      </c>
      <c r="T725" s="1">
        <f t="shared" si="724"/>
        <v>31.36385887</v>
      </c>
      <c r="U725" s="1">
        <f t="shared" si="724"/>
        <v>14.21777896</v>
      </c>
    </row>
    <row r="726">
      <c r="A726" s="3">
        <f>IFERROR(__xludf.DUMMYFUNCTION("""COMPUTED_VALUE"""),44645.0)</f>
        <v>44645</v>
      </c>
      <c r="B726" s="1">
        <f t="shared" ref="B726:U726" si="725">IF($A726&gt;0,Megyeinapi!B726/'megyelakosság'!B$2*100000," ")</f>
        <v>18.51778105</v>
      </c>
      <c r="C726" s="1">
        <f t="shared" si="725"/>
        <v>39.26384468</v>
      </c>
      <c r="D726" s="1">
        <f t="shared" si="725"/>
        <v>18.4545383</v>
      </c>
      <c r="E726" s="1">
        <f t="shared" si="725"/>
        <v>18.05156154</v>
      </c>
      <c r="F726" s="1">
        <f t="shared" si="725"/>
        <v>33.59585331</v>
      </c>
      <c r="G726" s="1">
        <f t="shared" si="725"/>
        <v>25.85782714</v>
      </c>
      <c r="H726" s="1">
        <f t="shared" si="725"/>
        <v>25.3223221</v>
      </c>
      <c r="I726" s="1">
        <f t="shared" si="725"/>
        <v>26.8418928</v>
      </c>
      <c r="J726" s="1">
        <f t="shared" si="725"/>
        <v>25.6299753</v>
      </c>
      <c r="K726" s="1">
        <f t="shared" si="725"/>
        <v>24.53812099</v>
      </c>
      <c r="L726" s="1">
        <f t="shared" si="725"/>
        <v>19.35105818</v>
      </c>
      <c r="M726" s="1">
        <f t="shared" si="725"/>
        <v>22.25950597</v>
      </c>
      <c r="N726" s="1">
        <f t="shared" si="725"/>
        <v>15.41798694</v>
      </c>
      <c r="O726" s="1">
        <f t="shared" si="725"/>
        <v>23.89943119</v>
      </c>
      <c r="P726" s="1">
        <f t="shared" si="725"/>
        <v>26.67111185</v>
      </c>
      <c r="Q726" s="1">
        <f t="shared" si="725"/>
        <v>23.31392934</v>
      </c>
      <c r="R726" s="1">
        <f t="shared" si="725"/>
        <v>19.4882931</v>
      </c>
      <c r="S726" s="1">
        <f t="shared" si="725"/>
        <v>27.15071005</v>
      </c>
      <c r="T726" s="1">
        <f t="shared" si="725"/>
        <v>17.88033076</v>
      </c>
      <c r="U726" s="1">
        <f t="shared" si="725"/>
        <v>15.34023519</v>
      </c>
    </row>
    <row r="727">
      <c r="A727" s="3">
        <f>IFERROR(__xludf.DUMMYFUNCTION("""COMPUTED_VALUE"""),44646.0)</f>
        <v>44646</v>
      </c>
      <c r="B727" s="1">
        <f t="shared" ref="B727:U727" si="726">IF($A727&gt;0,Megyeinapi!B727/'megyelakosság'!B$2*100000," ")</f>
        <v>0</v>
      </c>
      <c r="C727" s="1">
        <f t="shared" si="726"/>
        <v>0</v>
      </c>
      <c r="D727" s="1">
        <f t="shared" si="726"/>
        <v>0</v>
      </c>
      <c r="E727" s="1">
        <f t="shared" si="726"/>
        <v>0</v>
      </c>
      <c r="F727" s="1">
        <f t="shared" si="726"/>
        <v>0</v>
      </c>
      <c r="G727" s="1">
        <f t="shared" si="726"/>
        <v>0</v>
      </c>
      <c r="H727" s="1">
        <f t="shared" si="726"/>
        <v>0</v>
      </c>
      <c r="I727" s="1">
        <f t="shared" si="726"/>
        <v>0</v>
      </c>
      <c r="J727" s="1">
        <f t="shared" si="726"/>
        <v>0</v>
      </c>
      <c r="K727" s="1">
        <f t="shared" si="726"/>
        <v>0</v>
      </c>
      <c r="L727" s="1">
        <f t="shared" si="726"/>
        <v>0</v>
      </c>
      <c r="M727" s="1">
        <f t="shared" si="726"/>
        <v>0</v>
      </c>
      <c r="N727" s="1">
        <f t="shared" si="726"/>
        <v>0</v>
      </c>
      <c r="O727" s="1">
        <f t="shared" si="726"/>
        <v>0</v>
      </c>
      <c r="P727" s="1">
        <f t="shared" si="726"/>
        <v>0</v>
      </c>
      <c r="Q727" s="1">
        <f t="shared" si="726"/>
        <v>0</v>
      </c>
      <c r="R727" s="1">
        <f t="shared" si="726"/>
        <v>0</v>
      </c>
      <c r="S727" s="1">
        <f t="shared" si="726"/>
        <v>0</v>
      </c>
      <c r="T727" s="1">
        <f t="shared" si="726"/>
        <v>0</v>
      </c>
      <c r="U727" s="1">
        <f t="shared" si="726"/>
        <v>0</v>
      </c>
    </row>
    <row r="728">
      <c r="A728" s="3">
        <f>IFERROR(__xludf.DUMMYFUNCTION("""COMPUTED_VALUE"""),44647.0)</f>
        <v>44647</v>
      </c>
      <c r="B728" s="1">
        <f t="shared" ref="B728:U728" si="727">IF($A728&gt;0,Megyeinapi!B728/'megyelakosság'!B$2*100000," ")</f>
        <v>0</v>
      </c>
      <c r="C728" s="1">
        <f t="shared" si="727"/>
        <v>0</v>
      </c>
      <c r="D728" s="1">
        <f t="shared" si="727"/>
        <v>0</v>
      </c>
      <c r="E728" s="1">
        <f t="shared" si="727"/>
        <v>0</v>
      </c>
      <c r="F728" s="1">
        <f t="shared" si="727"/>
        <v>0</v>
      </c>
      <c r="G728" s="1">
        <f t="shared" si="727"/>
        <v>0</v>
      </c>
      <c r="H728" s="1">
        <f t="shared" si="727"/>
        <v>0</v>
      </c>
      <c r="I728" s="1">
        <f t="shared" si="727"/>
        <v>0</v>
      </c>
      <c r="J728" s="1">
        <f t="shared" si="727"/>
        <v>0</v>
      </c>
      <c r="K728" s="1">
        <f t="shared" si="727"/>
        <v>0</v>
      </c>
      <c r="L728" s="1">
        <f t="shared" si="727"/>
        <v>0</v>
      </c>
      <c r="M728" s="1">
        <f t="shared" si="727"/>
        <v>0</v>
      </c>
      <c r="N728" s="1">
        <f t="shared" si="727"/>
        <v>0</v>
      </c>
      <c r="O728" s="1">
        <f t="shared" si="727"/>
        <v>0</v>
      </c>
      <c r="P728" s="1">
        <f t="shared" si="727"/>
        <v>0</v>
      </c>
      <c r="Q728" s="1">
        <f t="shared" si="727"/>
        <v>0</v>
      </c>
      <c r="R728" s="1">
        <f t="shared" si="727"/>
        <v>0</v>
      </c>
      <c r="S728" s="1">
        <f t="shared" si="727"/>
        <v>0</v>
      </c>
      <c r="T728" s="1">
        <f t="shared" si="727"/>
        <v>0</v>
      </c>
      <c r="U728" s="1">
        <f t="shared" si="727"/>
        <v>0</v>
      </c>
    </row>
    <row r="729">
      <c r="A729" s="3">
        <f>IFERROR(__xludf.DUMMYFUNCTION("""COMPUTED_VALUE"""),44648.0)</f>
        <v>44648</v>
      </c>
      <c r="B729" s="1">
        <f t="shared" ref="B729:U729" si="728">IF($A729&gt;0,Megyeinapi!B729/'megyelakosság'!B$2*100000," ")</f>
        <v>45.79666282</v>
      </c>
      <c r="C729" s="1">
        <f t="shared" si="728"/>
        <v>77.13535445</v>
      </c>
      <c r="D729" s="1">
        <f t="shared" si="728"/>
        <v>49.31294661</v>
      </c>
      <c r="E729" s="1">
        <f t="shared" si="728"/>
        <v>43.79465799</v>
      </c>
      <c r="F729" s="1">
        <f t="shared" si="728"/>
        <v>78.10464537</v>
      </c>
      <c r="G729" s="1">
        <f t="shared" si="728"/>
        <v>60.2512477</v>
      </c>
      <c r="H729" s="1">
        <f t="shared" si="728"/>
        <v>40.6112713</v>
      </c>
      <c r="I729" s="1">
        <f t="shared" si="728"/>
        <v>57.48814835</v>
      </c>
      <c r="J729" s="1">
        <f t="shared" si="728"/>
        <v>43.85573551</v>
      </c>
      <c r="K729" s="1">
        <f t="shared" si="728"/>
        <v>41.57848279</v>
      </c>
      <c r="L729" s="1">
        <f t="shared" si="728"/>
        <v>35.43151497</v>
      </c>
      <c r="M729" s="1">
        <f t="shared" si="728"/>
        <v>37.20992043</v>
      </c>
      <c r="N729" s="1">
        <f t="shared" si="728"/>
        <v>48.91223444</v>
      </c>
      <c r="O729" s="1">
        <f t="shared" si="728"/>
        <v>50.34299539</v>
      </c>
      <c r="P729" s="1">
        <f t="shared" si="728"/>
        <v>58.00966828</v>
      </c>
      <c r="Q729" s="1">
        <f t="shared" si="728"/>
        <v>44.44217781</v>
      </c>
      <c r="R729" s="1">
        <f t="shared" si="728"/>
        <v>32.48048851</v>
      </c>
      <c r="S729" s="1">
        <f t="shared" si="728"/>
        <v>46.43164907</v>
      </c>
      <c r="T729" s="1">
        <f t="shared" si="728"/>
        <v>54.81347298</v>
      </c>
      <c r="U729" s="1">
        <f t="shared" si="728"/>
        <v>34.42199116</v>
      </c>
    </row>
    <row r="730">
      <c r="A730" s="3">
        <f>IFERROR(__xludf.DUMMYFUNCTION("""COMPUTED_VALUE"""),44649.0)</f>
        <v>44649</v>
      </c>
      <c r="B730" s="1">
        <f t="shared" ref="B730:U730" si="729">IF($A730&gt;0,Megyeinapi!B730/'megyelakosság'!B$2*100000," ")</f>
        <v>14.53546255</v>
      </c>
      <c r="C730" s="1">
        <f t="shared" si="729"/>
        <v>33.97297199</v>
      </c>
      <c r="D730" s="1">
        <f t="shared" si="729"/>
        <v>15.12667074</v>
      </c>
      <c r="E730" s="1">
        <f t="shared" si="729"/>
        <v>13.02851833</v>
      </c>
      <c r="F730" s="1">
        <f t="shared" si="729"/>
        <v>19.42617368</v>
      </c>
      <c r="G730" s="1">
        <f t="shared" si="729"/>
        <v>19.07956177</v>
      </c>
      <c r="H730" s="1">
        <f t="shared" si="729"/>
        <v>13.61672038</v>
      </c>
      <c r="I730" s="1">
        <f t="shared" si="729"/>
        <v>17.75369287</v>
      </c>
      <c r="J730" s="1">
        <f t="shared" si="729"/>
        <v>18.98516689</v>
      </c>
      <c r="K730" s="1">
        <f t="shared" si="729"/>
        <v>16.01794009</v>
      </c>
      <c r="L730" s="1">
        <f t="shared" si="729"/>
        <v>15.26280645</v>
      </c>
      <c r="M730" s="1">
        <f t="shared" si="729"/>
        <v>17.94049735</v>
      </c>
      <c r="N730" s="1">
        <f t="shared" si="729"/>
        <v>12.22805861</v>
      </c>
      <c r="O730" s="1">
        <f t="shared" si="729"/>
        <v>13.3374245</v>
      </c>
      <c r="P730" s="1">
        <f t="shared" si="729"/>
        <v>20.67011169</v>
      </c>
      <c r="Q730" s="1">
        <f t="shared" si="729"/>
        <v>26.59245066</v>
      </c>
      <c r="R730" s="1">
        <f t="shared" si="729"/>
        <v>20.88031404</v>
      </c>
      <c r="S730" s="1">
        <f t="shared" si="729"/>
        <v>17.70698482</v>
      </c>
      <c r="T730" s="1">
        <f t="shared" si="729"/>
        <v>16.41472988</v>
      </c>
      <c r="U730" s="1">
        <f t="shared" si="729"/>
        <v>14.21777896</v>
      </c>
    </row>
    <row r="731">
      <c r="A731" s="3">
        <f>IFERROR(__xludf.DUMMYFUNCTION("""COMPUTED_VALUE"""),44650.0)</f>
        <v>44650</v>
      </c>
      <c r="B731" s="1">
        <f t="shared" ref="B731:U731" si="730">IF($A731&gt;0,Megyeinapi!B731/'megyelakosság'!B$2*100000," ")</f>
        <v>27.07976584</v>
      </c>
      <c r="C731" s="1">
        <f t="shared" si="730"/>
        <v>46.50398625</v>
      </c>
      <c r="D731" s="1">
        <f t="shared" si="730"/>
        <v>28.43814099</v>
      </c>
      <c r="E731" s="1">
        <f t="shared" si="730"/>
        <v>27.78370776</v>
      </c>
      <c r="F731" s="1">
        <f t="shared" si="730"/>
        <v>38.1095819</v>
      </c>
      <c r="G731" s="1">
        <f t="shared" si="730"/>
        <v>33.64027997</v>
      </c>
      <c r="H731" s="1">
        <f t="shared" si="730"/>
        <v>19.11118649</v>
      </c>
      <c r="I731" s="1">
        <f t="shared" si="730"/>
        <v>23.24888353</v>
      </c>
      <c r="J731" s="1">
        <f t="shared" si="730"/>
        <v>26.19953031</v>
      </c>
      <c r="K731" s="1">
        <f t="shared" si="730"/>
        <v>22.83408481</v>
      </c>
      <c r="L731" s="1">
        <f t="shared" si="730"/>
        <v>25.61971082</v>
      </c>
      <c r="M731" s="1">
        <f t="shared" si="730"/>
        <v>25.24958886</v>
      </c>
      <c r="N731" s="1">
        <f t="shared" si="730"/>
        <v>18.60791528</v>
      </c>
      <c r="O731" s="1">
        <f t="shared" si="730"/>
        <v>32.07149476</v>
      </c>
      <c r="P731" s="1">
        <f t="shared" si="730"/>
        <v>23.33722287</v>
      </c>
      <c r="Q731" s="1">
        <f t="shared" si="730"/>
        <v>36.24587453</v>
      </c>
      <c r="R731" s="1">
        <f t="shared" si="730"/>
        <v>24.12836289</v>
      </c>
      <c r="S731" s="1">
        <f t="shared" si="730"/>
        <v>24.78977874</v>
      </c>
      <c r="T731" s="1">
        <f t="shared" si="730"/>
        <v>17.58721058</v>
      </c>
      <c r="U731" s="1">
        <f t="shared" si="730"/>
        <v>26.56479753</v>
      </c>
    </row>
    <row r="732">
      <c r="A732" s="3">
        <f>IFERROR(__xludf.DUMMYFUNCTION("""COMPUTED_VALUE"""),44651.0)</f>
        <v>44651</v>
      </c>
      <c r="B732" s="1">
        <f t="shared" ref="B732:U732" si="731">IF($A732&gt;0,Megyeinapi!B732/'megyelakosság'!B$2*100000," ")</f>
        <v>24.69037474</v>
      </c>
      <c r="C732" s="1">
        <f t="shared" si="731"/>
        <v>37.87150976</v>
      </c>
      <c r="D732" s="1">
        <f t="shared" si="731"/>
        <v>21.47987245</v>
      </c>
      <c r="E732" s="1">
        <f t="shared" si="731"/>
        <v>23.70248515</v>
      </c>
      <c r="F732" s="1">
        <f t="shared" si="731"/>
        <v>37.36681644</v>
      </c>
      <c r="G732" s="1">
        <f t="shared" si="731"/>
        <v>24.60259281</v>
      </c>
      <c r="H732" s="1">
        <f t="shared" si="731"/>
        <v>18.87229666</v>
      </c>
      <c r="I732" s="1">
        <f t="shared" si="731"/>
        <v>27.47595326</v>
      </c>
      <c r="J732" s="1">
        <f t="shared" si="731"/>
        <v>26.00967864</v>
      </c>
      <c r="K732" s="1">
        <f t="shared" si="731"/>
        <v>21.81166311</v>
      </c>
      <c r="L732" s="1">
        <f t="shared" si="731"/>
        <v>19.07850806</v>
      </c>
      <c r="M732" s="1">
        <f t="shared" si="731"/>
        <v>23.5884317</v>
      </c>
      <c r="N732" s="1">
        <f t="shared" si="731"/>
        <v>22.86115305</v>
      </c>
      <c r="O732" s="1">
        <f t="shared" si="731"/>
        <v>23.97652613</v>
      </c>
      <c r="P732" s="1">
        <f t="shared" si="731"/>
        <v>25.00416736</v>
      </c>
      <c r="Q732" s="1">
        <f t="shared" si="731"/>
        <v>29.87097197</v>
      </c>
      <c r="R732" s="1">
        <f t="shared" si="731"/>
        <v>22.27233498</v>
      </c>
      <c r="S732" s="1">
        <f t="shared" si="731"/>
        <v>33.84001542</v>
      </c>
      <c r="T732" s="1">
        <f t="shared" si="731"/>
        <v>21.98401323</v>
      </c>
      <c r="U732" s="1">
        <f t="shared" si="731"/>
        <v>25.06818922</v>
      </c>
    </row>
    <row r="733">
      <c r="A733" s="3">
        <f>IFERROR(__xludf.DUMMYFUNCTION("""COMPUTED_VALUE"""),44652.0)</f>
        <v>44652</v>
      </c>
      <c r="B733" s="1">
        <f t="shared" ref="B733:U733" si="732">IF($A733&gt;0,Megyeinapi!B733/'megyelakosság'!B$2*100000," ")</f>
        <v>20.70805623</v>
      </c>
      <c r="C733" s="1">
        <f t="shared" si="732"/>
        <v>31.18830216</v>
      </c>
      <c r="D733" s="1">
        <f t="shared" si="732"/>
        <v>20.26973879</v>
      </c>
      <c r="E733" s="1">
        <f t="shared" si="732"/>
        <v>19.46429244</v>
      </c>
      <c r="F733" s="1">
        <f t="shared" si="732"/>
        <v>33.65298912</v>
      </c>
      <c r="G733" s="1">
        <f t="shared" si="732"/>
        <v>23.84945222</v>
      </c>
      <c r="H733" s="1">
        <f t="shared" si="732"/>
        <v>22.69453396</v>
      </c>
      <c r="I733" s="1">
        <f t="shared" si="732"/>
        <v>21.13534866</v>
      </c>
      <c r="J733" s="1">
        <f t="shared" si="732"/>
        <v>26.00967864</v>
      </c>
      <c r="K733" s="1">
        <f t="shared" si="732"/>
        <v>14.99551838</v>
      </c>
      <c r="L733" s="1">
        <f t="shared" si="732"/>
        <v>17.9883076</v>
      </c>
      <c r="M733" s="1">
        <f t="shared" si="732"/>
        <v>16.61157162</v>
      </c>
      <c r="N733" s="1">
        <f t="shared" si="732"/>
        <v>18.60791528</v>
      </c>
      <c r="O733" s="1">
        <f t="shared" si="732"/>
        <v>22.43462735</v>
      </c>
      <c r="P733" s="1">
        <f t="shared" si="732"/>
        <v>27.67127855</v>
      </c>
      <c r="Q733" s="1">
        <f t="shared" si="732"/>
        <v>23.31392934</v>
      </c>
      <c r="R733" s="1">
        <f t="shared" si="732"/>
        <v>14.38421634</v>
      </c>
      <c r="S733" s="1">
        <f t="shared" si="732"/>
        <v>25.9702444</v>
      </c>
      <c r="T733" s="1">
        <f t="shared" si="732"/>
        <v>21.39777287</v>
      </c>
      <c r="U733" s="1">
        <f t="shared" si="732"/>
        <v>13.84362688</v>
      </c>
    </row>
    <row r="734">
      <c r="A734" s="3">
        <f>IFERROR(__xludf.DUMMYFUNCTION("""COMPUTED_VALUE"""),44653.0)</f>
        <v>44653</v>
      </c>
      <c r="B734" s="1">
        <f t="shared" ref="B734:U734" si="733">IF($A734&gt;0,Megyeinapi!B734/'megyelakosság'!B$2*100000," ")</f>
        <v>0</v>
      </c>
      <c r="C734" s="1">
        <f t="shared" si="733"/>
        <v>0</v>
      </c>
      <c r="D734" s="1">
        <f t="shared" si="733"/>
        <v>0</v>
      </c>
      <c r="E734" s="1">
        <f t="shared" si="733"/>
        <v>0</v>
      </c>
      <c r="F734" s="1">
        <f t="shared" si="733"/>
        <v>0</v>
      </c>
      <c r="G734" s="1">
        <f t="shared" si="733"/>
        <v>0</v>
      </c>
      <c r="H734" s="1">
        <f t="shared" si="733"/>
        <v>0</v>
      </c>
      <c r="I734" s="1">
        <f t="shared" si="733"/>
        <v>0</v>
      </c>
      <c r="J734" s="1">
        <f t="shared" si="733"/>
        <v>0</v>
      </c>
      <c r="K734" s="1">
        <f t="shared" si="733"/>
        <v>0</v>
      </c>
      <c r="L734" s="1">
        <f t="shared" si="733"/>
        <v>0</v>
      </c>
      <c r="M734" s="1">
        <f t="shared" si="733"/>
        <v>0</v>
      </c>
      <c r="N734" s="1">
        <f t="shared" si="733"/>
        <v>0</v>
      </c>
      <c r="O734" s="1">
        <f t="shared" si="733"/>
        <v>0</v>
      </c>
      <c r="P734" s="1">
        <f t="shared" si="733"/>
        <v>0</v>
      </c>
      <c r="Q734" s="1">
        <f t="shared" si="733"/>
        <v>0</v>
      </c>
      <c r="R734" s="1">
        <f t="shared" si="733"/>
        <v>0</v>
      </c>
      <c r="S734" s="1">
        <f t="shared" si="733"/>
        <v>0</v>
      </c>
      <c r="T734" s="1">
        <f t="shared" si="733"/>
        <v>0</v>
      </c>
      <c r="U734" s="1">
        <f t="shared" si="733"/>
        <v>0</v>
      </c>
    </row>
    <row r="735">
      <c r="A735" s="3">
        <f>IFERROR(__xludf.DUMMYFUNCTION("""COMPUTED_VALUE"""),44654.0)</f>
        <v>44654</v>
      </c>
      <c r="B735" s="1">
        <f t="shared" ref="B735:U735" si="734">IF($A735&gt;0,Megyeinapi!B735/'megyelakosság'!B$2*100000," ")</f>
        <v>0</v>
      </c>
      <c r="C735" s="1">
        <f t="shared" si="734"/>
        <v>0</v>
      </c>
      <c r="D735" s="1">
        <f t="shared" si="734"/>
        <v>0</v>
      </c>
      <c r="E735" s="1">
        <f t="shared" si="734"/>
        <v>0</v>
      </c>
      <c r="F735" s="1">
        <f t="shared" si="734"/>
        <v>0</v>
      </c>
      <c r="G735" s="1">
        <f t="shared" si="734"/>
        <v>0</v>
      </c>
      <c r="H735" s="1">
        <f t="shared" si="734"/>
        <v>0</v>
      </c>
      <c r="I735" s="1">
        <f t="shared" si="734"/>
        <v>0</v>
      </c>
      <c r="J735" s="1">
        <f t="shared" si="734"/>
        <v>0</v>
      </c>
      <c r="K735" s="1">
        <f t="shared" si="734"/>
        <v>0</v>
      </c>
      <c r="L735" s="1">
        <f t="shared" si="734"/>
        <v>0</v>
      </c>
      <c r="M735" s="1">
        <f t="shared" si="734"/>
        <v>0</v>
      </c>
      <c r="N735" s="1">
        <f t="shared" si="734"/>
        <v>0</v>
      </c>
      <c r="O735" s="1">
        <f t="shared" si="734"/>
        <v>0</v>
      </c>
      <c r="P735" s="1">
        <f t="shared" si="734"/>
        <v>0</v>
      </c>
      <c r="Q735" s="1">
        <f t="shared" si="734"/>
        <v>0</v>
      </c>
      <c r="R735" s="1">
        <f t="shared" si="734"/>
        <v>0</v>
      </c>
      <c r="S735" s="1">
        <f t="shared" si="734"/>
        <v>0</v>
      </c>
      <c r="T735" s="1">
        <f t="shared" si="734"/>
        <v>0</v>
      </c>
      <c r="U735" s="1">
        <f t="shared" si="734"/>
        <v>0</v>
      </c>
    </row>
    <row r="736">
      <c r="A736" s="3">
        <f>IFERROR(__xludf.DUMMYFUNCTION("""COMPUTED_VALUE"""),44655.0)</f>
        <v>44655</v>
      </c>
      <c r="B736" s="1">
        <f t="shared" ref="B736:U736" si="735">IF($A736&gt;0,Megyeinapi!B736/'megyelakosság'!B$2*100000," ")</f>
        <v>0</v>
      </c>
      <c r="C736" s="1">
        <f t="shared" si="735"/>
        <v>0</v>
      </c>
      <c r="D736" s="1">
        <f t="shared" si="735"/>
        <v>0</v>
      </c>
      <c r="E736" s="1">
        <f t="shared" si="735"/>
        <v>0</v>
      </c>
      <c r="F736" s="1">
        <f t="shared" si="735"/>
        <v>0</v>
      </c>
      <c r="G736" s="1">
        <f t="shared" si="735"/>
        <v>0</v>
      </c>
      <c r="H736" s="1">
        <f t="shared" si="735"/>
        <v>0</v>
      </c>
      <c r="I736" s="1">
        <f t="shared" si="735"/>
        <v>0</v>
      </c>
      <c r="J736" s="1">
        <f t="shared" si="735"/>
        <v>0</v>
      </c>
      <c r="K736" s="1">
        <f t="shared" si="735"/>
        <v>0</v>
      </c>
      <c r="L736" s="1">
        <f t="shared" si="735"/>
        <v>0</v>
      </c>
      <c r="M736" s="1">
        <f t="shared" si="735"/>
        <v>0</v>
      </c>
      <c r="N736" s="1">
        <f t="shared" si="735"/>
        <v>0</v>
      </c>
      <c r="O736" s="1">
        <f t="shared" si="735"/>
        <v>0</v>
      </c>
      <c r="P736" s="1">
        <f t="shared" si="735"/>
        <v>0</v>
      </c>
      <c r="Q736" s="1">
        <f t="shared" si="735"/>
        <v>0</v>
      </c>
      <c r="R736" s="1">
        <f t="shared" si="735"/>
        <v>0</v>
      </c>
      <c r="S736" s="1">
        <f t="shared" si="735"/>
        <v>0</v>
      </c>
      <c r="T736" s="1">
        <f t="shared" si="735"/>
        <v>0</v>
      </c>
      <c r="U736" s="1">
        <f t="shared" si="735"/>
        <v>0</v>
      </c>
    </row>
    <row r="737">
      <c r="A737" s="3">
        <f>IFERROR(__xludf.DUMMYFUNCTION("""COMPUTED_VALUE"""),44656.0)</f>
        <v>44656</v>
      </c>
      <c r="B737" s="1">
        <f t="shared" ref="B737:U737" si="736">IF($A737&gt;0,Megyeinapi!B737/'megyelakosság'!B$2*100000," ")</f>
        <v>66.30560312</v>
      </c>
      <c r="C737" s="1">
        <f t="shared" si="736"/>
        <v>68.50287796</v>
      </c>
      <c r="D737" s="1">
        <f t="shared" si="736"/>
        <v>55.96868174</v>
      </c>
      <c r="E737" s="1">
        <f t="shared" si="736"/>
        <v>45.364359</v>
      </c>
      <c r="F737" s="1">
        <f t="shared" si="736"/>
        <v>85.4180284</v>
      </c>
      <c r="G737" s="1">
        <f t="shared" si="736"/>
        <v>62.00857576</v>
      </c>
      <c r="H737" s="1">
        <f t="shared" si="736"/>
        <v>48.97241539</v>
      </c>
      <c r="I737" s="1">
        <f t="shared" si="736"/>
        <v>63.19469249</v>
      </c>
      <c r="J737" s="1">
        <f t="shared" si="736"/>
        <v>67.01763912</v>
      </c>
      <c r="K737" s="1">
        <f t="shared" si="736"/>
        <v>45.66816963</v>
      </c>
      <c r="L737" s="1">
        <f t="shared" si="736"/>
        <v>48.5139205</v>
      </c>
      <c r="M737" s="1">
        <f t="shared" si="736"/>
        <v>43.19008621</v>
      </c>
      <c r="N737" s="1">
        <f t="shared" si="736"/>
        <v>50.5071986</v>
      </c>
      <c r="O737" s="1">
        <f t="shared" si="736"/>
        <v>55.50835632</v>
      </c>
      <c r="P737" s="1">
        <f t="shared" si="736"/>
        <v>55.00916819</v>
      </c>
      <c r="Q737" s="1">
        <f t="shared" si="736"/>
        <v>63.02046526</v>
      </c>
      <c r="R737" s="1">
        <f t="shared" si="736"/>
        <v>49.18473974</v>
      </c>
      <c r="S737" s="1">
        <f t="shared" si="736"/>
        <v>58.62979417</v>
      </c>
      <c r="T737" s="1">
        <f t="shared" si="736"/>
        <v>52.17539139</v>
      </c>
      <c r="U737" s="1">
        <f t="shared" si="736"/>
        <v>40.40842441</v>
      </c>
    </row>
    <row r="738">
      <c r="A738" s="3">
        <f>IFERROR(__xludf.DUMMYFUNCTION("""COMPUTED_VALUE"""),44657.0)</f>
        <v>44657</v>
      </c>
      <c r="B738" s="1">
        <f t="shared" ref="B738:U738" si="737">IF($A738&gt;0,Megyeinapi!B738/'megyelakosság'!B$2*100000," ")</f>
        <v>32.2567799</v>
      </c>
      <c r="C738" s="1">
        <f t="shared" si="737"/>
        <v>51.23792498</v>
      </c>
      <c r="D738" s="1">
        <f t="shared" si="737"/>
        <v>27.53054075</v>
      </c>
      <c r="E738" s="1">
        <f t="shared" si="737"/>
        <v>21.97581405</v>
      </c>
      <c r="F738" s="1">
        <f t="shared" si="737"/>
        <v>38.96661898</v>
      </c>
      <c r="G738" s="1">
        <f t="shared" si="737"/>
        <v>32.38504564</v>
      </c>
      <c r="H738" s="1">
        <f t="shared" si="737"/>
        <v>29.62233907</v>
      </c>
      <c r="I738" s="1">
        <f t="shared" si="737"/>
        <v>21.13534866</v>
      </c>
      <c r="J738" s="1">
        <f t="shared" si="737"/>
        <v>31.1356737</v>
      </c>
      <c r="K738" s="1">
        <f t="shared" si="737"/>
        <v>22.15247034</v>
      </c>
      <c r="L738" s="1">
        <f t="shared" si="737"/>
        <v>20.44125864</v>
      </c>
      <c r="M738" s="1">
        <f t="shared" si="737"/>
        <v>14.95041446</v>
      </c>
      <c r="N738" s="1">
        <f t="shared" si="737"/>
        <v>19.67122472</v>
      </c>
      <c r="O738" s="1">
        <f t="shared" si="737"/>
        <v>30.29831116</v>
      </c>
      <c r="P738" s="1">
        <f t="shared" si="737"/>
        <v>31.67194532</v>
      </c>
      <c r="Q738" s="1">
        <f t="shared" si="737"/>
        <v>29.87097197</v>
      </c>
      <c r="R738" s="1">
        <f t="shared" si="737"/>
        <v>25.05637685</v>
      </c>
      <c r="S738" s="1">
        <f t="shared" si="737"/>
        <v>20.85489323</v>
      </c>
      <c r="T738" s="1">
        <f t="shared" si="737"/>
        <v>17.58721058</v>
      </c>
      <c r="U738" s="1">
        <f t="shared" si="737"/>
        <v>23.5715809</v>
      </c>
    </row>
    <row r="739">
      <c r="A739" s="3">
        <f>IFERROR(__xludf.DUMMYFUNCTION("""COMPUTED_VALUE"""),44658.0)</f>
        <v>44658</v>
      </c>
      <c r="B739" s="1">
        <f t="shared" ref="B739:U739" si="738">IF($A739&gt;0,Megyeinapi!B739/'megyelakosság'!B$2*100000," ")</f>
        <v>0</v>
      </c>
      <c r="C739" s="1">
        <f t="shared" si="738"/>
        <v>0</v>
      </c>
      <c r="D739" s="1">
        <f t="shared" si="738"/>
        <v>0</v>
      </c>
      <c r="E739" s="1">
        <f t="shared" si="738"/>
        <v>0</v>
      </c>
      <c r="F739" s="1">
        <f t="shared" si="738"/>
        <v>0</v>
      </c>
      <c r="G739" s="1">
        <f t="shared" si="738"/>
        <v>0</v>
      </c>
      <c r="H739" s="1">
        <f t="shared" si="738"/>
        <v>0</v>
      </c>
      <c r="I739" s="1">
        <f t="shared" si="738"/>
        <v>0</v>
      </c>
      <c r="J739" s="1">
        <f t="shared" si="738"/>
        <v>0</v>
      </c>
      <c r="K739" s="1">
        <f t="shared" si="738"/>
        <v>0</v>
      </c>
      <c r="L739" s="1">
        <f t="shared" si="738"/>
        <v>0</v>
      </c>
      <c r="M739" s="1">
        <f t="shared" si="738"/>
        <v>0</v>
      </c>
      <c r="N739" s="1">
        <f t="shared" si="738"/>
        <v>0</v>
      </c>
      <c r="O739" s="1">
        <f t="shared" si="738"/>
        <v>0</v>
      </c>
      <c r="P739" s="1">
        <f t="shared" si="738"/>
        <v>0</v>
      </c>
      <c r="Q739" s="1">
        <f t="shared" si="738"/>
        <v>0</v>
      </c>
      <c r="R739" s="1">
        <f t="shared" si="738"/>
        <v>0</v>
      </c>
      <c r="S739" s="1">
        <f t="shared" si="738"/>
        <v>0</v>
      </c>
      <c r="T739" s="1">
        <f t="shared" si="738"/>
        <v>0</v>
      </c>
      <c r="U739" s="1">
        <f t="shared" si="738"/>
        <v>0</v>
      </c>
    </row>
    <row r="740">
      <c r="A740" s="3">
        <f>IFERROR(__xludf.DUMMYFUNCTION("""COMPUTED_VALUE"""),44659.0)</f>
        <v>44659</v>
      </c>
      <c r="B740" s="1">
        <f t="shared" ref="B740:U740" si="739">IF($A740&gt;0,Megyeinapi!B740/'megyelakosság'!B$2*100000," ")</f>
        <v>0</v>
      </c>
      <c r="C740" s="1">
        <f t="shared" si="739"/>
        <v>0</v>
      </c>
      <c r="D740" s="1">
        <f t="shared" si="739"/>
        <v>0</v>
      </c>
      <c r="E740" s="1">
        <f t="shared" si="739"/>
        <v>0</v>
      </c>
      <c r="F740" s="1">
        <f t="shared" si="739"/>
        <v>0</v>
      </c>
      <c r="G740" s="1">
        <f t="shared" si="739"/>
        <v>0</v>
      </c>
      <c r="H740" s="1">
        <f t="shared" si="739"/>
        <v>0</v>
      </c>
      <c r="I740" s="1">
        <f t="shared" si="739"/>
        <v>0</v>
      </c>
      <c r="J740" s="1">
        <f t="shared" si="739"/>
        <v>0</v>
      </c>
      <c r="K740" s="1">
        <f t="shared" si="739"/>
        <v>0</v>
      </c>
      <c r="L740" s="1">
        <f t="shared" si="739"/>
        <v>0</v>
      </c>
      <c r="M740" s="1">
        <f t="shared" si="739"/>
        <v>0</v>
      </c>
      <c r="N740" s="1">
        <f t="shared" si="739"/>
        <v>0</v>
      </c>
      <c r="O740" s="1">
        <f t="shared" si="739"/>
        <v>0</v>
      </c>
      <c r="P740" s="1">
        <f t="shared" si="739"/>
        <v>0</v>
      </c>
      <c r="Q740" s="1">
        <f t="shared" si="739"/>
        <v>0</v>
      </c>
      <c r="R740" s="1">
        <f t="shared" si="739"/>
        <v>0</v>
      </c>
      <c r="S740" s="1">
        <f t="shared" si="739"/>
        <v>0</v>
      </c>
      <c r="T740" s="1">
        <f t="shared" si="739"/>
        <v>0</v>
      </c>
      <c r="U740" s="1">
        <f t="shared" si="739"/>
        <v>0</v>
      </c>
    </row>
    <row r="741">
      <c r="A741" s="3">
        <f>IFERROR(__xludf.DUMMYFUNCTION("""COMPUTED_VALUE"""),44660.0)</f>
        <v>44660</v>
      </c>
      <c r="B741" s="1">
        <f t="shared" ref="B741:U741" si="740">IF($A741&gt;0,Megyeinapi!B741/'megyelakosság'!B$2*100000," ")</f>
        <v>0</v>
      </c>
      <c r="C741" s="1">
        <f t="shared" si="740"/>
        <v>0</v>
      </c>
      <c r="D741" s="1">
        <f t="shared" si="740"/>
        <v>0</v>
      </c>
      <c r="E741" s="1">
        <f t="shared" si="740"/>
        <v>0</v>
      </c>
      <c r="F741" s="1">
        <f t="shared" si="740"/>
        <v>0</v>
      </c>
      <c r="G741" s="1">
        <f t="shared" si="740"/>
        <v>0</v>
      </c>
      <c r="H741" s="1">
        <f t="shared" si="740"/>
        <v>0</v>
      </c>
      <c r="I741" s="1">
        <f t="shared" si="740"/>
        <v>0</v>
      </c>
      <c r="J741" s="1">
        <f t="shared" si="740"/>
        <v>0</v>
      </c>
      <c r="K741" s="1">
        <f t="shared" si="740"/>
        <v>0</v>
      </c>
      <c r="L741" s="1">
        <f t="shared" si="740"/>
        <v>0</v>
      </c>
      <c r="M741" s="1">
        <f t="shared" si="740"/>
        <v>0</v>
      </c>
      <c r="N741" s="1">
        <f t="shared" si="740"/>
        <v>0</v>
      </c>
      <c r="O741" s="1">
        <f t="shared" si="740"/>
        <v>0</v>
      </c>
      <c r="P741" s="1">
        <f t="shared" si="740"/>
        <v>0</v>
      </c>
      <c r="Q741" s="1">
        <f t="shared" si="740"/>
        <v>0</v>
      </c>
      <c r="R741" s="1">
        <f t="shared" si="740"/>
        <v>0</v>
      </c>
      <c r="S741" s="1">
        <f t="shared" si="740"/>
        <v>0</v>
      </c>
      <c r="T741" s="1">
        <f t="shared" si="740"/>
        <v>0</v>
      </c>
      <c r="U741" s="1">
        <f t="shared" si="740"/>
        <v>0</v>
      </c>
    </row>
    <row r="742">
      <c r="A742" s="3">
        <f>IFERROR(__xludf.DUMMYFUNCTION("""COMPUTED_VALUE"""),44661.0)</f>
        <v>44661</v>
      </c>
      <c r="B742" s="1">
        <f t="shared" ref="B742:U742" si="741">IF($A742&gt;0,Megyeinapi!B742/'megyelakosság'!B$2*100000," ")</f>
        <v>0</v>
      </c>
      <c r="C742" s="1">
        <f t="shared" si="741"/>
        <v>0</v>
      </c>
      <c r="D742" s="1">
        <f t="shared" si="741"/>
        <v>0</v>
      </c>
      <c r="E742" s="1">
        <f t="shared" si="741"/>
        <v>0</v>
      </c>
      <c r="F742" s="1">
        <f t="shared" si="741"/>
        <v>0</v>
      </c>
      <c r="G742" s="1">
        <f t="shared" si="741"/>
        <v>0</v>
      </c>
      <c r="H742" s="1">
        <f t="shared" si="741"/>
        <v>0</v>
      </c>
      <c r="I742" s="1">
        <f t="shared" si="741"/>
        <v>0</v>
      </c>
      <c r="J742" s="1">
        <f t="shared" si="741"/>
        <v>0</v>
      </c>
      <c r="K742" s="1">
        <f t="shared" si="741"/>
        <v>0</v>
      </c>
      <c r="L742" s="1">
        <f t="shared" si="741"/>
        <v>0</v>
      </c>
      <c r="M742" s="1">
        <f t="shared" si="741"/>
        <v>0</v>
      </c>
      <c r="N742" s="1">
        <f t="shared" si="741"/>
        <v>0</v>
      </c>
      <c r="O742" s="1">
        <f t="shared" si="741"/>
        <v>0</v>
      </c>
      <c r="P742" s="1">
        <f t="shared" si="741"/>
        <v>0</v>
      </c>
      <c r="Q742" s="1">
        <f t="shared" si="741"/>
        <v>0</v>
      </c>
      <c r="R742" s="1">
        <f t="shared" si="741"/>
        <v>0</v>
      </c>
      <c r="S742" s="1">
        <f t="shared" si="741"/>
        <v>0</v>
      </c>
      <c r="T742" s="1">
        <f t="shared" si="741"/>
        <v>0</v>
      </c>
      <c r="U742" s="1">
        <f t="shared" si="741"/>
        <v>0</v>
      </c>
    </row>
    <row r="743">
      <c r="A743" s="3">
        <f>IFERROR(__xludf.DUMMYFUNCTION("""COMPUTED_VALUE"""),44662.0)</f>
        <v>44662</v>
      </c>
      <c r="B743" s="1">
        <f t="shared" ref="B743:U743" si="742">IF($A743&gt;0,Megyeinapi!B743/'megyelakosság'!B$2*100000," ")</f>
        <v>39.02672136</v>
      </c>
      <c r="C743" s="1">
        <f t="shared" si="742"/>
        <v>55.9718637</v>
      </c>
      <c r="D743" s="1">
        <f t="shared" si="742"/>
        <v>37.81667685</v>
      </c>
      <c r="E743" s="1">
        <f t="shared" si="742"/>
        <v>33.74857157</v>
      </c>
      <c r="F743" s="1">
        <f t="shared" si="742"/>
        <v>71.13407717</v>
      </c>
      <c r="G743" s="1">
        <f t="shared" si="742"/>
        <v>46.94576384</v>
      </c>
      <c r="H743" s="1">
        <f t="shared" si="742"/>
        <v>45.62795775</v>
      </c>
      <c r="I743" s="1">
        <f t="shared" si="742"/>
        <v>50.30212981</v>
      </c>
      <c r="J743" s="1">
        <f t="shared" si="742"/>
        <v>39.10944379</v>
      </c>
      <c r="K743" s="1">
        <f t="shared" si="742"/>
        <v>41.91929003</v>
      </c>
      <c r="L743" s="1">
        <f t="shared" si="742"/>
        <v>37.06681566</v>
      </c>
      <c r="M743" s="1">
        <f t="shared" si="742"/>
        <v>42.52562335</v>
      </c>
      <c r="N743" s="1">
        <f t="shared" si="742"/>
        <v>46.78561555</v>
      </c>
      <c r="O743" s="1">
        <f t="shared" si="742"/>
        <v>45.56310915</v>
      </c>
      <c r="P743" s="1">
        <f t="shared" si="742"/>
        <v>47.67461244</v>
      </c>
      <c r="Q743" s="1">
        <f t="shared" si="742"/>
        <v>41.52793664</v>
      </c>
      <c r="R743" s="1">
        <f t="shared" si="742"/>
        <v>34.33651642</v>
      </c>
      <c r="S743" s="1">
        <f t="shared" si="742"/>
        <v>53.90793155</v>
      </c>
      <c r="T743" s="1">
        <f t="shared" si="742"/>
        <v>41.91618522</v>
      </c>
      <c r="U743" s="1">
        <f t="shared" si="742"/>
        <v>23.19742883</v>
      </c>
    </row>
    <row r="744">
      <c r="A744" s="3">
        <f>IFERROR(__xludf.DUMMYFUNCTION("""COMPUTED_VALUE"""),44663.0)</f>
        <v>44663</v>
      </c>
      <c r="B744" s="1">
        <f t="shared" ref="B744:U744" si="743">IF($A744&gt;0,Megyeinapi!B744/'megyelakosság'!B$2*100000," ")</f>
        <v>8.960216638</v>
      </c>
      <c r="C744" s="1">
        <f t="shared" si="743"/>
        <v>22.83429265</v>
      </c>
      <c r="D744" s="1">
        <f t="shared" si="743"/>
        <v>20.57227221</v>
      </c>
      <c r="E744" s="1">
        <f t="shared" si="743"/>
        <v>9.732146221</v>
      </c>
      <c r="F744" s="1">
        <f t="shared" si="743"/>
        <v>17.36928471</v>
      </c>
      <c r="G744" s="1">
        <f t="shared" si="743"/>
        <v>9.790827752</v>
      </c>
      <c r="H744" s="1">
        <f t="shared" si="743"/>
        <v>13.37783055</v>
      </c>
      <c r="I744" s="1">
        <f t="shared" si="743"/>
        <v>15.42880452</v>
      </c>
      <c r="J744" s="1">
        <f t="shared" si="743"/>
        <v>12.34035848</v>
      </c>
      <c r="K744" s="1">
        <f t="shared" si="743"/>
        <v>20.10762693</v>
      </c>
      <c r="L744" s="1">
        <f t="shared" si="743"/>
        <v>13.90005587</v>
      </c>
      <c r="M744" s="1">
        <f t="shared" si="743"/>
        <v>10.2991744</v>
      </c>
      <c r="N744" s="1">
        <f t="shared" si="743"/>
        <v>9.038130277</v>
      </c>
      <c r="O744" s="1">
        <f t="shared" si="743"/>
        <v>16.88379171</v>
      </c>
      <c r="P744" s="1">
        <f t="shared" si="743"/>
        <v>21.00350058</v>
      </c>
      <c r="Q744" s="1">
        <f t="shared" si="743"/>
        <v>23.13178927</v>
      </c>
      <c r="R744" s="1">
        <f t="shared" si="743"/>
        <v>21.34432102</v>
      </c>
      <c r="S744" s="1">
        <f t="shared" si="743"/>
        <v>17.31349626</v>
      </c>
      <c r="T744" s="1">
        <f t="shared" si="743"/>
        <v>15.82848952</v>
      </c>
      <c r="U744" s="1">
        <f t="shared" si="743"/>
        <v>13.84362688</v>
      </c>
    </row>
    <row r="745">
      <c r="A745" s="3">
        <f>IFERROR(__xludf.DUMMYFUNCTION("""COMPUTED_VALUE"""),44664.0)</f>
        <v>44664</v>
      </c>
      <c r="B745" s="1">
        <f t="shared" ref="B745:U745" si="744">IF($A745&gt;0,Megyeinapi!B745/'megyelakosság'!B$2*100000," ")</f>
        <v>27.87622954</v>
      </c>
      <c r="C745" s="1">
        <f t="shared" si="744"/>
        <v>44.55471737</v>
      </c>
      <c r="D745" s="1">
        <f t="shared" si="744"/>
        <v>22.08493928</v>
      </c>
      <c r="E745" s="1">
        <f t="shared" si="744"/>
        <v>21.66187385</v>
      </c>
      <c r="F745" s="1">
        <f t="shared" si="744"/>
        <v>37.82390288</v>
      </c>
      <c r="G745" s="1">
        <f t="shared" si="744"/>
        <v>23.34735848</v>
      </c>
      <c r="H745" s="1">
        <f t="shared" si="744"/>
        <v>15.05005936</v>
      </c>
      <c r="I745" s="1">
        <f t="shared" si="744"/>
        <v>27.47595326</v>
      </c>
      <c r="J745" s="1">
        <f t="shared" si="744"/>
        <v>22.5923486</v>
      </c>
      <c r="K745" s="1">
        <f t="shared" si="744"/>
        <v>23.85650652</v>
      </c>
      <c r="L745" s="1">
        <f t="shared" si="744"/>
        <v>25.07461059</v>
      </c>
      <c r="M745" s="1">
        <f t="shared" si="744"/>
        <v>19.93388594</v>
      </c>
      <c r="N745" s="1">
        <f t="shared" si="744"/>
        <v>18.60791528</v>
      </c>
      <c r="O745" s="1">
        <f t="shared" si="744"/>
        <v>28.60222249</v>
      </c>
      <c r="P745" s="1">
        <f t="shared" si="744"/>
        <v>37.00616769</v>
      </c>
      <c r="Q745" s="1">
        <f t="shared" si="744"/>
        <v>27.50315102</v>
      </c>
      <c r="R745" s="1">
        <f t="shared" si="744"/>
        <v>29.23243966</v>
      </c>
      <c r="S745" s="1">
        <f t="shared" si="744"/>
        <v>37.77490094</v>
      </c>
      <c r="T745" s="1">
        <f t="shared" si="744"/>
        <v>20.81153252</v>
      </c>
      <c r="U745" s="1">
        <f t="shared" si="744"/>
        <v>15.71438727</v>
      </c>
    </row>
    <row r="746">
      <c r="A746" s="3">
        <f>IFERROR(__xludf.DUMMYFUNCTION("""COMPUTED_VALUE"""),44665.0)</f>
        <v>44665</v>
      </c>
      <c r="B746" s="1">
        <f t="shared" ref="B746:U746" si="745">IF($A746&gt;0,Megyeinapi!B746/'megyelakosság'!B$2*100000," ")</f>
        <v>21.10628808</v>
      </c>
      <c r="C746" s="1">
        <f t="shared" si="745"/>
        <v>30.90983518</v>
      </c>
      <c r="D746" s="1">
        <f t="shared" si="745"/>
        <v>17.24440464</v>
      </c>
      <c r="E746" s="1">
        <f t="shared" si="745"/>
        <v>17.89459144</v>
      </c>
      <c r="F746" s="1">
        <f t="shared" si="745"/>
        <v>37.19540902</v>
      </c>
      <c r="G746" s="1">
        <f t="shared" si="745"/>
        <v>27.36410833</v>
      </c>
      <c r="H746" s="1">
        <f t="shared" si="745"/>
        <v>26.99455092</v>
      </c>
      <c r="I746" s="1">
        <f t="shared" si="745"/>
        <v>24.30565096</v>
      </c>
      <c r="J746" s="1">
        <f t="shared" si="745"/>
        <v>25.81982697</v>
      </c>
      <c r="K746" s="1">
        <f t="shared" si="745"/>
        <v>23.51569929</v>
      </c>
      <c r="L746" s="1">
        <f t="shared" si="745"/>
        <v>19.35105818</v>
      </c>
      <c r="M746" s="1">
        <f t="shared" si="745"/>
        <v>20.59834881</v>
      </c>
      <c r="N746" s="1">
        <f t="shared" si="745"/>
        <v>19.13957</v>
      </c>
      <c r="O746" s="1">
        <f t="shared" si="745"/>
        <v>24.36200083</v>
      </c>
      <c r="P746" s="1">
        <f t="shared" si="745"/>
        <v>28.00466744</v>
      </c>
      <c r="Q746" s="1">
        <f t="shared" si="745"/>
        <v>25.31747015</v>
      </c>
      <c r="R746" s="1">
        <f t="shared" si="745"/>
        <v>14.84822332</v>
      </c>
      <c r="S746" s="1">
        <f t="shared" si="745"/>
        <v>39.7423437</v>
      </c>
      <c r="T746" s="1">
        <f t="shared" si="745"/>
        <v>20.22529217</v>
      </c>
      <c r="U746" s="1">
        <f t="shared" si="745"/>
        <v>16.08853935</v>
      </c>
    </row>
    <row r="747">
      <c r="A747" s="3">
        <f>IFERROR(__xludf.DUMMYFUNCTION("""COMPUTED_VALUE"""),44666.0)</f>
        <v>44666</v>
      </c>
      <c r="B747" s="1">
        <f t="shared" ref="B747:U747" si="746">IF($A747&gt;0,Megyeinapi!B747/'megyelakosság'!B$2*100000," ")</f>
        <v>0</v>
      </c>
      <c r="C747" s="1">
        <f t="shared" si="746"/>
        <v>0</v>
      </c>
      <c r="D747" s="1">
        <f t="shared" si="746"/>
        <v>0</v>
      </c>
      <c r="E747" s="1">
        <f t="shared" si="746"/>
        <v>0</v>
      </c>
      <c r="F747" s="1">
        <f t="shared" si="746"/>
        <v>0</v>
      </c>
      <c r="G747" s="1">
        <f t="shared" si="746"/>
        <v>0</v>
      </c>
      <c r="H747" s="1">
        <f t="shared" si="746"/>
        <v>0</v>
      </c>
      <c r="I747" s="1">
        <f t="shared" si="746"/>
        <v>0</v>
      </c>
      <c r="J747" s="1">
        <f t="shared" si="746"/>
        <v>0</v>
      </c>
      <c r="K747" s="1">
        <f t="shared" si="746"/>
        <v>0</v>
      </c>
      <c r="L747" s="1">
        <f t="shared" si="746"/>
        <v>0</v>
      </c>
      <c r="M747" s="1">
        <f t="shared" si="746"/>
        <v>0</v>
      </c>
      <c r="N747" s="1">
        <f t="shared" si="746"/>
        <v>0</v>
      </c>
      <c r="O747" s="1">
        <f t="shared" si="746"/>
        <v>0</v>
      </c>
      <c r="P747" s="1">
        <f t="shared" si="746"/>
        <v>0</v>
      </c>
      <c r="Q747" s="1">
        <f t="shared" si="746"/>
        <v>0</v>
      </c>
      <c r="R747" s="1">
        <f t="shared" si="746"/>
        <v>0</v>
      </c>
      <c r="S747" s="1">
        <f t="shared" si="746"/>
        <v>0</v>
      </c>
      <c r="T747" s="1">
        <f t="shared" si="746"/>
        <v>0</v>
      </c>
      <c r="U747" s="1">
        <f t="shared" si="746"/>
        <v>0</v>
      </c>
    </row>
    <row r="748">
      <c r="A748" s="3">
        <f>IFERROR(__xludf.DUMMYFUNCTION("""COMPUTED_VALUE"""),44667.0)</f>
        <v>44667</v>
      </c>
      <c r="B748" s="1">
        <f t="shared" ref="B748:U748" si="747">IF($A748&gt;0,Megyeinapi!B748/'megyelakosság'!B$2*100000," ")</f>
        <v>0</v>
      </c>
      <c r="C748" s="1">
        <f t="shared" si="747"/>
        <v>0</v>
      </c>
      <c r="D748" s="1">
        <f t="shared" si="747"/>
        <v>0</v>
      </c>
      <c r="E748" s="1">
        <f t="shared" si="747"/>
        <v>0</v>
      </c>
      <c r="F748" s="1">
        <f t="shared" si="747"/>
        <v>0</v>
      </c>
      <c r="G748" s="1">
        <f t="shared" si="747"/>
        <v>0</v>
      </c>
      <c r="H748" s="1">
        <f t="shared" si="747"/>
        <v>0</v>
      </c>
      <c r="I748" s="1">
        <f t="shared" si="747"/>
        <v>0</v>
      </c>
      <c r="J748" s="1">
        <f t="shared" si="747"/>
        <v>0</v>
      </c>
      <c r="K748" s="1">
        <f t="shared" si="747"/>
        <v>0</v>
      </c>
      <c r="L748" s="1">
        <f t="shared" si="747"/>
        <v>0</v>
      </c>
      <c r="M748" s="1">
        <f t="shared" si="747"/>
        <v>0</v>
      </c>
      <c r="N748" s="1">
        <f t="shared" si="747"/>
        <v>0</v>
      </c>
      <c r="O748" s="1">
        <f t="shared" si="747"/>
        <v>0</v>
      </c>
      <c r="P748" s="1">
        <f t="shared" si="747"/>
        <v>0</v>
      </c>
      <c r="Q748" s="1">
        <f t="shared" si="747"/>
        <v>0</v>
      </c>
      <c r="R748" s="1">
        <f t="shared" si="747"/>
        <v>0</v>
      </c>
      <c r="S748" s="1">
        <f t="shared" si="747"/>
        <v>0</v>
      </c>
      <c r="T748" s="1">
        <f t="shared" si="747"/>
        <v>0</v>
      </c>
      <c r="U748" s="1">
        <f t="shared" si="747"/>
        <v>0</v>
      </c>
    </row>
    <row r="749">
      <c r="A749" s="3">
        <f>IFERROR(__xludf.DUMMYFUNCTION("""COMPUTED_VALUE"""),44668.0)</f>
        <v>44668</v>
      </c>
      <c r="B749" s="1">
        <f t="shared" ref="B749:U749" si="748">IF($A749&gt;0,Megyeinapi!B749/'megyelakosság'!B$2*100000," ")</f>
        <v>0</v>
      </c>
      <c r="C749" s="1">
        <f t="shared" si="748"/>
        <v>0</v>
      </c>
      <c r="D749" s="1">
        <f t="shared" si="748"/>
        <v>0</v>
      </c>
      <c r="E749" s="1">
        <f t="shared" si="748"/>
        <v>0</v>
      </c>
      <c r="F749" s="1">
        <f t="shared" si="748"/>
        <v>0</v>
      </c>
      <c r="G749" s="1">
        <f t="shared" si="748"/>
        <v>0</v>
      </c>
      <c r="H749" s="1">
        <f t="shared" si="748"/>
        <v>0</v>
      </c>
      <c r="I749" s="1">
        <f t="shared" si="748"/>
        <v>0</v>
      </c>
      <c r="J749" s="1">
        <f t="shared" si="748"/>
        <v>0</v>
      </c>
      <c r="K749" s="1">
        <f t="shared" si="748"/>
        <v>0</v>
      </c>
      <c r="L749" s="1">
        <f t="shared" si="748"/>
        <v>0</v>
      </c>
      <c r="M749" s="1">
        <f t="shared" si="748"/>
        <v>0</v>
      </c>
      <c r="N749" s="1">
        <f t="shared" si="748"/>
        <v>0</v>
      </c>
      <c r="O749" s="1">
        <f t="shared" si="748"/>
        <v>0</v>
      </c>
      <c r="P749" s="1">
        <f t="shared" si="748"/>
        <v>0</v>
      </c>
      <c r="Q749" s="1">
        <f t="shared" si="748"/>
        <v>0</v>
      </c>
      <c r="R749" s="1">
        <f t="shared" si="748"/>
        <v>0</v>
      </c>
      <c r="S749" s="1">
        <f t="shared" si="748"/>
        <v>0</v>
      </c>
      <c r="T749" s="1">
        <f t="shared" si="748"/>
        <v>0</v>
      </c>
      <c r="U749" s="1">
        <f t="shared" si="748"/>
        <v>0</v>
      </c>
    </row>
    <row r="750">
      <c r="A750" s="3">
        <f>IFERROR(__xludf.DUMMYFUNCTION("""COMPUTED_VALUE"""),44669.0)</f>
        <v>44669</v>
      </c>
      <c r="B750" s="1">
        <f t="shared" ref="B750:U750" si="749">IF($A750&gt;0,Megyeinapi!B750/'megyelakosság'!B$2*100000," ")</f>
        <v>0</v>
      </c>
      <c r="C750" s="1">
        <f t="shared" si="749"/>
        <v>0</v>
      </c>
      <c r="D750" s="1">
        <f t="shared" si="749"/>
        <v>0</v>
      </c>
      <c r="E750" s="1">
        <f t="shared" si="749"/>
        <v>0</v>
      </c>
      <c r="F750" s="1">
        <f t="shared" si="749"/>
        <v>0</v>
      </c>
      <c r="G750" s="1">
        <f t="shared" si="749"/>
        <v>0</v>
      </c>
      <c r="H750" s="1">
        <f t="shared" si="749"/>
        <v>0</v>
      </c>
      <c r="I750" s="1">
        <f t="shared" si="749"/>
        <v>0</v>
      </c>
      <c r="J750" s="1">
        <f t="shared" si="749"/>
        <v>0</v>
      </c>
      <c r="K750" s="1">
        <f t="shared" si="749"/>
        <v>0</v>
      </c>
      <c r="L750" s="1">
        <f t="shared" si="749"/>
        <v>0</v>
      </c>
      <c r="M750" s="1">
        <f t="shared" si="749"/>
        <v>0</v>
      </c>
      <c r="N750" s="1">
        <f t="shared" si="749"/>
        <v>0</v>
      </c>
      <c r="O750" s="1">
        <f t="shared" si="749"/>
        <v>0</v>
      </c>
      <c r="P750" s="1">
        <f t="shared" si="749"/>
        <v>0</v>
      </c>
      <c r="Q750" s="1">
        <f t="shared" si="749"/>
        <v>0</v>
      </c>
      <c r="R750" s="1">
        <f t="shared" si="749"/>
        <v>0</v>
      </c>
      <c r="S750" s="1">
        <f t="shared" si="749"/>
        <v>0</v>
      </c>
      <c r="T750" s="1">
        <f t="shared" si="749"/>
        <v>0</v>
      </c>
      <c r="U750" s="1">
        <f t="shared" si="749"/>
        <v>0</v>
      </c>
    </row>
    <row r="751">
      <c r="A751" s="3">
        <f>IFERROR(__xludf.DUMMYFUNCTION("""COMPUTED_VALUE"""),44670.0)</f>
        <v>44670</v>
      </c>
      <c r="B751" s="1">
        <f t="shared" ref="B751:U751" si="750">IF($A751&gt;0,Megyeinapi!B751/'megyelakosság'!B$2*100000," ")</f>
        <v>41.41611246</v>
      </c>
      <c r="C751" s="1">
        <f t="shared" si="750"/>
        <v>62.09813733</v>
      </c>
      <c r="D751" s="1">
        <f t="shared" si="750"/>
        <v>34.48880929</v>
      </c>
      <c r="E751" s="1">
        <f t="shared" si="750"/>
        <v>34.53342207</v>
      </c>
      <c r="F751" s="1">
        <f t="shared" si="750"/>
        <v>79.24736147</v>
      </c>
      <c r="G751" s="1">
        <f t="shared" si="750"/>
        <v>45.18843578</v>
      </c>
      <c r="H751" s="1">
        <f t="shared" si="750"/>
        <v>47.77796624</v>
      </c>
      <c r="I751" s="1">
        <f t="shared" si="750"/>
        <v>45.86370659</v>
      </c>
      <c r="J751" s="1">
        <f t="shared" si="750"/>
        <v>39.6789988</v>
      </c>
      <c r="K751" s="1">
        <f t="shared" si="750"/>
        <v>39.19283214</v>
      </c>
      <c r="L751" s="1">
        <f t="shared" si="750"/>
        <v>40.06486693</v>
      </c>
      <c r="M751" s="1">
        <f t="shared" si="750"/>
        <v>40.53223475</v>
      </c>
      <c r="N751" s="1">
        <f t="shared" si="750"/>
        <v>31.89928333</v>
      </c>
      <c r="O751" s="1">
        <f t="shared" si="750"/>
        <v>59.20891341</v>
      </c>
      <c r="P751" s="1">
        <f t="shared" si="750"/>
        <v>55.67594599</v>
      </c>
      <c r="Q751" s="1">
        <f t="shared" si="750"/>
        <v>42.98505723</v>
      </c>
      <c r="R751" s="1">
        <f t="shared" si="750"/>
        <v>30.16045361</v>
      </c>
      <c r="S751" s="1">
        <f t="shared" si="750"/>
        <v>59.02328272</v>
      </c>
      <c r="T751" s="1">
        <f t="shared" si="750"/>
        <v>37.51938257</v>
      </c>
      <c r="U751" s="1">
        <f t="shared" si="750"/>
        <v>23.19742883</v>
      </c>
    </row>
    <row r="752">
      <c r="A752" s="3">
        <f>IFERROR(__xludf.DUMMYFUNCTION("""COMPUTED_VALUE"""),44671.0)</f>
        <v>44671</v>
      </c>
      <c r="B752" s="1">
        <f t="shared" ref="B752:U752" si="751">IF($A752&gt;0,Megyeinapi!B752/'megyelakosság'!B$2*100000," ")</f>
        <v>11.74783959</v>
      </c>
      <c r="C752" s="1">
        <f t="shared" si="751"/>
        <v>22.55582567</v>
      </c>
      <c r="D752" s="1">
        <f t="shared" si="751"/>
        <v>16.03427099</v>
      </c>
      <c r="E752" s="1">
        <f t="shared" si="751"/>
        <v>7.534564816</v>
      </c>
      <c r="F752" s="1">
        <f t="shared" si="751"/>
        <v>19.71185271</v>
      </c>
      <c r="G752" s="1">
        <f t="shared" si="751"/>
        <v>16.82013998</v>
      </c>
      <c r="H752" s="1">
        <f t="shared" si="751"/>
        <v>10.03337291</v>
      </c>
      <c r="I752" s="1">
        <f t="shared" si="751"/>
        <v>12.6812092</v>
      </c>
      <c r="J752" s="1">
        <f t="shared" si="751"/>
        <v>13.66932016</v>
      </c>
      <c r="K752" s="1">
        <f t="shared" si="751"/>
        <v>11.58744602</v>
      </c>
      <c r="L752" s="1">
        <f t="shared" si="751"/>
        <v>10.35690438</v>
      </c>
      <c r="M752" s="1">
        <f t="shared" si="751"/>
        <v>12.292563</v>
      </c>
      <c r="N752" s="1">
        <f t="shared" si="751"/>
        <v>5.848201944</v>
      </c>
      <c r="O752" s="1">
        <f t="shared" si="751"/>
        <v>13.64580426</v>
      </c>
      <c r="P752" s="1">
        <f t="shared" si="751"/>
        <v>17.6696116</v>
      </c>
      <c r="Q752" s="1">
        <f t="shared" si="751"/>
        <v>15.48190621</v>
      </c>
      <c r="R752" s="1">
        <f t="shared" si="751"/>
        <v>19.4882931</v>
      </c>
      <c r="S752" s="1">
        <f t="shared" si="751"/>
        <v>11.80465654</v>
      </c>
      <c r="T752" s="1">
        <f t="shared" si="751"/>
        <v>10.84544652</v>
      </c>
      <c r="U752" s="1">
        <f t="shared" si="751"/>
        <v>13.4694748</v>
      </c>
    </row>
    <row r="753">
      <c r="A753" s="3">
        <f>IFERROR(__xludf.DUMMYFUNCTION("""COMPUTED_VALUE"""),44672.0)</f>
        <v>44672</v>
      </c>
      <c r="B753" s="1">
        <f t="shared" ref="B753:U753" si="752">IF($A753&gt;0,Megyeinapi!B753/'megyelakosság'!B$2*100000," ")</f>
        <v>32.85412767</v>
      </c>
      <c r="C753" s="1">
        <f t="shared" si="752"/>
        <v>55.13646275</v>
      </c>
      <c r="D753" s="1">
        <f t="shared" si="752"/>
        <v>30.25334148</v>
      </c>
      <c r="E753" s="1">
        <f t="shared" si="752"/>
        <v>24.17339545</v>
      </c>
      <c r="F753" s="1">
        <f t="shared" si="752"/>
        <v>35.42419907</v>
      </c>
      <c r="G753" s="1">
        <f t="shared" si="752"/>
        <v>24.35154595</v>
      </c>
      <c r="H753" s="1">
        <f t="shared" si="752"/>
        <v>26.27788143</v>
      </c>
      <c r="I753" s="1">
        <f t="shared" si="752"/>
        <v>38.67768805</v>
      </c>
      <c r="J753" s="1">
        <f t="shared" si="752"/>
        <v>20.50398024</v>
      </c>
      <c r="K753" s="1">
        <f t="shared" si="752"/>
        <v>33.05830189</v>
      </c>
      <c r="L753" s="1">
        <f t="shared" si="752"/>
        <v>23.16675979</v>
      </c>
      <c r="M753" s="1">
        <f t="shared" si="752"/>
        <v>19.93388594</v>
      </c>
      <c r="N753" s="1">
        <f t="shared" si="752"/>
        <v>20.20287944</v>
      </c>
      <c r="O753" s="1">
        <f t="shared" si="752"/>
        <v>34.61562776</v>
      </c>
      <c r="P753" s="1">
        <f t="shared" si="752"/>
        <v>32.33872312</v>
      </c>
      <c r="Q753" s="1">
        <f t="shared" si="752"/>
        <v>36.24587453</v>
      </c>
      <c r="R753" s="1">
        <f t="shared" si="752"/>
        <v>24.12836289</v>
      </c>
      <c r="S753" s="1">
        <f t="shared" si="752"/>
        <v>36.98792384</v>
      </c>
      <c r="T753" s="1">
        <f t="shared" si="752"/>
        <v>19.63905181</v>
      </c>
      <c r="U753" s="1">
        <f t="shared" si="752"/>
        <v>25.44234129</v>
      </c>
    </row>
    <row r="754">
      <c r="A754" s="3">
        <f>IFERROR(__xludf.DUMMYFUNCTION("""COMPUTED_VALUE"""),44673.0)</f>
        <v>44673</v>
      </c>
      <c r="B754" s="1">
        <f t="shared" ref="B754:U754" si="753">IF($A754&gt;0,Megyeinapi!B754/'megyelakosság'!B$2*100000," ")</f>
        <v>19.11512883</v>
      </c>
      <c r="C754" s="1">
        <f t="shared" si="753"/>
        <v>33.13757104</v>
      </c>
      <c r="D754" s="1">
        <f t="shared" si="753"/>
        <v>20.57227221</v>
      </c>
      <c r="E754" s="1">
        <f t="shared" si="753"/>
        <v>21.97581405</v>
      </c>
      <c r="F754" s="1">
        <f t="shared" si="753"/>
        <v>27.08237155</v>
      </c>
      <c r="G754" s="1">
        <f t="shared" si="753"/>
        <v>18.07537431</v>
      </c>
      <c r="H754" s="1">
        <f t="shared" si="753"/>
        <v>15.52783903</v>
      </c>
      <c r="I754" s="1">
        <f t="shared" si="753"/>
        <v>18.59910682</v>
      </c>
      <c r="J754" s="1">
        <f t="shared" si="753"/>
        <v>13.09976515</v>
      </c>
      <c r="K754" s="1">
        <f t="shared" si="753"/>
        <v>19.76681969</v>
      </c>
      <c r="L754" s="1">
        <f t="shared" si="753"/>
        <v>15.53535656</v>
      </c>
      <c r="M754" s="1">
        <f t="shared" si="753"/>
        <v>13.62148873</v>
      </c>
      <c r="N754" s="1">
        <f t="shared" si="753"/>
        <v>23.39280777</v>
      </c>
      <c r="O754" s="1">
        <f t="shared" si="753"/>
        <v>23.1284818</v>
      </c>
      <c r="P754" s="1">
        <f t="shared" si="753"/>
        <v>20.33672279</v>
      </c>
      <c r="Q754" s="1">
        <f t="shared" si="753"/>
        <v>20.76396832</v>
      </c>
      <c r="R754" s="1">
        <f t="shared" si="753"/>
        <v>13.45620238</v>
      </c>
      <c r="S754" s="1">
        <f t="shared" si="753"/>
        <v>20.46140468</v>
      </c>
      <c r="T754" s="1">
        <f t="shared" si="753"/>
        <v>13.19040794</v>
      </c>
      <c r="U754" s="1">
        <f t="shared" si="753"/>
        <v>20.57836428</v>
      </c>
    </row>
    <row r="755">
      <c r="A755" s="3">
        <f>IFERROR(__xludf.DUMMYFUNCTION("""COMPUTED_VALUE"""),44674.0)</f>
        <v>44674</v>
      </c>
      <c r="B755" s="1">
        <f t="shared" ref="B755:U755" si="754">IF($A755&gt;0,Megyeinapi!B755/'megyelakosság'!B$2*100000," ")</f>
        <v>0</v>
      </c>
      <c r="C755" s="1">
        <f t="shared" si="754"/>
        <v>0</v>
      </c>
      <c r="D755" s="1">
        <f t="shared" si="754"/>
        <v>0</v>
      </c>
      <c r="E755" s="1">
        <f t="shared" si="754"/>
        <v>0</v>
      </c>
      <c r="F755" s="1">
        <f t="shared" si="754"/>
        <v>0</v>
      </c>
      <c r="G755" s="1">
        <f t="shared" si="754"/>
        <v>0</v>
      </c>
      <c r="H755" s="1">
        <f t="shared" si="754"/>
        <v>0</v>
      </c>
      <c r="I755" s="1">
        <f t="shared" si="754"/>
        <v>0</v>
      </c>
      <c r="J755" s="1">
        <f t="shared" si="754"/>
        <v>0</v>
      </c>
      <c r="K755" s="1">
        <f t="shared" si="754"/>
        <v>0</v>
      </c>
      <c r="L755" s="1">
        <f t="shared" si="754"/>
        <v>0</v>
      </c>
      <c r="M755" s="1">
        <f t="shared" si="754"/>
        <v>0</v>
      </c>
      <c r="N755" s="1">
        <f t="shared" si="754"/>
        <v>0</v>
      </c>
      <c r="O755" s="1">
        <f t="shared" si="754"/>
        <v>0</v>
      </c>
      <c r="P755" s="1">
        <f t="shared" si="754"/>
        <v>0</v>
      </c>
      <c r="Q755" s="1">
        <f t="shared" si="754"/>
        <v>0</v>
      </c>
      <c r="R755" s="1">
        <f t="shared" si="754"/>
        <v>0</v>
      </c>
      <c r="S755" s="1">
        <f t="shared" si="754"/>
        <v>0</v>
      </c>
      <c r="T755" s="1">
        <f t="shared" si="754"/>
        <v>0</v>
      </c>
      <c r="U755" s="1">
        <f t="shared" si="754"/>
        <v>0</v>
      </c>
    </row>
    <row r="756">
      <c r="A756" s="3">
        <f>IFERROR(__xludf.DUMMYFUNCTION("""COMPUTED_VALUE"""),44675.0)</f>
        <v>44675</v>
      </c>
      <c r="B756" s="1">
        <f t="shared" ref="B756:U756" si="755">IF($A756&gt;0,Megyeinapi!B756/'megyelakosság'!B$2*100000," ")</f>
        <v>0</v>
      </c>
      <c r="C756" s="1">
        <f t="shared" si="755"/>
        <v>0</v>
      </c>
      <c r="D756" s="1">
        <f t="shared" si="755"/>
        <v>0</v>
      </c>
      <c r="E756" s="1">
        <f t="shared" si="755"/>
        <v>0</v>
      </c>
      <c r="F756" s="1">
        <f t="shared" si="755"/>
        <v>0</v>
      </c>
      <c r="G756" s="1">
        <f t="shared" si="755"/>
        <v>0</v>
      </c>
      <c r="H756" s="1">
        <f t="shared" si="755"/>
        <v>0</v>
      </c>
      <c r="I756" s="1">
        <f t="shared" si="755"/>
        <v>0</v>
      </c>
      <c r="J756" s="1">
        <f t="shared" si="755"/>
        <v>0</v>
      </c>
      <c r="K756" s="1">
        <f t="shared" si="755"/>
        <v>0</v>
      </c>
      <c r="L756" s="1">
        <f t="shared" si="755"/>
        <v>0</v>
      </c>
      <c r="M756" s="1">
        <f t="shared" si="755"/>
        <v>0</v>
      </c>
      <c r="N756" s="1">
        <f t="shared" si="755"/>
        <v>0</v>
      </c>
      <c r="O756" s="1">
        <f t="shared" si="755"/>
        <v>0</v>
      </c>
      <c r="P756" s="1">
        <f t="shared" si="755"/>
        <v>0</v>
      </c>
      <c r="Q756" s="1">
        <f t="shared" si="755"/>
        <v>0</v>
      </c>
      <c r="R756" s="1">
        <f t="shared" si="755"/>
        <v>0</v>
      </c>
      <c r="S756" s="1">
        <f t="shared" si="755"/>
        <v>0</v>
      </c>
      <c r="T756" s="1">
        <f t="shared" si="755"/>
        <v>0</v>
      </c>
      <c r="U756" s="1">
        <f t="shared" si="755"/>
        <v>0</v>
      </c>
    </row>
    <row r="757">
      <c r="A757" s="3">
        <f>IFERROR(__xludf.DUMMYFUNCTION("""COMPUTED_VALUE"""),44676.0)</f>
        <v>44676</v>
      </c>
      <c r="B757" s="1">
        <f t="shared" ref="B757:U757" si="756">IF($A757&gt;0,Megyeinapi!B757/'megyelakosság'!B$2*100000," ")</f>
        <v>29.66827287</v>
      </c>
      <c r="C757" s="1">
        <f t="shared" si="756"/>
        <v>43.9977834</v>
      </c>
      <c r="D757" s="1">
        <f t="shared" si="756"/>
        <v>26.92547392</v>
      </c>
      <c r="E757" s="1">
        <f t="shared" si="756"/>
        <v>20.56308314</v>
      </c>
      <c r="F757" s="1">
        <f t="shared" si="756"/>
        <v>48.22261938</v>
      </c>
      <c r="G757" s="1">
        <f t="shared" si="756"/>
        <v>23.84945222</v>
      </c>
      <c r="H757" s="1">
        <f t="shared" si="756"/>
        <v>26.0389916</v>
      </c>
      <c r="I757" s="1">
        <f t="shared" si="756"/>
        <v>35.50738575</v>
      </c>
      <c r="J757" s="1">
        <f t="shared" si="756"/>
        <v>21.83294192</v>
      </c>
      <c r="K757" s="1">
        <f t="shared" si="756"/>
        <v>38.17041043</v>
      </c>
      <c r="L757" s="1">
        <f t="shared" si="756"/>
        <v>25.89226094</v>
      </c>
      <c r="M757" s="1">
        <f t="shared" si="756"/>
        <v>24.585126</v>
      </c>
      <c r="N757" s="1">
        <f t="shared" si="756"/>
        <v>26.05108139</v>
      </c>
      <c r="O757" s="1">
        <f t="shared" si="756"/>
        <v>38.85584942</v>
      </c>
      <c r="P757" s="1">
        <f t="shared" si="756"/>
        <v>26.67111185</v>
      </c>
      <c r="Q757" s="1">
        <f t="shared" si="756"/>
        <v>37.33871497</v>
      </c>
      <c r="R757" s="1">
        <f t="shared" si="756"/>
        <v>28.76843268</v>
      </c>
      <c r="S757" s="1">
        <f t="shared" si="756"/>
        <v>37.77490094</v>
      </c>
      <c r="T757" s="1">
        <f t="shared" si="756"/>
        <v>34.00194046</v>
      </c>
      <c r="U757" s="1">
        <f t="shared" si="756"/>
        <v>27.68725376</v>
      </c>
    </row>
    <row r="758">
      <c r="A758" s="3">
        <f>IFERROR(__xludf.DUMMYFUNCTION("""COMPUTED_VALUE"""),44677.0)</f>
        <v>44677</v>
      </c>
      <c r="B758" s="1">
        <f t="shared" ref="B758:U758" si="757">IF($A758&gt;0,Megyeinapi!B758/'megyelakosság'!B$2*100000," ")</f>
        <v>14.33634662</v>
      </c>
      <c r="C758" s="1">
        <f t="shared" si="757"/>
        <v>23.11275964</v>
      </c>
      <c r="D758" s="1">
        <f t="shared" si="757"/>
        <v>16.63933781</v>
      </c>
      <c r="E758" s="1">
        <f t="shared" si="757"/>
        <v>10.67396682</v>
      </c>
      <c r="F758" s="1">
        <f t="shared" si="757"/>
        <v>17.48355632</v>
      </c>
      <c r="G758" s="1">
        <f t="shared" si="757"/>
        <v>11.04606208</v>
      </c>
      <c r="H758" s="1">
        <f t="shared" si="757"/>
        <v>10.98893223</v>
      </c>
      <c r="I758" s="1">
        <f t="shared" si="757"/>
        <v>15.42880452</v>
      </c>
      <c r="J758" s="1">
        <f t="shared" si="757"/>
        <v>9.872286782</v>
      </c>
      <c r="K758" s="1">
        <f t="shared" si="757"/>
        <v>11.92825326</v>
      </c>
      <c r="L758" s="1">
        <f t="shared" si="757"/>
        <v>11.71965495</v>
      </c>
      <c r="M758" s="1">
        <f t="shared" si="757"/>
        <v>8.30578581</v>
      </c>
      <c r="N758" s="1">
        <f t="shared" si="757"/>
        <v>13.29136805</v>
      </c>
      <c r="O758" s="1">
        <f t="shared" si="757"/>
        <v>12.33519029</v>
      </c>
      <c r="P758" s="1">
        <f t="shared" si="757"/>
        <v>21.33688948</v>
      </c>
      <c r="Q758" s="1">
        <f t="shared" si="757"/>
        <v>18.57828745</v>
      </c>
      <c r="R758" s="1">
        <f t="shared" si="757"/>
        <v>12.9921954</v>
      </c>
      <c r="S758" s="1">
        <f t="shared" si="757"/>
        <v>11.41116799</v>
      </c>
      <c r="T758" s="1">
        <f t="shared" si="757"/>
        <v>8.207364938</v>
      </c>
      <c r="U758" s="1">
        <f t="shared" si="757"/>
        <v>22.82327675</v>
      </c>
    </row>
    <row r="759">
      <c r="A759" s="3">
        <f>IFERROR(__xludf.DUMMYFUNCTION("""COMPUTED_VALUE"""),44678.0)</f>
        <v>44678</v>
      </c>
      <c r="B759" s="1">
        <f t="shared" ref="B759:U759" si="758">IF($A759&gt;0,Megyeinapi!B759/'megyelakosság'!B$2*100000," ")</f>
        <v>20.11070845</v>
      </c>
      <c r="C759" s="1">
        <f t="shared" si="758"/>
        <v>42.3269815</v>
      </c>
      <c r="D759" s="1">
        <f t="shared" si="758"/>
        <v>15.73173757</v>
      </c>
      <c r="E759" s="1">
        <f t="shared" si="758"/>
        <v>16.95277084</v>
      </c>
      <c r="F759" s="1">
        <f t="shared" si="758"/>
        <v>28.22508765</v>
      </c>
      <c r="G759" s="1">
        <f t="shared" si="758"/>
        <v>19.33060864</v>
      </c>
      <c r="H759" s="1">
        <f t="shared" si="758"/>
        <v>21.02230514</v>
      </c>
      <c r="I759" s="1">
        <f t="shared" si="758"/>
        <v>21.13534866</v>
      </c>
      <c r="J759" s="1">
        <f t="shared" si="758"/>
        <v>19.36487023</v>
      </c>
      <c r="K759" s="1">
        <f t="shared" si="758"/>
        <v>23.51569929</v>
      </c>
      <c r="L759" s="1">
        <f t="shared" si="758"/>
        <v>18.80595795</v>
      </c>
      <c r="M759" s="1">
        <f t="shared" si="758"/>
        <v>17.60826592</v>
      </c>
      <c r="N759" s="1">
        <f t="shared" si="758"/>
        <v>31.89928333</v>
      </c>
      <c r="O759" s="1">
        <f t="shared" si="758"/>
        <v>24.97876034</v>
      </c>
      <c r="P759" s="1">
        <f t="shared" si="758"/>
        <v>18.3363894</v>
      </c>
      <c r="Q759" s="1">
        <f t="shared" si="758"/>
        <v>21.31038854</v>
      </c>
      <c r="R759" s="1">
        <f t="shared" si="758"/>
        <v>25.52038383</v>
      </c>
      <c r="S759" s="1">
        <f t="shared" si="758"/>
        <v>16.52651916</v>
      </c>
      <c r="T759" s="1">
        <f t="shared" si="758"/>
        <v>14.36288864</v>
      </c>
      <c r="U759" s="1">
        <f t="shared" si="758"/>
        <v>19.83006013</v>
      </c>
    </row>
    <row r="760">
      <c r="A760" s="3">
        <f>IFERROR(__xludf.DUMMYFUNCTION("""COMPUTED_VALUE"""),44679.0)</f>
        <v>44679</v>
      </c>
      <c r="B760" s="1">
        <f t="shared" ref="B760:U760" si="759">IF($A760&gt;0,Megyeinapi!B760/'megyelakosság'!B$2*100000," ")</f>
        <v>16.92485365</v>
      </c>
      <c r="C760" s="1">
        <f t="shared" si="759"/>
        <v>28.68209931</v>
      </c>
      <c r="D760" s="1">
        <f t="shared" si="759"/>
        <v>12.40387001</v>
      </c>
      <c r="E760" s="1">
        <f t="shared" si="759"/>
        <v>11.92972763</v>
      </c>
      <c r="F760" s="1">
        <f t="shared" si="759"/>
        <v>21.08311203</v>
      </c>
      <c r="G760" s="1">
        <f t="shared" si="759"/>
        <v>19.07956177</v>
      </c>
      <c r="H760" s="1">
        <f t="shared" si="759"/>
        <v>11.70560173</v>
      </c>
      <c r="I760" s="1">
        <f t="shared" si="759"/>
        <v>17.75369287</v>
      </c>
      <c r="J760" s="1">
        <f t="shared" si="759"/>
        <v>12.15050681</v>
      </c>
      <c r="K760" s="1">
        <f t="shared" si="759"/>
        <v>19.08520522</v>
      </c>
      <c r="L760" s="1">
        <f t="shared" si="759"/>
        <v>16.62555702</v>
      </c>
      <c r="M760" s="1">
        <f t="shared" si="759"/>
        <v>13.62148873</v>
      </c>
      <c r="N760" s="1">
        <f t="shared" si="759"/>
        <v>12.22805861</v>
      </c>
      <c r="O760" s="1">
        <f t="shared" si="759"/>
        <v>19.96758929</v>
      </c>
      <c r="P760" s="1">
        <f t="shared" si="759"/>
        <v>16.66944491</v>
      </c>
      <c r="Q760" s="1">
        <f t="shared" si="759"/>
        <v>20.39968818</v>
      </c>
      <c r="R760" s="1">
        <f t="shared" si="759"/>
        <v>18.56027915</v>
      </c>
      <c r="S760" s="1">
        <f t="shared" si="759"/>
        <v>16.92000771</v>
      </c>
      <c r="T760" s="1">
        <f t="shared" si="759"/>
        <v>16.70785005</v>
      </c>
      <c r="U760" s="1">
        <f t="shared" si="759"/>
        <v>17.58514766</v>
      </c>
    </row>
    <row r="761">
      <c r="A761" s="3">
        <f>IFERROR(__xludf.DUMMYFUNCTION("""COMPUTED_VALUE"""),44680.0)</f>
        <v>44680</v>
      </c>
      <c r="B761" s="1">
        <f t="shared" ref="B761:U761" si="760">IF($A761&gt;0,Megyeinapi!B761/'megyelakosság'!B$2*100000," ")</f>
        <v>0</v>
      </c>
      <c r="C761" s="1">
        <f t="shared" si="760"/>
        <v>0</v>
      </c>
      <c r="D761" s="1">
        <f t="shared" si="760"/>
        <v>0</v>
      </c>
      <c r="E761" s="1">
        <f t="shared" si="760"/>
        <v>0</v>
      </c>
      <c r="F761" s="1">
        <f t="shared" si="760"/>
        <v>0</v>
      </c>
      <c r="G761" s="1">
        <f t="shared" si="760"/>
        <v>0</v>
      </c>
      <c r="H761" s="1">
        <f t="shared" si="760"/>
        <v>0</v>
      </c>
      <c r="I761" s="1">
        <f t="shared" si="760"/>
        <v>0</v>
      </c>
      <c r="J761" s="1">
        <f t="shared" si="760"/>
        <v>0</v>
      </c>
      <c r="K761" s="1">
        <f t="shared" si="760"/>
        <v>0</v>
      </c>
      <c r="L761" s="1">
        <f t="shared" si="760"/>
        <v>0</v>
      </c>
      <c r="M761" s="1">
        <f t="shared" si="760"/>
        <v>0</v>
      </c>
      <c r="N761" s="1">
        <f t="shared" si="760"/>
        <v>0</v>
      </c>
      <c r="O761" s="1">
        <f t="shared" si="760"/>
        <v>0</v>
      </c>
      <c r="P761" s="1">
        <f t="shared" si="760"/>
        <v>0</v>
      </c>
      <c r="Q761" s="1">
        <f t="shared" si="760"/>
        <v>0</v>
      </c>
      <c r="R761" s="1">
        <f t="shared" si="760"/>
        <v>0</v>
      </c>
      <c r="S761" s="1">
        <f t="shared" si="760"/>
        <v>0</v>
      </c>
      <c r="T761" s="1">
        <f t="shared" si="760"/>
        <v>0</v>
      </c>
      <c r="U761" s="1">
        <f t="shared" si="760"/>
        <v>0</v>
      </c>
    </row>
    <row r="762">
      <c r="A762" s="3">
        <f>IFERROR(__xludf.DUMMYFUNCTION("""COMPUTED_VALUE"""),44681.0)</f>
        <v>44681</v>
      </c>
      <c r="B762" s="1">
        <f t="shared" ref="B762:U762" si="761">IF($A762&gt;0,Megyeinapi!B762/'megyelakosság'!B$2*100000," ")</f>
        <v>0</v>
      </c>
      <c r="C762" s="1">
        <f t="shared" si="761"/>
        <v>0</v>
      </c>
      <c r="D762" s="1">
        <f t="shared" si="761"/>
        <v>0</v>
      </c>
      <c r="E762" s="1">
        <f t="shared" si="761"/>
        <v>0</v>
      </c>
      <c r="F762" s="1">
        <f t="shared" si="761"/>
        <v>0</v>
      </c>
      <c r="G762" s="1">
        <f t="shared" si="761"/>
        <v>0</v>
      </c>
      <c r="H762" s="1">
        <f t="shared" si="761"/>
        <v>0</v>
      </c>
      <c r="I762" s="1">
        <f t="shared" si="761"/>
        <v>0</v>
      </c>
      <c r="J762" s="1">
        <f t="shared" si="761"/>
        <v>0</v>
      </c>
      <c r="K762" s="1">
        <f t="shared" si="761"/>
        <v>0</v>
      </c>
      <c r="L762" s="1">
        <f t="shared" si="761"/>
        <v>0</v>
      </c>
      <c r="M762" s="1">
        <f t="shared" si="761"/>
        <v>0</v>
      </c>
      <c r="N762" s="1">
        <f t="shared" si="761"/>
        <v>0</v>
      </c>
      <c r="O762" s="1">
        <f t="shared" si="761"/>
        <v>0</v>
      </c>
      <c r="P762" s="1">
        <f t="shared" si="761"/>
        <v>0</v>
      </c>
      <c r="Q762" s="1">
        <f t="shared" si="761"/>
        <v>0</v>
      </c>
      <c r="R762" s="1">
        <f t="shared" si="761"/>
        <v>0</v>
      </c>
      <c r="S762" s="1">
        <f t="shared" si="761"/>
        <v>0</v>
      </c>
      <c r="T762" s="1">
        <f t="shared" si="761"/>
        <v>0</v>
      </c>
      <c r="U762" s="1">
        <f t="shared" si="761"/>
        <v>0</v>
      </c>
    </row>
    <row r="763">
      <c r="A763" s="3">
        <f>IFERROR(__xludf.DUMMYFUNCTION("""COMPUTED_VALUE"""),44682.0)</f>
        <v>44682</v>
      </c>
      <c r="B763" s="1">
        <f t="shared" ref="B763:U763" si="762">IF($A763&gt;0,Megyeinapi!B763/'megyelakosság'!B$2*100000," ")</f>
        <v>0</v>
      </c>
      <c r="C763" s="1">
        <f t="shared" si="762"/>
        <v>0</v>
      </c>
      <c r="D763" s="1">
        <f t="shared" si="762"/>
        <v>0</v>
      </c>
      <c r="E763" s="1">
        <f t="shared" si="762"/>
        <v>0</v>
      </c>
      <c r="F763" s="1">
        <f t="shared" si="762"/>
        <v>0</v>
      </c>
      <c r="G763" s="1">
        <f t="shared" si="762"/>
        <v>0</v>
      </c>
      <c r="H763" s="1">
        <f t="shared" si="762"/>
        <v>0</v>
      </c>
      <c r="I763" s="1">
        <f t="shared" si="762"/>
        <v>0</v>
      </c>
      <c r="J763" s="1">
        <f t="shared" si="762"/>
        <v>0</v>
      </c>
      <c r="K763" s="1">
        <f t="shared" si="762"/>
        <v>0</v>
      </c>
      <c r="L763" s="1">
        <f t="shared" si="762"/>
        <v>0</v>
      </c>
      <c r="M763" s="1">
        <f t="shared" si="762"/>
        <v>0</v>
      </c>
      <c r="N763" s="1">
        <f t="shared" si="762"/>
        <v>0</v>
      </c>
      <c r="O763" s="1">
        <f t="shared" si="762"/>
        <v>0</v>
      </c>
      <c r="P763" s="1">
        <f t="shared" si="762"/>
        <v>0</v>
      </c>
      <c r="Q763" s="1">
        <f t="shared" si="762"/>
        <v>0</v>
      </c>
      <c r="R763" s="1">
        <f t="shared" si="762"/>
        <v>0</v>
      </c>
      <c r="S763" s="1">
        <f t="shared" si="762"/>
        <v>0</v>
      </c>
      <c r="T763" s="1">
        <f t="shared" si="762"/>
        <v>0</v>
      </c>
      <c r="U763" s="1">
        <f t="shared" si="762"/>
        <v>0</v>
      </c>
    </row>
    <row r="764">
      <c r="A764" s="3">
        <f>IFERROR(__xludf.DUMMYFUNCTION("""COMPUTED_VALUE"""),44683.0)</f>
        <v>44683</v>
      </c>
      <c r="B764" s="1">
        <f t="shared" ref="B764:U764" si="763">IF($A764&gt;0,Megyeinapi!B764/'megyelakosság'!B$2*100000," ")</f>
        <v>37.23467803</v>
      </c>
      <c r="C764" s="1">
        <f t="shared" si="763"/>
        <v>49.28865609</v>
      </c>
      <c r="D764" s="1">
        <f t="shared" si="763"/>
        <v>22.99253953</v>
      </c>
      <c r="E764" s="1">
        <f t="shared" si="763"/>
        <v>22.28975425</v>
      </c>
      <c r="F764" s="1">
        <f t="shared" si="763"/>
        <v>54.39328631</v>
      </c>
      <c r="G764" s="1">
        <f t="shared" si="763"/>
        <v>32.13399877</v>
      </c>
      <c r="H764" s="1">
        <f t="shared" si="763"/>
        <v>28.66677974</v>
      </c>
      <c r="I764" s="1">
        <f t="shared" si="763"/>
        <v>35.50738575</v>
      </c>
      <c r="J764" s="1">
        <f t="shared" si="763"/>
        <v>23.1619036</v>
      </c>
      <c r="K764" s="1">
        <f t="shared" si="763"/>
        <v>30.67265124</v>
      </c>
      <c r="L764" s="1">
        <f t="shared" si="763"/>
        <v>30.79816301</v>
      </c>
      <c r="M764" s="1">
        <f t="shared" si="763"/>
        <v>27.57520889</v>
      </c>
      <c r="N764" s="1">
        <f t="shared" si="763"/>
        <v>28.709355</v>
      </c>
      <c r="O764" s="1">
        <f t="shared" si="763"/>
        <v>41.32288748</v>
      </c>
      <c r="P764" s="1">
        <f t="shared" si="763"/>
        <v>30.33838973</v>
      </c>
      <c r="Q764" s="1">
        <f t="shared" si="763"/>
        <v>32.78521314</v>
      </c>
      <c r="R764" s="1">
        <f t="shared" si="763"/>
        <v>26.91240476</v>
      </c>
      <c r="S764" s="1">
        <f t="shared" si="763"/>
        <v>37.38141239</v>
      </c>
      <c r="T764" s="1">
        <f t="shared" si="763"/>
        <v>29.31201763</v>
      </c>
      <c r="U764" s="1">
        <f t="shared" si="763"/>
        <v>35.5444474</v>
      </c>
    </row>
    <row r="765">
      <c r="A765" s="3">
        <f>IFERROR(__xludf.DUMMYFUNCTION("""COMPUTED_VALUE"""),44684.0)</f>
        <v>44684</v>
      </c>
      <c r="B765" s="1">
        <f t="shared" ref="B765:U765" si="764">IF($A765&gt;0,Megyeinapi!B765/'megyelakosság'!B$2*100000," ")</f>
        <v>0</v>
      </c>
      <c r="C765" s="1">
        <f t="shared" si="764"/>
        <v>0</v>
      </c>
      <c r="D765" s="1">
        <f t="shared" si="764"/>
        <v>0</v>
      </c>
      <c r="E765" s="1">
        <f t="shared" si="764"/>
        <v>0</v>
      </c>
      <c r="F765" s="1">
        <f t="shared" si="764"/>
        <v>0</v>
      </c>
      <c r="G765" s="1">
        <f t="shared" si="764"/>
        <v>0</v>
      </c>
      <c r="H765" s="1">
        <f t="shared" si="764"/>
        <v>0</v>
      </c>
      <c r="I765" s="1">
        <f t="shared" si="764"/>
        <v>0</v>
      </c>
      <c r="J765" s="1">
        <f t="shared" si="764"/>
        <v>0</v>
      </c>
      <c r="K765" s="1">
        <f t="shared" si="764"/>
        <v>0</v>
      </c>
      <c r="L765" s="1">
        <f t="shared" si="764"/>
        <v>0</v>
      </c>
      <c r="M765" s="1">
        <f t="shared" si="764"/>
        <v>0</v>
      </c>
      <c r="N765" s="1">
        <f t="shared" si="764"/>
        <v>0</v>
      </c>
      <c r="O765" s="1">
        <f t="shared" si="764"/>
        <v>0</v>
      </c>
      <c r="P765" s="1">
        <f t="shared" si="764"/>
        <v>0</v>
      </c>
      <c r="Q765" s="1">
        <f t="shared" si="764"/>
        <v>0</v>
      </c>
      <c r="R765" s="1">
        <f t="shared" si="764"/>
        <v>0</v>
      </c>
      <c r="S765" s="1">
        <f t="shared" si="764"/>
        <v>0</v>
      </c>
      <c r="T765" s="1">
        <f t="shared" si="764"/>
        <v>0</v>
      </c>
      <c r="U765" s="1">
        <f t="shared" si="764"/>
        <v>0</v>
      </c>
    </row>
    <row r="766">
      <c r="A766" s="3">
        <f>IFERROR(__xludf.DUMMYFUNCTION("""COMPUTED_VALUE"""),44685.0)</f>
        <v>44685</v>
      </c>
      <c r="B766" s="1">
        <f t="shared" ref="B766:U766" si="765">IF($A766&gt;0,Megyeinapi!B766/'megyelakosság'!B$2*100000," ")</f>
        <v>0</v>
      </c>
      <c r="C766" s="1">
        <f t="shared" si="765"/>
        <v>0</v>
      </c>
      <c r="D766" s="1">
        <f t="shared" si="765"/>
        <v>0</v>
      </c>
      <c r="E766" s="1">
        <f t="shared" si="765"/>
        <v>0</v>
      </c>
      <c r="F766" s="1">
        <f t="shared" si="765"/>
        <v>0</v>
      </c>
      <c r="G766" s="1">
        <f t="shared" si="765"/>
        <v>0</v>
      </c>
      <c r="H766" s="1">
        <f t="shared" si="765"/>
        <v>0</v>
      </c>
      <c r="I766" s="1">
        <f t="shared" si="765"/>
        <v>0</v>
      </c>
      <c r="J766" s="1">
        <f t="shared" si="765"/>
        <v>0</v>
      </c>
      <c r="K766" s="1">
        <f t="shared" si="765"/>
        <v>0</v>
      </c>
      <c r="L766" s="1">
        <f t="shared" si="765"/>
        <v>0</v>
      </c>
      <c r="M766" s="1">
        <f t="shared" si="765"/>
        <v>0</v>
      </c>
      <c r="N766" s="1">
        <f t="shared" si="765"/>
        <v>0</v>
      </c>
      <c r="O766" s="1">
        <f t="shared" si="765"/>
        <v>0</v>
      </c>
      <c r="P766" s="1">
        <f t="shared" si="765"/>
        <v>0</v>
      </c>
      <c r="Q766" s="1">
        <f t="shared" si="765"/>
        <v>0</v>
      </c>
      <c r="R766" s="1">
        <f t="shared" si="765"/>
        <v>0</v>
      </c>
      <c r="S766" s="1">
        <f t="shared" si="765"/>
        <v>0</v>
      </c>
      <c r="T766" s="1">
        <f t="shared" si="765"/>
        <v>0</v>
      </c>
      <c r="U766" s="1">
        <f t="shared" si="765"/>
        <v>0</v>
      </c>
    </row>
    <row r="767">
      <c r="A767" s="3">
        <f>IFERROR(__xludf.DUMMYFUNCTION("""COMPUTED_VALUE"""),44686.0)</f>
        <v>44686</v>
      </c>
      <c r="B767" s="1">
        <f t="shared" ref="B767:U767" si="766">IF($A767&gt;0,Megyeinapi!B767/'megyelakosság'!B$2*100000," ")</f>
        <v>0</v>
      </c>
      <c r="C767" s="1">
        <f t="shared" si="766"/>
        <v>0</v>
      </c>
      <c r="D767" s="1">
        <f t="shared" si="766"/>
        <v>0</v>
      </c>
      <c r="E767" s="1">
        <f t="shared" si="766"/>
        <v>0</v>
      </c>
      <c r="F767" s="1">
        <f t="shared" si="766"/>
        <v>0</v>
      </c>
      <c r="G767" s="1">
        <f t="shared" si="766"/>
        <v>0</v>
      </c>
      <c r="H767" s="1">
        <f t="shared" si="766"/>
        <v>0</v>
      </c>
      <c r="I767" s="1">
        <f t="shared" si="766"/>
        <v>0</v>
      </c>
      <c r="J767" s="1">
        <f t="shared" si="766"/>
        <v>0</v>
      </c>
      <c r="K767" s="1">
        <f t="shared" si="766"/>
        <v>0</v>
      </c>
      <c r="L767" s="1">
        <f t="shared" si="766"/>
        <v>0</v>
      </c>
      <c r="M767" s="1">
        <f t="shared" si="766"/>
        <v>0</v>
      </c>
      <c r="N767" s="1">
        <f t="shared" si="766"/>
        <v>0</v>
      </c>
      <c r="O767" s="1">
        <f t="shared" si="766"/>
        <v>0</v>
      </c>
      <c r="P767" s="1">
        <f t="shared" si="766"/>
        <v>0</v>
      </c>
      <c r="Q767" s="1">
        <f t="shared" si="766"/>
        <v>0</v>
      </c>
      <c r="R767" s="1">
        <f t="shared" si="766"/>
        <v>0</v>
      </c>
      <c r="S767" s="1">
        <f t="shared" si="766"/>
        <v>0</v>
      </c>
      <c r="T767" s="1">
        <f t="shared" si="766"/>
        <v>0</v>
      </c>
      <c r="U767" s="1">
        <f t="shared" si="766"/>
        <v>0</v>
      </c>
    </row>
    <row r="768">
      <c r="A768" s="3">
        <f>IFERROR(__xludf.DUMMYFUNCTION("""COMPUTED_VALUE"""),44687.0)</f>
        <v>44687</v>
      </c>
      <c r="B768" s="1">
        <f t="shared" ref="B768:U768" si="767">IF($A768&gt;0,Megyeinapi!B768/'megyelakosság'!B$2*100000," ")</f>
        <v>0</v>
      </c>
      <c r="C768" s="1">
        <f t="shared" si="767"/>
        <v>0</v>
      </c>
      <c r="D768" s="1">
        <f t="shared" si="767"/>
        <v>0</v>
      </c>
      <c r="E768" s="1">
        <f t="shared" si="767"/>
        <v>0</v>
      </c>
      <c r="F768" s="1">
        <f t="shared" si="767"/>
        <v>0</v>
      </c>
      <c r="G768" s="1">
        <f t="shared" si="767"/>
        <v>0</v>
      </c>
      <c r="H768" s="1">
        <f t="shared" si="767"/>
        <v>0</v>
      </c>
      <c r="I768" s="1">
        <f t="shared" si="767"/>
        <v>0</v>
      </c>
      <c r="J768" s="1">
        <f t="shared" si="767"/>
        <v>0</v>
      </c>
      <c r="K768" s="1">
        <f t="shared" si="767"/>
        <v>0</v>
      </c>
      <c r="L768" s="1">
        <f t="shared" si="767"/>
        <v>0</v>
      </c>
      <c r="M768" s="1">
        <f t="shared" si="767"/>
        <v>0</v>
      </c>
      <c r="N768" s="1">
        <f t="shared" si="767"/>
        <v>0</v>
      </c>
      <c r="O768" s="1">
        <f t="shared" si="767"/>
        <v>0</v>
      </c>
      <c r="P768" s="1">
        <f t="shared" si="767"/>
        <v>0</v>
      </c>
      <c r="Q768" s="1">
        <f t="shared" si="767"/>
        <v>0</v>
      </c>
      <c r="R768" s="1">
        <f t="shared" si="767"/>
        <v>0</v>
      </c>
      <c r="S768" s="1">
        <f t="shared" si="767"/>
        <v>0</v>
      </c>
      <c r="T768" s="1">
        <f t="shared" si="767"/>
        <v>0</v>
      </c>
      <c r="U768" s="1">
        <f t="shared" si="767"/>
        <v>0</v>
      </c>
    </row>
    <row r="769">
      <c r="A769" s="3">
        <f>IFERROR(__xludf.DUMMYFUNCTION("""COMPUTED_VALUE"""),44688.0)</f>
        <v>44688</v>
      </c>
      <c r="B769" s="1">
        <f t="shared" ref="B769:U769" si="768">IF($A769&gt;0,Megyeinapi!B769/'megyelakosság'!B$2*100000," ")</f>
        <v>0</v>
      </c>
      <c r="C769" s="1">
        <f t="shared" si="768"/>
        <v>0</v>
      </c>
      <c r="D769" s="1">
        <f t="shared" si="768"/>
        <v>0</v>
      </c>
      <c r="E769" s="1">
        <f t="shared" si="768"/>
        <v>0</v>
      </c>
      <c r="F769" s="1">
        <f t="shared" si="768"/>
        <v>0</v>
      </c>
      <c r="G769" s="1">
        <f t="shared" si="768"/>
        <v>0</v>
      </c>
      <c r="H769" s="1">
        <f t="shared" si="768"/>
        <v>0</v>
      </c>
      <c r="I769" s="1">
        <f t="shared" si="768"/>
        <v>0</v>
      </c>
      <c r="J769" s="1">
        <f t="shared" si="768"/>
        <v>0</v>
      </c>
      <c r="K769" s="1">
        <f t="shared" si="768"/>
        <v>0</v>
      </c>
      <c r="L769" s="1">
        <f t="shared" si="768"/>
        <v>0</v>
      </c>
      <c r="M769" s="1">
        <f t="shared" si="768"/>
        <v>0</v>
      </c>
      <c r="N769" s="1">
        <f t="shared" si="768"/>
        <v>0</v>
      </c>
      <c r="O769" s="1">
        <f t="shared" si="768"/>
        <v>0</v>
      </c>
      <c r="P769" s="1">
        <f t="shared" si="768"/>
        <v>0</v>
      </c>
      <c r="Q769" s="1">
        <f t="shared" si="768"/>
        <v>0</v>
      </c>
      <c r="R769" s="1">
        <f t="shared" si="768"/>
        <v>0</v>
      </c>
      <c r="S769" s="1">
        <f t="shared" si="768"/>
        <v>0</v>
      </c>
      <c r="T769" s="1">
        <f t="shared" si="768"/>
        <v>0</v>
      </c>
      <c r="U769" s="1">
        <f t="shared" si="768"/>
        <v>0</v>
      </c>
    </row>
    <row r="770">
      <c r="A770" s="3">
        <f>IFERROR(__xludf.DUMMYFUNCTION("""COMPUTED_VALUE"""),44689.0)</f>
        <v>44689</v>
      </c>
      <c r="B770" s="1">
        <f t="shared" ref="B770:U770" si="769">IF($A770&gt;0,Megyeinapi!B770/'megyelakosság'!B$2*100000," ")</f>
        <v>0</v>
      </c>
      <c r="C770" s="1">
        <f t="shared" si="769"/>
        <v>0</v>
      </c>
      <c r="D770" s="1">
        <f t="shared" si="769"/>
        <v>0</v>
      </c>
      <c r="E770" s="1">
        <f t="shared" si="769"/>
        <v>0</v>
      </c>
      <c r="F770" s="1">
        <f t="shared" si="769"/>
        <v>0</v>
      </c>
      <c r="G770" s="1">
        <f t="shared" si="769"/>
        <v>0</v>
      </c>
      <c r="H770" s="1">
        <f t="shared" si="769"/>
        <v>0</v>
      </c>
      <c r="I770" s="1">
        <f t="shared" si="769"/>
        <v>0</v>
      </c>
      <c r="J770" s="1">
        <f t="shared" si="769"/>
        <v>0</v>
      </c>
      <c r="K770" s="1">
        <f t="shared" si="769"/>
        <v>0</v>
      </c>
      <c r="L770" s="1">
        <f t="shared" si="769"/>
        <v>0</v>
      </c>
      <c r="M770" s="1">
        <f t="shared" si="769"/>
        <v>0</v>
      </c>
      <c r="N770" s="1">
        <f t="shared" si="769"/>
        <v>0</v>
      </c>
      <c r="O770" s="1">
        <f t="shared" si="769"/>
        <v>0</v>
      </c>
      <c r="P770" s="1">
        <f t="shared" si="769"/>
        <v>0</v>
      </c>
      <c r="Q770" s="1">
        <f t="shared" si="769"/>
        <v>0</v>
      </c>
      <c r="R770" s="1">
        <f t="shared" si="769"/>
        <v>0</v>
      </c>
      <c r="S770" s="1">
        <f t="shared" si="769"/>
        <v>0</v>
      </c>
      <c r="T770" s="1">
        <f t="shared" si="769"/>
        <v>0</v>
      </c>
      <c r="U770" s="1">
        <f t="shared" si="769"/>
        <v>0</v>
      </c>
    </row>
    <row r="771">
      <c r="A771" s="3">
        <f>IFERROR(__xludf.DUMMYFUNCTION("""COMPUTED_VALUE"""),44690.0)</f>
        <v>44690</v>
      </c>
      <c r="B771" s="1">
        <f t="shared" ref="B771:U771" si="770">IF($A771&gt;0,Megyeinapi!B771/'megyelakosság'!B$2*100000," ")</f>
        <v>0</v>
      </c>
      <c r="C771" s="1">
        <f t="shared" si="770"/>
        <v>0</v>
      </c>
      <c r="D771" s="1">
        <f t="shared" si="770"/>
        <v>0</v>
      </c>
      <c r="E771" s="1">
        <f t="shared" si="770"/>
        <v>0</v>
      </c>
      <c r="F771" s="1">
        <f t="shared" si="770"/>
        <v>0</v>
      </c>
      <c r="G771" s="1">
        <f t="shared" si="770"/>
        <v>0</v>
      </c>
      <c r="H771" s="1">
        <f t="shared" si="770"/>
        <v>0</v>
      </c>
      <c r="I771" s="1">
        <f t="shared" si="770"/>
        <v>0</v>
      </c>
      <c r="J771" s="1">
        <f t="shared" si="770"/>
        <v>0</v>
      </c>
      <c r="K771" s="1">
        <f t="shared" si="770"/>
        <v>0</v>
      </c>
      <c r="L771" s="1">
        <f t="shared" si="770"/>
        <v>0</v>
      </c>
      <c r="M771" s="1">
        <f t="shared" si="770"/>
        <v>0</v>
      </c>
      <c r="N771" s="1">
        <f t="shared" si="770"/>
        <v>0</v>
      </c>
      <c r="O771" s="1">
        <f t="shared" si="770"/>
        <v>0</v>
      </c>
      <c r="P771" s="1">
        <f t="shared" si="770"/>
        <v>0</v>
      </c>
      <c r="Q771" s="1">
        <f t="shared" si="770"/>
        <v>0</v>
      </c>
      <c r="R771" s="1">
        <f t="shared" si="770"/>
        <v>0</v>
      </c>
      <c r="S771" s="1">
        <f t="shared" si="770"/>
        <v>0</v>
      </c>
      <c r="T771" s="1">
        <f t="shared" si="770"/>
        <v>0</v>
      </c>
      <c r="U771" s="1">
        <f t="shared" si="770"/>
        <v>0</v>
      </c>
    </row>
    <row r="772">
      <c r="A772" s="3">
        <f>IFERROR(__xludf.DUMMYFUNCTION("""COMPUTED_VALUE"""),44691.0)</f>
        <v>44691</v>
      </c>
      <c r="B772" s="1">
        <f t="shared" ref="B772:U772" si="771">IF($A772&gt;0,Megyeinapi!B772/'megyelakosság'!B$2*100000," ")</f>
        <v>0</v>
      </c>
      <c r="C772" s="1">
        <f t="shared" si="771"/>
        <v>0</v>
      </c>
      <c r="D772" s="1">
        <f t="shared" si="771"/>
        <v>0</v>
      </c>
      <c r="E772" s="1">
        <f t="shared" si="771"/>
        <v>0</v>
      </c>
      <c r="F772" s="1">
        <f t="shared" si="771"/>
        <v>0</v>
      </c>
      <c r="G772" s="1">
        <f t="shared" si="771"/>
        <v>0</v>
      </c>
      <c r="H772" s="1">
        <f t="shared" si="771"/>
        <v>0</v>
      </c>
      <c r="I772" s="1">
        <f t="shared" si="771"/>
        <v>0</v>
      </c>
      <c r="J772" s="1">
        <f t="shared" si="771"/>
        <v>0</v>
      </c>
      <c r="K772" s="1">
        <f t="shared" si="771"/>
        <v>0</v>
      </c>
      <c r="L772" s="1">
        <f t="shared" si="771"/>
        <v>0</v>
      </c>
      <c r="M772" s="1">
        <f t="shared" si="771"/>
        <v>0</v>
      </c>
      <c r="N772" s="1">
        <f t="shared" si="771"/>
        <v>0</v>
      </c>
      <c r="O772" s="1">
        <f t="shared" si="771"/>
        <v>0</v>
      </c>
      <c r="P772" s="1">
        <f t="shared" si="771"/>
        <v>0</v>
      </c>
      <c r="Q772" s="1">
        <f t="shared" si="771"/>
        <v>0</v>
      </c>
      <c r="R772" s="1">
        <f t="shared" si="771"/>
        <v>0</v>
      </c>
      <c r="S772" s="1">
        <f t="shared" si="771"/>
        <v>0</v>
      </c>
      <c r="T772" s="1">
        <f t="shared" si="771"/>
        <v>0</v>
      </c>
      <c r="U772" s="1">
        <f t="shared" si="771"/>
        <v>0</v>
      </c>
    </row>
    <row r="773">
      <c r="A773" s="3">
        <f>IFERROR(__xludf.DUMMYFUNCTION("""COMPUTED_VALUE"""),44692.0)</f>
        <v>44692</v>
      </c>
      <c r="B773" s="1">
        <f t="shared" ref="B773:U773" si="772">IF($A773&gt;0,Megyeinapi!B773/'megyelakosság'!B$2*100000," ")</f>
        <v>67.30118275</v>
      </c>
      <c r="C773" s="1">
        <f t="shared" si="772"/>
        <v>85.21089697</v>
      </c>
      <c r="D773" s="1">
        <f t="shared" si="772"/>
        <v>66.85988467</v>
      </c>
      <c r="E773" s="1">
        <f t="shared" si="772"/>
        <v>45.0504188</v>
      </c>
      <c r="F773" s="1">
        <f t="shared" si="772"/>
        <v>94.44548559</v>
      </c>
      <c r="G773" s="1">
        <f t="shared" si="772"/>
        <v>65.02113815</v>
      </c>
      <c r="H773" s="1">
        <f t="shared" si="772"/>
        <v>61.15579678</v>
      </c>
      <c r="I773" s="1">
        <f t="shared" si="772"/>
        <v>68.26717617</v>
      </c>
      <c r="J773" s="1">
        <f t="shared" si="772"/>
        <v>46.70351055</v>
      </c>
      <c r="K773" s="1">
        <f t="shared" si="772"/>
        <v>71.22871233</v>
      </c>
      <c r="L773" s="1">
        <f t="shared" si="772"/>
        <v>53.14727245</v>
      </c>
      <c r="M773" s="1">
        <f t="shared" si="772"/>
        <v>58.47273211</v>
      </c>
      <c r="N773" s="1">
        <f t="shared" si="772"/>
        <v>59.54532888</v>
      </c>
      <c r="O773" s="1">
        <f t="shared" si="772"/>
        <v>71.38991382</v>
      </c>
      <c r="P773" s="1">
        <f t="shared" si="772"/>
        <v>66.34439073</v>
      </c>
      <c r="Q773" s="1">
        <f t="shared" si="772"/>
        <v>66.29898657</v>
      </c>
      <c r="R773" s="1">
        <f t="shared" si="772"/>
        <v>61.24892118</v>
      </c>
      <c r="S773" s="1">
        <f t="shared" si="772"/>
        <v>64.53212244</v>
      </c>
      <c r="T773" s="1">
        <f t="shared" si="772"/>
        <v>50.41667033</v>
      </c>
      <c r="U773" s="1">
        <f t="shared" si="772"/>
        <v>78.57193635</v>
      </c>
    </row>
    <row r="774">
      <c r="A774" s="3">
        <f>IFERROR(__xludf.DUMMYFUNCTION("""COMPUTED_VALUE"""),44693.0)</f>
        <v>44693</v>
      </c>
      <c r="B774" s="1">
        <f t="shared" ref="B774:U774" si="773">IF($A774&gt;0,Megyeinapi!B774/'megyelakosság'!B$2*100000," ")</f>
        <v>0</v>
      </c>
      <c r="C774" s="1">
        <f t="shared" si="773"/>
        <v>0</v>
      </c>
      <c r="D774" s="1">
        <f t="shared" si="773"/>
        <v>0</v>
      </c>
      <c r="E774" s="1">
        <f t="shared" si="773"/>
        <v>0</v>
      </c>
      <c r="F774" s="1">
        <f t="shared" si="773"/>
        <v>0</v>
      </c>
      <c r="G774" s="1">
        <f t="shared" si="773"/>
        <v>0</v>
      </c>
      <c r="H774" s="1">
        <f t="shared" si="773"/>
        <v>0</v>
      </c>
      <c r="I774" s="1">
        <f t="shared" si="773"/>
        <v>0</v>
      </c>
      <c r="J774" s="1">
        <f t="shared" si="773"/>
        <v>0</v>
      </c>
      <c r="K774" s="1">
        <f t="shared" si="773"/>
        <v>0</v>
      </c>
      <c r="L774" s="1">
        <f t="shared" si="773"/>
        <v>0</v>
      </c>
      <c r="M774" s="1">
        <f t="shared" si="773"/>
        <v>0</v>
      </c>
      <c r="N774" s="1">
        <f t="shared" si="773"/>
        <v>0</v>
      </c>
      <c r="O774" s="1">
        <f t="shared" si="773"/>
        <v>0</v>
      </c>
      <c r="P774" s="1">
        <f t="shared" si="773"/>
        <v>0</v>
      </c>
      <c r="Q774" s="1">
        <f t="shared" si="773"/>
        <v>0</v>
      </c>
      <c r="R774" s="1">
        <f t="shared" si="773"/>
        <v>0</v>
      </c>
      <c r="S774" s="1">
        <f t="shared" si="773"/>
        <v>0</v>
      </c>
      <c r="T774" s="1">
        <f t="shared" si="773"/>
        <v>0</v>
      </c>
      <c r="U774" s="1">
        <f t="shared" si="773"/>
        <v>0</v>
      </c>
    </row>
    <row r="775">
      <c r="A775" s="3">
        <f>IFERROR(__xludf.DUMMYFUNCTION("""COMPUTED_VALUE"""),44694.0)</f>
        <v>44694</v>
      </c>
      <c r="B775" s="1">
        <f t="shared" ref="B775:U775" si="774">IF($A775&gt;0,Megyeinapi!B775/'megyelakosság'!B$2*100000," ")</f>
        <v>0</v>
      </c>
      <c r="C775" s="1">
        <f t="shared" si="774"/>
        <v>0</v>
      </c>
      <c r="D775" s="1">
        <f t="shared" si="774"/>
        <v>0</v>
      </c>
      <c r="E775" s="1">
        <f t="shared" si="774"/>
        <v>0</v>
      </c>
      <c r="F775" s="1">
        <f t="shared" si="774"/>
        <v>0</v>
      </c>
      <c r="G775" s="1">
        <f t="shared" si="774"/>
        <v>0</v>
      </c>
      <c r="H775" s="1">
        <f t="shared" si="774"/>
        <v>0</v>
      </c>
      <c r="I775" s="1">
        <f t="shared" si="774"/>
        <v>0</v>
      </c>
      <c r="J775" s="1">
        <f t="shared" si="774"/>
        <v>0</v>
      </c>
      <c r="K775" s="1">
        <f t="shared" si="774"/>
        <v>0</v>
      </c>
      <c r="L775" s="1">
        <f t="shared" si="774"/>
        <v>0</v>
      </c>
      <c r="M775" s="1">
        <f t="shared" si="774"/>
        <v>0</v>
      </c>
      <c r="N775" s="1">
        <f t="shared" si="774"/>
        <v>0</v>
      </c>
      <c r="O775" s="1">
        <f t="shared" si="774"/>
        <v>0</v>
      </c>
      <c r="P775" s="1">
        <f t="shared" si="774"/>
        <v>0</v>
      </c>
      <c r="Q775" s="1">
        <f t="shared" si="774"/>
        <v>0</v>
      </c>
      <c r="R775" s="1">
        <f t="shared" si="774"/>
        <v>0</v>
      </c>
      <c r="S775" s="1">
        <f t="shared" si="774"/>
        <v>0</v>
      </c>
      <c r="T775" s="1">
        <f t="shared" si="774"/>
        <v>0</v>
      </c>
      <c r="U775" s="1">
        <f t="shared" si="774"/>
        <v>0</v>
      </c>
    </row>
    <row r="776">
      <c r="A776" s="3">
        <f>IFERROR(__xludf.DUMMYFUNCTION("""COMPUTED_VALUE"""),44695.0)</f>
        <v>44695</v>
      </c>
      <c r="B776" s="1">
        <f t="shared" ref="B776:U776" si="775">IF($A776&gt;0,Megyeinapi!B776/'megyelakosság'!B$2*100000," ")</f>
        <v>0</v>
      </c>
      <c r="C776" s="1">
        <f t="shared" si="775"/>
        <v>0</v>
      </c>
      <c r="D776" s="1">
        <f t="shared" si="775"/>
        <v>0</v>
      </c>
      <c r="E776" s="1">
        <f t="shared" si="775"/>
        <v>0</v>
      </c>
      <c r="F776" s="1">
        <f t="shared" si="775"/>
        <v>0</v>
      </c>
      <c r="G776" s="1">
        <f t="shared" si="775"/>
        <v>0</v>
      </c>
      <c r="H776" s="1">
        <f t="shared" si="775"/>
        <v>0</v>
      </c>
      <c r="I776" s="1">
        <f t="shared" si="775"/>
        <v>0</v>
      </c>
      <c r="J776" s="1">
        <f t="shared" si="775"/>
        <v>0</v>
      </c>
      <c r="K776" s="1">
        <f t="shared" si="775"/>
        <v>0</v>
      </c>
      <c r="L776" s="1">
        <f t="shared" si="775"/>
        <v>0</v>
      </c>
      <c r="M776" s="1">
        <f t="shared" si="775"/>
        <v>0</v>
      </c>
      <c r="N776" s="1">
        <f t="shared" si="775"/>
        <v>0</v>
      </c>
      <c r="O776" s="1">
        <f t="shared" si="775"/>
        <v>0</v>
      </c>
      <c r="P776" s="1">
        <f t="shared" si="775"/>
        <v>0</v>
      </c>
      <c r="Q776" s="1">
        <f t="shared" si="775"/>
        <v>0</v>
      </c>
      <c r="R776" s="1">
        <f t="shared" si="775"/>
        <v>0</v>
      </c>
      <c r="S776" s="1">
        <f t="shared" si="775"/>
        <v>0</v>
      </c>
      <c r="T776" s="1">
        <f t="shared" si="775"/>
        <v>0</v>
      </c>
      <c r="U776" s="1">
        <f t="shared" si="775"/>
        <v>0</v>
      </c>
    </row>
    <row r="777">
      <c r="A777" s="3">
        <f>IFERROR(__xludf.DUMMYFUNCTION("""COMPUTED_VALUE"""),44696.0)</f>
        <v>44696</v>
      </c>
      <c r="B777" s="1">
        <f t="shared" ref="B777:U777" si="776">IF($A777&gt;0,Megyeinapi!B777/'megyelakosság'!B$2*100000," ")</f>
        <v>0</v>
      </c>
      <c r="C777" s="1">
        <f t="shared" si="776"/>
        <v>0</v>
      </c>
      <c r="D777" s="1">
        <f t="shared" si="776"/>
        <v>0</v>
      </c>
      <c r="E777" s="1">
        <f t="shared" si="776"/>
        <v>0</v>
      </c>
      <c r="F777" s="1">
        <f t="shared" si="776"/>
        <v>0</v>
      </c>
      <c r="G777" s="1">
        <f t="shared" si="776"/>
        <v>0</v>
      </c>
      <c r="H777" s="1">
        <f t="shared" si="776"/>
        <v>0</v>
      </c>
      <c r="I777" s="1">
        <f t="shared" si="776"/>
        <v>0</v>
      </c>
      <c r="J777" s="1">
        <f t="shared" si="776"/>
        <v>0</v>
      </c>
      <c r="K777" s="1">
        <f t="shared" si="776"/>
        <v>0</v>
      </c>
      <c r="L777" s="1">
        <f t="shared" si="776"/>
        <v>0</v>
      </c>
      <c r="M777" s="1">
        <f t="shared" si="776"/>
        <v>0</v>
      </c>
      <c r="N777" s="1">
        <f t="shared" si="776"/>
        <v>0</v>
      </c>
      <c r="O777" s="1">
        <f t="shared" si="776"/>
        <v>0</v>
      </c>
      <c r="P777" s="1">
        <f t="shared" si="776"/>
        <v>0</v>
      </c>
      <c r="Q777" s="1">
        <f t="shared" si="776"/>
        <v>0</v>
      </c>
      <c r="R777" s="1">
        <f t="shared" si="776"/>
        <v>0</v>
      </c>
      <c r="S777" s="1">
        <f t="shared" si="776"/>
        <v>0</v>
      </c>
      <c r="T777" s="1">
        <f t="shared" si="776"/>
        <v>0</v>
      </c>
      <c r="U777" s="1">
        <f t="shared" si="776"/>
        <v>0</v>
      </c>
    </row>
    <row r="778">
      <c r="A778" s="3">
        <f>IFERROR(__xludf.DUMMYFUNCTION("""COMPUTED_VALUE"""),44697.0)</f>
        <v>44697</v>
      </c>
      <c r="B778" s="1">
        <f t="shared" ref="B778:U778" si="777">IF($A778&gt;0,Megyeinapi!B778/'megyelakosság'!B$2*100000," ")</f>
        <v>0</v>
      </c>
      <c r="C778" s="1">
        <f t="shared" si="777"/>
        <v>0</v>
      </c>
      <c r="D778" s="1">
        <f t="shared" si="777"/>
        <v>0</v>
      </c>
      <c r="E778" s="1">
        <f t="shared" si="777"/>
        <v>0</v>
      </c>
      <c r="F778" s="1">
        <f t="shared" si="777"/>
        <v>0</v>
      </c>
      <c r="G778" s="1">
        <f t="shared" si="777"/>
        <v>0</v>
      </c>
      <c r="H778" s="1">
        <f t="shared" si="777"/>
        <v>0</v>
      </c>
      <c r="I778" s="1">
        <f t="shared" si="777"/>
        <v>0</v>
      </c>
      <c r="J778" s="1">
        <f t="shared" si="777"/>
        <v>0</v>
      </c>
      <c r="K778" s="1">
        <f t="shared" si="777"/>
        <v>0</v>
      </c>
      <c r="L778" s="1">
        <f t="shared" si="777"/>
        <v>0</v>
      </c>
      <c r="M778" s="1">
        <f t="shared" si="777"/>
        <v>0</v>
      </c>
      <c r="N778" s="1">
        <f t="shared" si="777"/>
        <v>0</v>
      </c>
      <c r="O778" s="1">
        <f t="shared" si="777"/>
        <v>0</v>
      </c>
      <c r="P778" s="1">
        <f t="shared" si="777"/>
        <v>0</v>
      </c>
      <c r="Q778" s="1">
        <f t="shared" si="777"/>
        <v>0</v>
      </c>
      <c r="R778" s="1">
        <f t="shared" si="777"/>
        <v>0</v>
      </c>
      <c r="S778" s="1">
        <f t="shared" si="777"/>
        <v>0</v>
      </c>
      <c r="T778" s="1">
        <f t="shared" si="777"/>
        <v>0</v>
      </c>
      <c r="U778" s="1">
        <f t="shared" si="777"/>
        <v>0</v>
      </c>
    </row>
    <row r="779">
      <c r="A779" s="3">
        <f>IFERROR(__xludf.DUMMYFUNCTION("""COMPUTED_VALUE"""),44698.0)</f>
        <v>44698</v>
      </c>
      <c r="B779" s="1">
        <f t="shared" ref="B779:U779" si="778">IF($A779&gt;0,Megyeinapi!B779/'megyelakosság'!B$2*100000," ")</f>
        <v>0</v>
      </c>
      <c r="C779" s="1">
        <f t="shared" si="778"/>
        <v>0</v>
      </c>
      <c r="D779" s="1">
        <f t="shared" si="778"/>
        <v>0</v>
      </c>
      <c r="E779" s="1">
        <f t="shared" si="778"/>
        <v>0</v>
      </c>
      <c r="F779" s="1">
        <f t="shared" si="778"/>
        <v>0</v>
      </c>
      <c r="G779" s="1">
        <f t="shared" si="778"/>
        <v>0</v>
      </c>
      <c r="H779" s="1">
        <f t="shared" si="778"/>
        <v>0</v>
      </c>
      <c r="I779" s="1">
        <f t="shared" si="778"/>
        <v>0</v>
      </c>
      <c r="J779" s="1">
        <f t="shared" si="778"/>
        <v>0</v>
      </c>
      <c r="K779" s="1">
        <f t="shared" si="778"/>
        <v>0</v>
      </c>
      <c r="L779" s="1">
        <f t="shared" si="778"/>
        <v>0</v>
      </c>
      <c r="M779" s="1">
        <f t="shared" si="778"/>
        <v>0</v>
      </c>
      <c r="N779" s="1">
        <f t="shared" si="778"/>
        <v>0</v>
      </c>
      <c r="O779" s="1">
        <f t="shared" si="778"/>
        <v>0</v>
      </c>
      <c r="P779" s="1">
        <f t="shared" si="778"/>
        <v>0</v>
      </c>
      <c r="Q779" s="1">
        <f t="shared" si="778"/>
        <v>0</v>
      </c>
      <c r="R779" s="1">
        <f t="shared" si="778"/>
        <v>0</v>
      </c>
      <c r="S779" s="1">
        <f t="shared" si="778"/>
        <v>0</v>
      </c>
      <c r="T779" s="1">
        <f t="shared" si="778"/>
        <v>0</v>
      </c>
      <c r="U779" s="1">
        <f t="shared" si="778"/>
        <v>0</v>
      </c>
    </row>
    <row r="780">
      <c r="A780" s="3">
        <f>IFERROR(__xludf.DUMMYFUNCTION("""COMPUTED_VALUE"""),44699.0)</f>
        <v>44699</v>
      </c>
      <c r="B780" s="1">
        <f t="shared" ref="B780:U780" si="779">IF($A780&gt;0,Megyeinapi!B780/'megyelakosság'!B$2*100000," ")</f>
        <v>41.81434431</v>
      </c>
      <c r="C780" s="1">
        <f t="shared" si="779"/>
        <v>56.80726465</v>
      </c>
      <c r="D780" s="1">
        <f t="shared" si="779"/>
        <v>36.60654319</v>
      </c>
      <c r="E780" s="1">
        <f t="shared" si="779"/>
        <v>31.08007987</v>
      </c>
      <c r="F780" s="1">
        <f t="shared" si="779"/>
        <v>65.02054604</v>
      </c>
      <c r="G780" s="1">
        <f t="shared" si="779"/>
        <v>52.97088861</v>
      </c>
      <c r="H780" s="1">
        <f t="shared" si="779"/>
        <v>48.2557459</v>
      </c>
      <c r="I780" s="1">
        <f t="shared" si="779"/>
        <v>54.10649257</v>
      </c>
      <c r="J780" s="1">
        <f t="shared" si="779"/>
        <v>29.99656368</v>
      </c>
      <c r="K780" s="1">
        <f t="shared" si="779"/>
        <v>54.18835053</v>
      </c>
      <c r="L780" s="1">
        <f t="shared" si="779"/>
        <v>35.43151497</v>
      </c>
      <c r="M780" s="1">
        <f t="shared" si="779"/>
        <v>34.21983754</v>
      </c>
      <c r="N780" s="1">
        <f t="shared" si="779"/>
        <v>43.59568722</v>
      </c>
      <c r="O780" s="1">
        <f t="shared" si="779"/>
        <v>53.04131826</v>
      </c>
      <c r="P780" s="1">
        <f t="shared" si="779"/>
        <v>32.67211202</v>
      </c>
      <c r="Q780" s="1">
        <f t="shared" si="779"/>
        <v>42.62077708</v>
      </c>
      <c r="R780" s="1">
        <f t="shared" si="779"/>
        <v>45.93669089</v>
      </c>
      <c r="S780" s="1">
        <f t="shared" si="779"/>
        <v>55.0883972</v>
      </c>
      <c r="T780" s="1">
        <f t="shared" si="779"/>
        <v>46.01986769</v>
      </c>
      <c r="U780" s="1">
        <f t="shared" si="779"/>
        <v>60.23848453</v>
      </c>
    </row>
    <row r="781">
      <c r="A781" s="3">
        <f>IFERROR(__xludf.DUMMYFUNCTION("""COMPUTED_VALUE"""),44700.0)</f>
        <v>44700</v>
      </c>
      <c r="B781" s="1">
        <f t="shared" ref="B781:U781" si="780">IF($A781&gt;0,Megyeinapi!B781/'megyelakosság'!B$2*100000," ")</f>
        <v>0</v>
      </c>
      <c r="C781" s="1">
        <f t="shared" si="780"/>
        <v>0</v>
      </c>
      <c r="D781" s="1">
        <f t="shared" si="780"/>
        <v>0</v>
      </c>
      <c r="E781" s="1">
        <f t="shared" si="780"/>
        <v>0</v>
      </c>
      <c r="F781" s="1">
        <f t="shared" si="780"/>
        <v>0</v>
      </c>
      <c r="G781" s="1">
        <f t="shared" si="780"/>
        <v>0</v>
      </c>
      <c r="H781" s="1">
        <f t="shared" si="780"/>
        <v>0</v>
      </c>
      <c r="I781" s="1">
        <f t="shared" si="780"/>
        <v>0</v>
      </c>
      <c r="J781" s="1">
        <f t="shared" si="780"/>
        <v>0</v>
      </c>
      <c r="K781" s="1">
        <f t="shared" si="780"/>
        <v>0</v>
      </c>
      <c r="L781" s="1">
        <f t="shared" si="780"/>
        <v>0</v>
      </c>
      <c r="M781" s="1">
        <f t="shared" si="780"/>
        <v>0</v>
      </c>
      <c r="N781" s="1">
        <f t="shared" si="780"/>
        <v>0</v>
      </c>
      <c r="O781" s="1">
        <f t="shared" si="780"/>
        <v>0</v>
      </c>
      <c r="P781" s="1">
        <f t="shared" si="780"/>
        <v>0</v>
      </c>
      <c r="Q781" s="1">
        <f t="shared" si="780"/>
        <v>0</v>
      </c>
      <c r="R781" s="1">
        <f t="shared" si="780"/>
        <v>0</v>
      </c>
      <c r="S781" s="1">
        <f t="shared" si="780"/>
        <v>0</v>
      </c>
      <c r="T781" s="1">
        <f t="shared" si="780"/>
        <v>0</v>
      </c>
      <c r="U781" s="1">
        <f t="shared" si="780"/>
        <v>0</v>
      </c>
    </row>
    <row r="782">
      <c r="A782" s="3">
        <f>IFERROR(__xludf.DUMMYFUNCTION("""COMPUTED_VALUE"""),44701.0)</f>
        <v>44701</v>
      </c>
      <c r="B782" s="1">
        <f t="shared" ref="B782:U782" si="781">IF($A782&gt;0,Megyeinapi!B782/'megyelakosság'!B$2*100000," ")</f>
        <v>0</v>
      </c>
      <c r="C782" s="1">
        <f t="shared" si="781"/>
        <v>0</v>
      </c>
      <c r="D782" s="1">
        <f t="shared" si="781"/>
        <v>0</v>
      </c>
      <c r="E782" s="1">
        <f t="shared" si="781"/>
        <v>0</v>
      </c>
      <c r="F782" s="1">
        <f t="shared" si="781"/>
        <v>0</v>
      </c>
      <c r="G782" s="1">
        <f t="shared" si="781"/>
        <v>0</v>
      </c>
      <c r="H782" s="1">
        <f t="shared" si="781"/>
        <v>0</v>
      </c>
      <c r="I782" s="1">
        <f t="shared" si="781"/>
        <v>0</v>
      </c>
      <c r="J782" s="1">
        <f t="shared" si="781"/>
        <v>0</v>
      </c>
      <c r="K782" s="1">
        <f t="shared" si="781"/>
        <v>0</v>
      </c>
      <c r="L782" s="1">
        <f t="shared" si="781"/>
        <v>0</v>
      </c>
      <c r="M782" s="1">
        <f t="shared" si="781"/>
        <v>0</v>
      </c>
      <c r="N782" s="1">
        <f t="shared" si="781"/>
        <v>0</v>
      </c>
      <c r="O782" s="1">
        <f t="shared" si="781"/>
        <v>0</v>
      </c>
      <c r="P782" s="1">
        <f t="shared" si="781"/>
        <v>0</v>
      </c>
      <c r="Q782" s="1">
        <f t="shared" si="781"/>
        <v>0</v>
      </c>
      <c r="R782" s="1">
        <f t="shared" si="781"/>
        <v>0</v>
      </c>
      <c r="S782" s="1">
        <f t="shared" si="781"/>
        <v>0</v>
      </c>
      <c r="T782" s="1">
        <f t="shared" si="781"/>
        <v>0</v>
      </c>
      <c r="U782" s="1">
        <f t="shared" si="781"/>
        <v>0</v>
      </c>
    </row>
    <row r="783">
      <c r="A783" s="3">
        <f>IFERROR(__xludf.DUMMYFUNCTION("""COMPUTED_VALUE"""),44702.0)</f>
        <v>44702</v>
      </c>
      <c r="B783" s="1">
        <f t="shared" ref="B783:U783" si="782">IF($A783&gt;0,Megyeinapi!B783/'megyelakosság'!B$2*100000," ")</f>
        <v>0</v>
      </c>
      <c r="C783" s="1">
        <f t="shared" si="782"/>
        <v>0</v>
      </c>
      <c r="D783" s="1">
        <f t="shared" si="782"/>
        <v>0</v>
      </c>
      <c r="E783" s="1">
        <f t="shared" si="782"/>
        <v>0</v>
      </c>
      <c r="F783" s="1">
        <f t="shared" si="782"/>
        <v>0</v>
      </c>
      <c r="G783" s="1">
        <f t="shared" si="782"/>
        <v>0</v>
      </c>
      <c r="H783" s="1">
        <f t="shared" si="782"/>
        <v>0</v>
      </c>
      <c r="I783" s="1">
        <f t="shared" si="782"/>
        <v>0</v>
      </c>
      <c r="J783" s="1">
        <f t="shared" si="782"/>
        <v>0</v>
      </c>
      <c r="K783" s="1">
        <f t="shared" si="782"/>
        <v>0</v>
      </c>
      <c r="L783" s="1">
        <f t="shared" si="782"/>
        <v>0</v>
      </c>
      <c r="M783" s="1">
        <f t="shared" si="782"/>
        <v>0</v>
      </c>
      <c r="N783" s="1">
        <f t="shared" si="782"/>
        <v>0</v>
      </c>
      <c r="O783" s="1">
        <f t="shared" si="782"/>
        <v>0</v>
      </c>
      <c r="P783" s="1">
        <f t="shared" si="782"/>
        <v>0</v>
      </c>
      <c r="Q783" s="1">
        <f t="shared" si="782"/>
        <v>0</v>
      </c>
      <c r="R783" s="1">
        <f t="shared" si="782"/>
        <v>0</v>
      </c>
      <c r="S783" s="1">
        <f t="shared" si="782"/>
        <v>0</v>
      </c>
      <c r="T783" s="1">
        <f t="shared" si="782"/>
        <v>0</v>
      </c>
      <c r="U783" s="1">
        <f t="shared" si="782"/>
        <v>0</v>
      </c>
    </row>
    <row r="784">
      <c r="A784" s="3">
        <f>IFERROR(__xludf.DUMMYFUNCTION("""COMPUTED_VALUE"""),44703.0)</f>
        <v>44703</v>
      </c>
      <c r="B784" s="1">
        <f t="shared" ref="B784:U784" si="783">IF($A784&gt;0,Megyeinapi!B784/'megyelakosság'!B$2*100000," ")</f>
        <v>0</v>
      </c>
      <c r="C784" s="1">
        <f t="shared" si="783"/>
        <v>0</v>
      </c>
      <c r="D784" s="1">
        <f t="shared" si="783"/>
        <v>0</v>
      </c>
      <c r="E784" s="1">
        <f t="shared" si="783"/>
        <v>0</v>
      </c>
      <c r="F784" s="1">
        <f t="shared" si="783"/>
        <v>0</v>
      </c>
      <c r="G784" s="1">
        <f t="shared" si="783"/>
        <v>0</v>
      </c>
      <c r="H784" s="1">
        <f t="shared" si="783"/>
        <v>0</v>
      </c>
      <c r="I784" s="1">
        <f t="shared" si="783"/>
        <v>0</v>
      </c>
      <c r="J784" s="1">
        <f t="shared" si="783"/>
        <v>0</v>
      </c>
      <c r="K784" s="1">
        <f t="shared" si="783"/>
        <v>0</v>
      </c>
      <c r="L784" s="1">
        <f t="shared" si="783"/>
        <v>0</v>
      </c>
      <c r="M784" s="1">
        <f t="shared" si="783"/>
        <v>0</v>
      </c>
      <c r="N784" s="1">
        <f t="shared" si="783"/>
        <v>0</v>
      </c>
      <c r="O784" s="1">
        <f t="shared" si="783"/>
        <v>0</v>
      </c>
      <c r="P784" s="1">
        <f t="shared" si="783"/>
        <v>0</v>
      </c>
      <c r="Q784" s="1">
        <f t="shared" si="783"/>
        <v>0</v>
      </c>
      <c r="R784" s="1">
        <f t="shared" si="783"/>
        <v>0</v>
      </c>
      <c r="S784" s="1">
        <f t="shared" si="783"/>
        <v>0</v>
      </c>
      <c r="T784" s="1">
        <f t="shared" si="783"/>
        <v>0</v>
      </c>
      <c r="U784" s="1">
        <f t="shared" si="783"/>
        <v>0</v>
      </c>
    </row>
    <row r="785">
      <c r="A785" s="3">
        <f>IFERROR(__xludf.DUMMYFUNCTION("""COMPUTED_VALUE"""),44704.0)</f>
        <v>44704</v>
      </c>
      <c r="B785" s="1">
        <f t="shared" ref="B785:U785" si="784">IF($A785&gt;0,Megyeinapi!B785/'megyelakosság'!B$2*100000," ")</f>
        <v>0</v>
      </c>
      <c r="C785" s="1">
        <f t="shared" si="784"/>
        <v>0</v>
      </c>
      <c r="D785" s="1">
        <f t="shared" si="784"/>
        <v>0</v>
      </c>
      <c r="E785" s="1">
        <f t="shared" si="784"/>
        <v>0</v>
      </c>
      <c r="F785" s="1">
        <f t="shared" si="784"/>
        <v>0</v>
      </c>
      <c r="G785" s="1">
        <f t="shared" si="784"/>
        <v>0</v>
      </c>
      <c r="H785" s="1">
        <f t="shared" si="784"/>
        <v>0</v>
      </c>
      <c r="I785" s="1">
        <f t="shared" si="784"/>
        <v>0</v>
      </c>
      <c r="J785" s="1">
        <f t="shared" si="784"/>
        <v>0</v>
      </c>
      <c r="K785" s="1">
        <f t="shared" si="784"/>
        <v>0</v>
      </c>
      <c r="L785" s="1">
        <f t="shared" si="784"/>
        <v>0</v>
      </c>
      <c r="M785" s="1">
        <f t="shared" si="784"/>
        <v>0</v>
      </c>
      <c r="N785" s="1">
        <f t="shared" si="784"/>
        <v>0</v>
      </c>
      <c r="O785" s="1">
        <f t="shared" si="784"/>
        <v>0</v>
      </c>
      <c r="P785" s="1">
        <f t="shared" si="784"/>
        <v>0</v>
      </c>
      <c r="Q785" s="1">
        <f t="shared" si="784"/>
        <v>0</v>
      </c>
      <c r="R785" s="1">
        <f t="shared" si="784"/>
        <v>0</v>
      </c>
      <c r="S785" s="1">
        <f t="shared" si="784"/>
        <v>0</v>
      </c>
      <c r="T785" s="1">
        <f t="shared" si="784"/>
        <v>0</v>
      </c>
      <c r="U785" s="1">
        <f t="shared" si="784"/>
        <v>0</v>
      </c>
    </row>
    <row r="786">
      <c r="A786" s="3">
        <f>IFERROR(__xludf.DUMMYFUNCTION("""COMPUTED_VALUE"""),44705.0)</f>
        <v>44705</v>
      </c>
      <c r="B786" s="1">
        <f t="shared" ref="B786:U786" si="785">IF($A786&gt;0,Megyeinapi!B786/'megyelakosság'!B$2*100000," ")</f>
        <v>0</v>
      </c>
      <c r="C786" s="1">
        <f t="shared" si="785"/>
        <v>0</v>
      </c>
      <c r="D786" s="1">
        <f t="shared" si="785"/>
        <v>0</v>
      </c>
      <c r="E786" s="1">
        <f t="shared" si="785"/>
        <v>0</v>
      </c>
      <c r="F786" s="1">
        <f t="shared" si="785"/>
        <v>0</v>
      </c>
      <c r="G786" s="1">
        <f t="shared" si="785"/>
        <v>0</v>
      </c>
      <c r="H786" s="1">
        <f t="shared" si="785"/>
        <v>0</v>
      </c>
      <c r="I786" s="1">
        <f t="shared" si="785"/>
        <v>0</v>
      </c>
      <c r="J786" s="1">
        <f t="shared" si="785"/>
        <v>0</v>
      </c>
      <c r="K786" s="1">
        <f t="shared" si="785"/>
        <v>0</v>
      </c>
      <c r="L786" s="1">
        <f t="shared" si="785"/>
        <v>0</v>
      </c>
      <c r="M786" s="1">
        <f t="shared" si="785"/>
        <v>0</v>
      </c>
      <c r="N786" s="1">
        <f t="shared" si="785"/>
        <v>0</v>
      </c>
      <c r="O786" s="1">
        <f t="shared" si="785"/>
        <v>0</v>
      </c>
      <c r="P786" s="1">
        <f t="shared" si="785"/>
        <v>0</v>
      </c>
      <c r="Q786" s="1">
        <f t="shared" si="785"/>
        <v>0</v>
      </c>
      <c r="R786" s="1">
        <f t="shared" si="785"/>
        <v>0</v>
      </c>
      <c r="S786" s="1">
        <f t="shared" si="785"/>
        <v>0</v>
      </c>
      <c r="T786" s="1">
        <f t="shared" si="785"/>
        <v>0</v>
      </c>
      <c r="U786" s="1">
        <f t="shared" si="785"/>
        <v>0</v>
      </c>
    </row>
    <row r="787">
      <c r="A787" s="3">
        <f>IFERROR(__xludf.DUMMYFUNCTION("""COMPUTED_VALUE"""),44706.0)</f>
        <v>44706</v>
      </c>
      <c r="B787" s="1">
        <f t="shared" ref="B787:U787" si="786">IF($A787&gt;0,Megyeinapi!B787/'megyelakosság'!B$2*100000," ")</f>
        <v>25.08860659</v>
      </c>
      <c r="C787" s="1">
        <f t="shared" si="786"/>
        <v>32.85910406</v>
      </c>
      <c r="D787" s="1">
        <f t="shared" si="786"/>
        <v>18.15200489</v>
      </c>
      <c r="E787" s="1">
        <f t="shared" si="786"/>
        <v>22.28975425</v>
      </c>
      <c r="F787" s="1">
        <f t="shared" si="786"/>
        <v>47.2513107</v>
      </c>
      <c r="G787" s="1">
        <f t="shared" si="786"/>
        <v>24.85363968</v>
      </c>
      <c r="H787" s="1">
        <f t="shared" si="786"/>
        <v>28.42788991</v>
      </c>
      <c r="I787" s="1">
        <f t="shared" si="786"/>
        <v>34.45061831</v>
      </c>
      <c r="J787" s="1">
        <f t="shared" si="786"/>
        <v>12.72006182</v>
      </c>
      <c r="K787" s="1">
        <f t="shared" si="786"/>
        <v>24.19731376</v>
      </c>
      <c r="L787" s="1">
        <f t="shared" si="786"/>
        <v>25.34716071</v>
      </c>
      <c r="M787" s="1">
        <f t="shared" si="786"/>
        <v>23.5884317</v>
      </c>
      <c r="N787" s="1">
        <f t="shared" si="786"/>
        <v>26.58273611</v>
      </c>
      <c r="O787" s="1">
        <f t="shared" si="786"/>
        <v>35.38657715</v>
      </c>
      <c r="P787" s="1">
        <f t="shared" si="786"/>
        <v>33.00550092</v>
      </c>
      <c r="Q787" s="1">
        <f t="shared" si="786"/>
        <v>28.59599146</v>
      </c>
      <c r="R787" s="1">
        <f t="shared" si="786"/>
        <v>19.4882931</v>
      </c>
      <c r="S787" s="1">
        <f t="shared" si="786"/>
        <v>36.98792384</v>
      </c>
      <c r="T787" s="1">
        <f t="shared" si="786"/>
        <v>29.60513781</v>
      </c>
      <c r="U787" s="1">
        <f t="shared" si="786"/>
        <v>45.6465535</v>
      </c>
    </row>
    <row r="788">
      <c r="A788" s="3">
        <f>IFERROR(__xludf.DUMMYFUNCTION("""COMPUTED_VALUE"""),44707.0)</f>
        <v>44707</v>
      </c>
      <c r="B788" s="1">
        <f t="shared" ref="B788:U788" si="787">IF($A788&gt;0,Megyeinapi!B788/'megyelakosság'!B$2*100000," ")</f>
        <v>0</v>
      </c>
      <c r="C788" s="1">
        <f t="shared" si="787"/>
        <v>0</v>
      </c>
      <c r="D788" s="1">
        <f t="shared" si="787"/>
        <v>0</v>
      </c>
      <c r="E788" s="1">
        <f t="shared" si="787"/>
        <v>0</v>
      </c>
      <c r="F788" s="1">
        <f t="shared" si="787"/>
        <v>0</v>
      </c>
      <c r="G788" s="1">
        <f t="shared" si="787"/>
        <v>0</v>
      </c>
      <c r="H788" s="1">
        <f t="shared" si="787"/>
        <v>0</v>
      </c>
      <c r="I788" s="1">
        <f t="shared" si="787"/>
        <v>0</v>
      </c>
      <c r="J788" s="1">
        <f t="shared" si="787"/>
        <v>0</v>
      </c>
      <c r="K788" s="1">
        <f t="shared" si="787"/>
        <v>0</v>
      </c>
      <c r="L788" s="1">
        <f t="shared" si="787"/>
        <v>0</v>
      </c>
      <c r="M788" s="1">
        <f t="shared" si="787"/>
        <v>0</v>
      </c>
      <c r="N788" s="1">
        <f t="shared" si="787"/>
        <v>0</v>
      </c>
      <c r="O788" s="1">
        <f t="shared" si="787"/>
        <v>0</v>
      </c>
      <c r="P788" s="1">
        <f t="shared" si="787"/>
        <v>0</v>
      </c>
      <c r="Q788" s="1">
        <f t="shared" si="787"/>
        <v>0</v>
      </c>
      <c r="R788" s="1">
        <f t="shared" si="787"/>
        <v>0</v>
      </c>
      <c r="S788" s="1">
        <f t="shared" si="787"/>
        <v>0</v>
      </c>
      <c r="T788" s="1">
        <f t="shared" si="787"/>
        <v>0</v>
      </c>
      <c r="U788" s="1">
        <f t="shared" si="787"/>
        <v>0</v>
      </c>
    </row>
    <row r="789">
      <c r="A789" s="3">
        <f>IFERROR(__xludf.DUMMYFUNCTION("""COMPUTED_VALUE"""),44708.0)</f>
        <v>44708</v>
      </c>
      <c r="B789" s="1">
        <f t="shared" ref="B789:U789" si="788">IF($A789&gt;0,Megyeinapi!B789/'megyelakosság'!B$2*100000," ")</f>
        <v>0</v>
      </c>
      <c r="C789" s="1">
        <f t="shared" si="788"/>
        <v>0</v>
      </c>
      <c r="D789" s="1">
        <f t="shared" si="788"/>
        <v>0</v>
      </c>
      <c r="E789" s="1">
        <f t="shared" si="788"/>
        <v>0</v>
      </c>
      <c r="F789" s="1">
        <f t="shared" si="788"/>
        <v>0</v>
      </c>
      <c r="G789" s="1">
        <f t="shared" si="788"/>
        <v>0</v>
      </c>
      <c r="H789" s="1">
        <f t="shared" si="788"/>
        <v>0</v>
      </c>
      <c r="I789" s="1">
        <f t="shared" si="788"/>
        <v>0</v>
      </c>
      <c r="J789" s="1">
        <f t="shared" si="788"/>
        <v>0</v>
      </c>
      <c r="K789" s="1">
        <f t="shared" si="788"/>
        <v>0</v>
      </c>
      <c r="L789" s="1">
        <f t="shared" si="788"/>
        <v>0</v>
      </c>
      <c r="M789" s="1">
        <f t="shared" si="788"/>
        <v>0</v>
      </c>
      <c r="N789" s="1">
        <f t="shared" si="788"/>
        <v>0</v>
      </c>
      <c r="O789" s="1">
        <f t="shared" si="788"/>
        <v>0</v>
      </c>
      <c r="P789" s="1">
        <f t="shared" si="788"/>
        <v>0</v>
      </c>
      <c r="Q789" s="1">
        <f t="shared" si="788"/>
        <v>0</v>
      </c>
      <c r="R789" s="1">
        <f t="shared" si="788"/>
        <v>0</v>
      </c>
      <c r="S789" s="1">
        <f t="shared" si="788"/>
        <v>0</v>
      </c>
      <c r="T789" s="1">
        <f t="shared" si="788"/>
        <v>0</v>
      </c>
      <c r="U789" s="1">
        <f t="shared" si="788"/>
        <v>0</v>
      </c>
    </row>
    <row r="790">
      <c r="A790" s="3">
        <f>IFERROR(__xludf.DUMMYFUNCTION("""COMPUTED_VALUE"""),44709.0)</f>
        <v>44709</v>
      </c>
      <c r="B790" s="1">
        <f t="shared" ref="B790:U790" si="789">IF($A790&gt;0,Megyeinapi!B790/'megyelakosság'!B$2*100000," ")</f>
        <v>0</v>
      </c>
      <c r="C790" s="1">
        <f t="shared" si="789"/>
        <v>0</v>
      </c>
      <c r="D790" s="1">
        <f t="shared" si="789"/>
        <v>0</v>
      </c>
      <c r="E790" s="1">
        <f t="shared" si="789"/>
        <v>0</v>
      </c>
      <c r="F790" s="1">
        <f t="shared" si="789"/>
        <v>0</v>
      </c>
      <c r="G790" s="1">
        <f t="shared" si="789"/>
        <v>0</v>
      </c>
      <c r="H790" s="1">
        <f t="shared" si="789"/>
        <v>0</v>
      </c>
      <c r="I790" s="1">
        <f t="shared" si="789"/>
        <v>0</v>
      </c>
      <c r="J790" s="1">
        <f t="shared" si="789"/>
        <v>0</v>
      </c>
      <c r="K790" s="1">
        <f t="shared" si="789"/>
        <v>0</v>
      </c>
      <c r="L790" s="1">
        <f t="shared" si="789"/>
        <v>0</v>
      </c>
      <c r="M790" s="1">
        <f t="shared" si="789"/>
        <v>0</v>
      </c>
      <c r="N790" s="1">
        <f t="shared" si="789"/>
        <v>0</v>
      </c>
      <c r="O790" s="1">
        <f t="shared" si="789"/>
        <v>0</v>
      </c>
      <c r="P790" s="1">
        <f t="shared" si="789"/>
        <v>0</v>
      </c>
      <c r="Q790" s="1">
        <f t="shared" si="789"/>
        <v>0</v>
      </c>
      <c r="R790" s="1">
        <f t="shared" si="789"/>
        <v>0</v>
      </c>
      <c r="S790" s="1">
        <f t="shared" si="789"/>
        <v>0</v>
      </c>
      <c r="T790" s="1">
        <f t="shared" si="789"/>
        <v>0</v>
      </c>
      <c r="U790" s="1">
        <f t="shared" si="789"/>
        <v>0</v>
      </c>
    </row>
    <row r="791">
      <c r="A791" s="3">
        <f>IFERROR(__xludf.DUMMYFUNCTION("""COMPUTED_VALUE"""),44710.0)</f>
        <v>44710</v>
      </c>
      <c r="B791" s="1">
        <f t="shared" ref="B791:U791" si="790">IF($A791&gt;0,Megyeinapi!B791/'megyelakosság'!B$2*100000," ")</f>
        <v>0</v>
      </c>
      <c r="C791" s="1">
        <f t="shared" si="790"/>
        <v>0</v>
      </c>
      <c r="D791" s="1">
        <f t="shared" si="790"/>
        <v>0</v>
      </c>
      <c r="E791" s="1">
        <f t="shared" si="790"/>
        <v>0</v>
      </c>
      <c r="F791" s="1">
        <f t="shared" si="790"/>
        <v>0</v>
      </c>
      <c r="G791" s="1">
        <f t="shared" si="790"/>
        <v>0</v>
      </c>
      <c r="H791" s="1">
        <f t="shared" si="790"/>
        <v>0</v>
      </c>
      <c r="I791" s="1">
        <f t="shared" si="790"/>
        <v>0</v>
      </c>
      <c r="J791" s="1">
        <f t="shared" si="790"/>
        <v>0</v>
      </c>
      <c r="K791" s="1">
        <f t="shared" si="790"/>
        <v>0</v>
      </c>
      <c r="L791" s="1">
        <f t="shared" si="790"/>
        <v>0</v>
      </c>
      <c r="M791" s="1">
        <f t="shared" si="790"/>
        <v>0</v>
      </c>
      <c r="N791" s="1">
        <f t="shared" si="790"/>
        <v>0</v>
      </c>
      <c r="O791" s="1">
        <f t="shared" si="790"/>
        <v>0</v>
      </c>
      <c r="P791" s="1">
        <f t="shared" si="790"/>
        <v>0</v>
      </c>
      <c r="Q791" s="1">
        <f t="shared" si="790"/>
        <v>0</v>
      </c>
      <c r="R791" s="1">
        <f t="shared" si="790"/>
        <v>0</v>
      </c>
      <c r="S791" s="1">
        <f t="shared" si="790"/>
        <v>0</v>
      </c>
      <c r="T791" s="1">
        <f t="shared" si="790"/>
        <v>0</v>
      </c>
      <c r="U791" s="1">
        <f t="shared" si="790"/>
        <v>0</v>
      </c>
    </row>
    <row r="792">
      <c r="A792" s="3">
        <f>IFERROR(__xludf.DUMMYFUNCTION("""COMPUTED_VALUE"""),44711.0)</f>
        <v>44711</v>
      </c>
      <c r="B792" s="1">
        <f t="shared" ref="B792:U792" si="791">IF($A792&gt;0,Megyeinapi!B792/'megyelakosság'!B$2*100000," ")</f>
        <v>0</v>
      </c>
      <c r="C792" s="1">
        <f t="shared" si="791"/>
        <v>0</v>
      </c>
      <c r="D792" s="1">
        <f t="shared" si="791"/>
        <v>0</v>
      </c>
      <c r="E792" s="1">
        <f t="shared" si="791"/>
        <v>0</v>
      </c>
      <c r="F792" s="1">
        <f t="shared" si="791"/>
        <v>0</v>
      </c>
      <c r="G792" s="1">
        <f t="shared" si="791"/>
        <v>0</v>
      </c>
      <c r="H792" s="1">
        <f t="shared" si="791"/>
        <v>0</v>
      </c>
      <c r="I792" s="1">
        <f t="shared" si="791"/>
        <v>0</v>
      </c>
      <c r="J792" s="1">
        <f t="shared" si="791"/>
        <v>0</v>
      </c>
      <c r="K792" s="1">
        <f t="shared" si="791"/>
        <v>0</v>
      </c>
      <c r="L792" s="1">
        <f t="shared" si="791"/>
        <v>0</v>
      </c>
      <c r="M792" s="1">
        <f t="shared" si="791"/>
        <v>0</v>
      </c>
      <c r="N792" s="1">
        <f t="shared" si="791"/>
        <v>0</v>
      </c>
      <c r="O792" s="1">
        <f t="shared" si="791"/>
        <v>0</v>
      </c>
      <c r="P792" s="1">
        <f t="shared" si="791"/>
        <v>0</v>
      </c>
      <c r="Q792" s="1">
        <f t="shared" si="791"/>
        <v>0</v>
      </c>
      <c r="R792" s="1">
        <f t="shared" si="791"/>
        <v>0</v>
      </c>
      <c r="S792" s="1">
        <f t="shared" si="791"/>
        <v>0</v>
      </c>
      <c r="T792" s="1">
        <f t="shared" si="791"/>
        <v>0</v>
      </c>
      <c r="U792" s="1">
        <f t="shared" si="791"/>
        <v>0</v>
      </c>
    </row>
    <row r="793">
      <c r="A793" s="3">
        <f>IFERROR(__xludf.DUMMYFUNCTION("""COMPUTED_VALUE"""),44712.0)</f>
        <v>44712</v>
      </c>
      <c r="B793" s="1">
        <f t="shared" ref="B793:U793" si="792">IF($A793&gt;0,Megyeinapi!B793/'megyelakosság'!B$2*100000," ")</f>
        <v>0</v>
      </c>
      <c r="C793" s="1">
        <f t="shared" si="792"/>
        <v>0</v>
      </c>
      <c r="D793" s="1">
        <f t="shared" si="792"/>
        <v>0</v>
      </c>
      <c r="E793" s="1">
        <f t="shared" si="792"/>
        <v>0</v>
      </c>
      <c r="F793" s="1">
        <f t="shared" si="792"/>
        <v>0</v>
      </c>
      <c r="G793" s="1">
        <f t="shared" si="792"/>
        <v>0</v>
      </c>
      <c r="H793" s="1">
        <f t="shared" si="792"/>
        <v>0</v>
      </c>
      <c r="I793" s="1">
        <f t="shared" si="792"/>
        <v>0</v>
      </c>
      <c r="J793" s="1">
        <f t="shared" si="792"/>
        <v>0</v>
      </c>
      <c r="K793" s="1">
        <f t="shared" si="792"/>
        <v>0</v>
      </c>
      <c r="L793" s="1">
        <f t="shared" si="792"/>
        <v>0</v>
      </c>
      <c r="M793" s="1">
        <f t="shared" si="792"/>
        <v>0</v>
      </c>
      <c r="N793" s="1">
        <f t="shared" si="792"/>
        <v>0</v>
      </c>
      <c r="O793" s="1">
        <f t="shared" si="792"/>
        <v>0</v>
      </c>
      <c r="P793" s="1">
        <f t="shared" si="792"/>
        <v>0</v>
      </c>
      <c r="Q793" s="1">
        <f t="shared" si="792"/>
        <v>0</v>
      </c>
      <c r="R793" s="1">
        <f t="shared" si="792"/>
        <v>0</v>
      </c>
      <c r="S793" s="1">
        <f t="shared" si="792"/>
        <v>0</v>
      </c>
      <c r="T793" s="1">
        <f t="shared" si="792"/>
        <v>0</v>
      </c>
      <c r="U793" s="1">
        <f t="shared" si="792"/>
        <v>0</v>
      </c>
    </row>
    <row r="794">
      <c r="A794" s="3">
        <f>IFERROR(__xludf.DUMMYFUNCTION("""COMPUTED_VALUE"""),44713.0)</f>
        <v>44713</v>
      </c>
      <c r="B794" s="1">
        <f t="shared" ref="B794:U794" si="793">IF($A794&gt;0,Megyeinapi!B794/'megyelakosság'!B$2*100000," ")</f>
        <v>10.95137589</v>
      </c>
      <c r="C794" s="1">
        <f t="shared" si="793"/>
        <v>21.9988917</v>
      </c>
      <c r="D794" s="1">
        <f t="shared" si="793"/>
        <v>12.40387001</v>
      </c>
      <c r="E794" s="1">
        <f t="shared" si="793"/>
        <v>14.44124923</v>
      </c>
      <c r="F794" s="1">
        <f t="shared" si="793"/>
        <v>39.30943381</v>
      </c>
      <c r="G794" s="1">
        <f t="shared" si="793"/>
        <v>14.56071819</v>
      </c>
      <c r="H794" s="1">
        <f t="shared" si="793"/>
        <v>20.06674582</v>
      </c>
      <c r="I794" s="1">
        <f t="shared" si="793"/>
        <v>21.55805563</v>
      </c>
      <c r="J794" s="1">
        <f t="shared" si="793"/>
        <v>11.96065514</v>
      </c>
      <c r="K794" s="1">
        <f t="shared" si="793"/>
        <v>16.35874733</v>
      </c>
      <c r="L794" s="1">
        <f t="shared" si="793"/>
        <v>12.5373053</v>
      </c>
      <c r="M794" s="1">
        <f t="shared" si="793"/>
        <v>13.62148873</v>
      </c>
      <c r="N794" s="1">
        <f t="shared" si="793"/>
        <v>20.73453416</v>
      </c>
      <c r="O794" s="1">
        <f t="shared" si="793"/>
        <v>21.43239313</v>
      </c>
      <c r="P794" s="1">
        <f t="shared" si="793"/>
        <v>16.00266711</v>
      </c>
      <c r="Q794" s="1">
        <f t="shared" si="793"/>
        <v>22.9496492</v>
      </c>
      <c r="R794" s="1">
        <f t="shared" si="793"/>
        <v>7.424111659</v>
      </c>
      <c r="S794" s="1">
        <f t="shared" si="793"/>
        <v>16.13303061</v>
      </c>
      <c r="T794" s="1">
        <f t="shared" si="793"/>
        <v>14.65600882</v>
      </c>
      <c r="U794" s="1">
        <f t="shared" si="793"/>
        <v>25.44234129</v>
      </c>
    </row>
    <row r="795">
      <c r="A795" s="3">
        <f>IFERROR(__xludf.DUMMYFUNCTION("""COMPUTED_VALUE"""),44714.0)</f>
        <v>44714</v>
      </c>
      <c r="B795" s="1">
        <f t="shared" ref="B795:U795" si="794">IF($A795&gt;0,Megyeinapi!B795/'megyelakosság'!B$2*100000," ")</f>
        <v>0</v>
      </c>
      <c r="C795" s="1">
        <f t="shared" si="794"/>
        <v>0</v>
      </c>
      <c r="D795" s="1">
        <f t="shared" si="794"/>
        <v>0</v>
      </c>
      <c r="E795" s="1">
        <f t="shared" si="794"/>
        <v>0</v>
      </c>
      <c r="F795" s="1">
        <f t="shared" si="794"/>
        <v>0</v>
      </c>
      <c r="G795" s="1">
        <f t="shared" si="794"/>
        <v>0</v>
      </c>
      <c r="H795" s="1">
        <f t="shared" si="794"/>
        <v>0</v>
      </c>
      <c r="I795" s="1">
        <f t="shared" si="794"/>
        <v>0</v>
      </c>
      <c r="J795" s="1">
        <f t="shared" si="794"/>
        <v>0</v>
      </c>
      <c r="K795" s="1">
        <f t="shared" si="794"/>
        <v>0</v>
      </c>
      <c r="L795" s="1">
        <f t="shared" si="794"/>
        <v>0</v>
      </c>
      <c r="M795" s="1">
        <f t="shared" si="794"/>
        <v>0</v>
      </c>
      <c r="N795" s="1">
        <f t="shared" si="794"/>
        <v>0</v>
      </c>
      <c r="O795" s="1">
        <f t="shared" si="794"/>
        <v>0</v>
      </c>
      <c r="P795" s="1">
        <f t="shared" si="794"/>
        <v>0</v>
      </c>
      <c r="Q795" s="1">
        <f t="shared" si="794"/>
        <v>0</v>
      </c>
      <c r="R795" s="1">
        <f t="shared" si="794"/>
        <v>0</v>
      </c>
      <c r="S795" s="1">
        <f t="shared" si="794"/>
        <v>0</v>
      </c>
      <c r="T795" s="1">
        <f t="shared" si="794"/>
        <v>0</v>
      </c>
      <c r="U795" s="1">
        <f t="shared" si="794"/>
        <v>0</v>
      </c>
    </row>
    <row r="796">
      <c r="A796" s="3">
        <f>IFERROR(__xludf.DUMMYFUNCTION("""COMPUTED_VALUE"""),44715.0)</f>
        <v>44715</v>
      </c>
      <c r="B796" s="1">
        <f t="shared" ref="B796:U796" si="795">IF($A796&gt;0,Megyeinapi!B796/'megyelakosság'!B$2*100000," ")</f>
        <v>0</v>
      </c>
      <c r="C796" s="1">
        <f t="shared" si="795"/>
        <v>0</v>
      </c>
      <c r="D796" s="1">
        <f t="shared" si="795"/>
        <v>0</v>
      </c>
      <c r="E796" s="1">
        <f t="shared" si="795"/>
        <v>0</v>
      </c>
      <c r="F796" s="1">
        <f t="shared" si="795"/>
        <v>0</v>
      </c>
      <c r="G796" s="1">
        <f t="shared" si="795"/>
        <v>0</v>
      </c>
      <c r="H796" s="1">
        <f t="shared" si="795"/>
        <v>0</v>
      </c>
      <c r="I796" s="1">
        <f t="shared" si="795"/>
        <v>0</v>
      </c>
      <c r="J796" s="1">
        <f t="shared" si="795"/>
        <v>0</v>
      </c>
      <c r="K796" s="1">
        <f t="shared" si="795"/>
        <v>0</v>
      </c>
      <c r="L796" s="1">
        <f t="shared" si="795"/>
        <v>0</v>
      </c>
      <c r="M796" s="1">
        <f t="shared" si="795"/>
        <v>0</v>
      </c>
      <c r="N796" s="1">
        <f t="shared" si="795"/>
        <v>0</v>
      </c>
      <c r="O796" s="1">
        <f t="shared" si="795"/>
        <v>0</v>
      </c>
      <c r="P796" s="1">
        <f t="shared" si="795"/>
        <v>0</v>
      </c>
      <c r="Q796" s="1">
        <f t="shared" si="795"/>
        <v>0</v>
      </c>
      <c r="R796" s="1">
        <f t="shared" si="795"/>
        <v>0</v>
      </c>
      <c r="S796" s="1">
        <f t="shared" si="795"/>
        <v>0</v>
      </c>
      <c r="T796" s="1">
        <f t="shared" si="795"/>
        <v>0</v>
      </c>
      <c r="U796" s="1">
        <f t="shared" si="795"/>
        <v>0</v>
      </c>
    </row>
    <row r="797">
      <c r="A797" s="3">
        <f>IFERROR(__xludf.DUMMYFUNCTION("""COMPUTED_VALUE"""),44716.0)</f>
        <v>44716</v>
      </c>
      <c r="B797" s="1">
        <f t="shared" ref="B797:U797" si="796">IF($A797&gt;0,Megyeinapi!B797/'megyelakosság'!B$2*100000," ")</f>
        <v>0</v>
      </c>
      <c r="C797" s="1">
        <f t="shared" si="796"/>
        <v>0</v>
      </c>
      <c r="D797" s="1">
        <f t="shared" si="796"/>
        <v>0</v>
      </c>
      <c r="E797" s="1">
        <f t="shared" si="796"/>
        <v>0</v>
      </c>
      <c r="F797" s="1">
        <f t="shared" si="796"/>
        <v>0</v>
      </c>
      <c r="G797" s="1">
        <f t="shared" si="796"/>
        <v>0</v>
      </c>
      <c r="H797" s="1">
        <f t="shared" si="796"/>
        <v>0</v>
      </c>
      <c r="I797" s="1">
        <f t="shared" si="796"/>
        <v>0</v>
      </c>
      <c r="J797" s="1">
        <f t="shared" si="796"/>
        <v>0</v>
      </c>
      <c r="K797" s="1">
        <f t="shared" si="796"/>
        <v>0</v>
      </c>
      <c r="L797" s="1">
        <f t="shared" si="796"/>
        <v>0</v>
      </c>
      <c r="M797" s="1">
        <f t="shared" si="796"/>
        <v>0</v>
      </c>
      <c r="N797" s="1">
        <f t="shared" si="796"/>
        <v>0</v>
      </c>
      <c r="O797" s="1">
        <f t="shared" si="796"/>
        <v>0</v>
      </c>
      <c r="P797" s="1">
        <f t="shared" si="796"/>
        <v>0</v>
      </c>
      <c r="Q797" s="1">
        <f t="shared" si="796"/>
        <v>0</v>
      </c>
      <c r="R797" s="1">
        <f t="shared" si="796"/>
        <v>0</v>
      </c>
      <c r="S797" s="1">
        <f t="shared" si="796"/>
        <v>0</v>
      </c>
      <c r="T797" s="1">
        <f t="shared" si="796"/>
        <v>0</v>
      </c>
      <c r="U797" s="1">
        <f t="shared" si="796"/>
        <v>0</v>
      </c>
    </row>
    <row r="798">
      <c r="A798" s="3">
        <f>IFERROR(__xludf.DUMMYFUNCTION("""COMPUTED_VALUE"""),44717.0)</f>
        <v>44717</v>
      </c>
      <c r="B798" s="1">
        <f t="shared" ref="B798:U798" si="797">IF($A798&gt;0,Megyeinapi!B798/'megyelakosság'!B$2*100000," ")</f>
        <v>0</v>
      </c>
      <c r="C798" s="1">
        <f t="shared" si="797"/>
        <v>0</v>
      </c>
      <c r="D798" s="1">
        <f t="shared" si="797"/>
        <v>0</v>
      </c>
      <c r="E798" s="1">
        <f t="shared" si="797"/>
        <v>0</v>
      </c>
      <c r="F798" s="1">
        <f t="shared" si="797"/>
        <v>0</v>
      </c>
      <c r="G798" s="1">
        <f t="shared" si="797"/>
        <v>0</v>
      </c>
      <c r="H798" s="1">
        <f t="shared" si="797"/>
        <v>0</v>
      </c>
      <c r="I798" s="1">
        <f t="shared" si="797"/>
        <v>0</v>
      </c>
      <c r="J798" s="1">
        <f t="shared" si="797"/>
        <v>0</v>
      </c>
      <c r="K798" s="1">
        <f t="shared" si="797"/>
        <v>0</v>
      </c>
      <c r="L798" s="1">
        <f t="shared" si="797"/>
        <v>0</v>
      </c>
      <c r="M798" s="1">
        <f t="shared" si="797"/>
        <v>0</v>
      </c>
      <c r="N798" s="1">
        <f t="shared" si="797"/>
        <v>0</v>
      </c>
      <c r="O798" s="1">
        <f t="shared" si="797"/>
        <v>0</v>
      </c>
      <c r="P798" s="1">
        <f t="shared" si="797"/>
        <v>0</v>
      </c>
      <c r="Q798" s="1">
        <f t="shared" si="797"/>
        <v>0</v>
      </c>
      <c r="R798" s="1">
        <f t="shared" si="797"/>
        <v>0</v>
      </c>
      <c r="S798" s="1">
        <f t="shared" si="797"/>
        <v>0</v>
      </c>
      <c r="T798" s="1">
        <f t="shared" si="797"/>
        <v>0</v>
      </c>
      <c r="U798" s="1">
        <f t="shared" si="797"/>
        <v>0</v>
      </c>
    </row>
    <row r="799">
      <c r="A799" s="3">
        <f>IFERROR(__xludf.DUMMYFUNCTION("""COMPUTED_VALUE"""),44718.0)</f>
        <v>44718</v>
      </c>
      <c r="B799" s="1">
        <f t="shared" ref="B799:U799" si="798">IF($A799&gt;0,Megyeinapi!B799/'megyelakosság'!B$2*100000," ")</f>
        <v>0</v>
      </c>
      <c r="C799" s="1">
        <f t="shared" si="798"/>
        <v>0</v>
      </c>
      <c r="D799" s="1">
        <f t="shared" si="798"/>
        <v>0</v>
      </c>
      <c r="E799" s="1">
        <f t="shared" si="798"/>
        <v>0</v>
      </c>
      <c r="F799" s="1">
        <f t="shared" si="798"/>
        <v>0</v>
      </c>
      <c r="G799" s="1">
        <f t="shared" si="798"/>
        <v>0</v>
      </c>
      <c r="H799" s="1">
        <f t="shared" si="798"/>
        <v>0</v>
      </c>
      <c r="I799" s="1">
        <f t="shared" si="798"/>
        <v>0</v>
      </c>
      <c r="J799" s="1">
        <f t="shared" si="798"/>
        <v>0</v>
      </c>
      <c r="K799" s="1">
        <f t="shared" si="798"/>
        <v>0</v>
      </c>
      <c r="L799" s="1">
        <f t="shared" si="798"/>
        <v>0</v>
      </c>
      <c r="M799" s="1">
        <f t="shared" si="798"/>
        <v>0</v>
      </c>
      <c r="N799" s="1">
        <f t="shared" si="798"/>
        <v>0</v>
      </c>
      <c r="O799" s="1">
        <f t="shared" si="798"/>
        <v>0</v>
      </c>
      <c r="P799" s="1">
        <f t="shared" si="798"/>
        <v>0</v>
      </c>
      <c r="Q799" s="1">
        <f t="shared" si="798"/>
        <v>0</v>
      </c>
      <c r="R799" s="1">
        <f t="shared" si="798"/>
        <v>0</v>
      </c>
      <c r="S799" s="1">
        <f t="shared" si="798"/>
        <v>0</v>
      </c>
      <c r="T799" s="1">
        <f t="shared" si="798"/>
        <v>0</v>
      </c>
      <c r="U799" s="1">
        <f t="shared" si="798"/>
        <v>0</v>
      </c>
    </row>
    <row r="800">
      <c r="A800" s="3">
        <f>IFERROR(__xludf.DUMMYFUNCTION("""COMPUTED_VALUE"""),44719.0)</f>
        <v>44719</v>
      </c>
      <c r="B800" s="1">
        <f t="shared" ref="B800:U800" si="799">IF($A800&gt;0,Megyeinapi!B800/'megyelakosság'!B$2*100000," ")</f>
        <v>0</v>
      </c>
      <c r="C800" s="1">
        <f t="shared" si="799"/>
        <v>0</v>
      </c>
      <c r="D800" s="1">
        <f t="shared" si="799"/>
        <v>0</v>
      </c>
      <c r="E800" s="1">
        <f t="shared" si="799"/>
        <v>0</v>
      </c>
      <c r="F800" s="1">
        <f t="shared" si="799"/>
        <v>0</v>
      </c>
      <c r="G800" s="1">
        <f t="shared" si="799"/>
        <v>0</v>
      </c>
      <c r="H800" s="1">
        <f t="shared" si="799"/>
        <v>0</v>
      </c>
      <c r="I800" s="1">
        <f t="shared" si="799"/>
        <v>0</v>
      </c>
      <c r="J800" s="1">
        <f t="shared" si="799"/>
        <v>0</v>
      </c>
      <c r="K800" s="1">
        <f t="shared" si="799"/>
        <v>0</v>
      </c>
      <c r="L800" s="1">
        <f t="shared" si="799"/>
        <v>0</v>
      </c>
      <c r="M800" s="1">
        <f t="shared" si="799"/>
        <v>0</v>
      </c>
      <c r="N800" s="1">
        <f t="shared" si="799"/>
        <v>0</v>
      </c>
      <c r="O800" s="1">
        <f t="shared" si="799"/>
        <v>0</v>
      </c>
      <c r="P800" s="1">
        <f t="shared" si="799"/>
        <v>0</v>
      </c>
      <c r="Q800" s="1">
        <f t="shared" si="799"/>
        <v>0</v>
      </c>
      <c r="R800" s="1">
        <f t="shared" si="799"/>
        <v>0</v>
      </c>
      <c r="S800" s="1">
        <f t="shared" si="799"/>
        <v>0</v>
      </c>
      <c r="T800" s="1">
        <f t="shared" si="799"/>
        <v>0</v>
      </c>
      <c r="U800" s="1">
        <f t="shared" si="799"/>
        <v>0</v>
      </c>
    </row>
    <row r="801">
      <c r="A801" s="3">
        <f>IFERROR(__xludf.DUMMYFUNCTION("""COMPUTED_VALUE"""),44720.0)</f>
        <v>44720</v>
      </c>
      <c r="B801" s="1">
        <f t="shared" ref="B801:U801" si="800">IF($A801&gt;0,Megyeinapi!B801/'megyelakosság'!B$2*100000," ")</f>
        <v>9.756680339</v>
      </c>
      <c r="C801" s="1">
        <f t="shared" si="800"/>
        <v>17.82188695</v>
      </c>
      <c r="D801" s="1">
        <f t="shared" si="800"/>
        <v>8.77346903</v>
      </c>
      <c r="E801" s="1">
        <f t="shared" si="800"/>
        <v>8.790325619</v>
      </c>
      <c r="F801" s="1">
        <f t="shared" si="800"/>
        <v>34.11007556</v>
      </c>
      <c r="G801" s="1">
        <f t="shared" si="800"/>
        <v>11.54815581</v>
      </c>
      <c r="H801" s="1">
        <f t="shared" si="800"/>
        <v>11.94449156</v>
      </c>
      <c r="I801" s="1">
        <f t="shared" si="800"/>
        <v>17.11963241</v>
      </c>
      <c r="J801" s="1">
        <f t="shared" si="800"/>
        <v>6.83466008</v>
      </c>
      <c r="K801" s="1">
        <f t="shared" si="800"/>
        <v>9.542602609</v>
      </c>
      <c r="L801" s="1">
        <f t="shared" si="800"/>
        <v>12.26475518</v>
      </c>
      <c r="M801" s="1">
        <f t="shared" si="800"/>
        <v>13.62148873</v>
      </c>
      <c r="N801" s="1">
        <f t="shared" si="800"/>
        <v>21.79784361</v>
      </c>
      <c r="O801" s="1">
        <f t="shared" si="800"/>
        <v>18.11731074</v>
      </c>
      <c r="P801" s="1">
        <f t="shared" si="800"/>
        <v>10.66844474</v>
      </c>
      <c r="Q801" s="1">
        <f t="shared" si="800"/>
        <v>19.67112788</v>
      </c>
      <c r="R801" s="1">
        <f t="shared" si="800"/>
        <v>6.032090723</v>
      </c>
      <c r="S801" s="1">
        <f t="shared" si="800"/>
        <v>6.295816823</v>
      </c>
      <c r="T801" s="1">
        <f t="shared" si="800"/>
        <v>12.89728776</v>
      </c>
      <c r="U801" s="1">
        <f t="shared" si="800"/>
        <v>13.09532272</v>
      </c>
    </row>
    <row r="802">
      <c r="A802" s="3">
        <f>IFERROR(__xludf.DUMMYFUNCTION("""COMPUTED_VALUE"""),44721.0)</f>
        <v>44721</v>
      </c>
      <c r="B802" s="1">
        <f t="shared" ref="B802:U802" si="801">IF($A802&gt;0,Megyeinapi!B802/'megyelakosság'!B$2*100000," ")</f>
        <v>0</v>
      </c>
      <c r="C802" s="1">
        <f t="shared" si="801"/>
        <v>0</v>
      </c>
      <c r="D802" s="1">
        <f t="shared" si="801"/>
        <v>0</v>
      </c>
      <c r="E802" s="1">
        <f t="shared" si="801"/>
        <v>0</v>
      </c>
      <c r="F802" s="1">
        <f t="shared" si="801"/>
        <v>0</v>
      </c>
      <c r="G802" s="1">
        <f t="shared" si="801"/>
        <v>0</v>
      </c>
      <c r="H802" s="1">
        <f t="shared" si="801"/>
        <v>0</v>
      </c>
      <c r="I802" s="1">
        <f t="shared" si="801"/>
        <v>0</v>
      </c>
      <c r="J802" s="1">
        <f t="shared" si="801"/>
        <v>0</v>
      </c>
      <c r="K802" s="1">
        <f t="shared" si="801"/>
        <v>0</v>
      </c>
      <c r="L802" s="1">
        <f t="shared" si="801"/>
        <v>0</v>
      </c>
      <c r="M802" s="1">
        <f t="shared" si="801"/>
        <v>0</v>
      </c>
      <c r="N802" s="1">
        <f t="shared" si="801"/>
        <v>0</v>
      </c>
      <c r="O802" s="1">
        <f t="shared" si="801"/>
        <v>0</v>
      </c>
      <c r="P802" s="1">
        <f t="shared" si="801"/>
        <v>0</v>
      </c>
      <c r="Q802" s="1">
        <f t="shared" si="801"/>
        <v>0</v>
      </c>
      <c r="R802" s="1">
        <f t="shared" si="801"/>
        <v>0</v>
      </c>
      <c r="S802" s="1">
        <f t="shared" si="801"/>
        <v>0</v>
      </c>
      <c r="T802" s="1">
        <f t="shared" si="801"/>
        <v>0</v>
      </c>
      <c r="U802" s="1">
        <f t="shared" si="801"/>
        <v>0</v>
      </c>
    </row>
    <row r="803">
      <c r="A803" s="3">
        <f>IFERROR(__xludf.DUMMYFUNCTION("""COMPUTED_VALUE"""),44722.0)</f>
        <v>44722</v>
      </c>
      <c r="B803" s="1">
        <f t="shared" ref="B803:U803" si="802">IF($A803&gt;0,Megyeinapi!B803/'megyelakosság'!B$2*100000," ")</f>
        <v>0</v>
      </c>
      <c r="C803" s="1">
        <f t="shared" si="802"/>
        <v>0</v>
      </c>
      <c r="D803" s="1">
        <f t="shared" si="802"/>
        <v>0</v>
      </c>
      <c r="E803" s="1">
        <f t="shared" si="802"/>
        <v>0</v>
      </c>
      <c r="F803" s="1">
        <f t="shared" si="802"/>
        <v>0</v>
      </c>
      <c r="G803" s="1">
        <f t="shared" si="802"/>
        <v>0</v>
      </c>
      <c r="H803" s="1">
        <f t="shared" si="802"/>
        <v>0</v>
      </c>
      <c r="I803" s="1">
        <f t="shared" si="802"/>
        <v>0</v>
      </c>
      <c r="J803" s="1">
        <f t="shared" si="802"/>
        <v>0</v>
      </c>
      <c r="K803" s="1">
        <f t="shared" si="802"/>
        <v>0</v>
      </c>
      <c r="L803" s="1">
        <f t="shared" si="802"/>
        <v>0</v>
      </c>
      <c r="M803" s="1">
        <f t="shared" si="802"/>
        <v>0</v>
      </c>
      <c r="N803" s="1">
        <f t="shared" si="802"/>
        <v>0</v>
      </c>
      <c r="O803" s="1">
        <f t="shared" si="802"/>
        <v>0</v>
      </c>
      <c r="P803" s="1">
        <f t="shared" si="802"/>
        <v>0</v>
      </c>
      <c r="Q803" s="1">
        <f t="shared" si="802"/>
        <v>0</v>
      </c>
      <c r="R803" s="1">
        <f t="shared" si="802"/>
        <v>0</v>
      </c>
      <c r="S803" s="1">
        <f t="shared" si="802"/>
        <v>0</v>
      </c>
      <c r="T803" s="1">
        <f t="shared" si="802"/>
        <v>0</v>
      </c>
      <c r="U803" s="1">
        <f t="shared" si="802"/>
        <v>0</v>
      </c>
    </row>
    <row r="804">
      <c r="A804" s="3">
        <f>IFERROR(__xludf.DUMMYFUNCTION("""COMPUTED_VALUE"""),44723.0)</f>
        <v>44723</v>
      </c>
      <c r="B804" s="1">
        <f t="shared" ref="B804:U804" si="803">IF($A804&gt;0,Megyeinapi!B804/'megyelakosság'!B$2*100000," ")</f>
        <v>0</v>
      </c>
      <c r="C804" s="1">
        <f t="shared" si="803"/>
        <v>0</v>
      </c>
      <c r="D804" s="1">
        <f t="shared" si="803"/>
        <v>0</v>
      </c>
      <c r="E804" s="1">
        <f t="shared" si="803"/>
        <v>0</v>
      </c>
      <c r="F804" s="1">
        <f t="shared" si="803"/>
        <v>0</v>
      </c>
      <c r="G804" s="1">
        <f t="shared" si="803"/>
        <v>0</v>
      </c>
      <c r="H804" s="1">
        <f t="shared" si="803"/>
        <v>0</v>
      </c>
      <c r="I804" s="1">
        <f t="shared" si="803"/>
        <v>0</v>
      </c>
      <c r="J804" s="1">
        <f t="shared" si="803"/>
        <v>0</v>
      </c>
      <c r="K804" s="1">
        <f t="shared" si="803"/>
        <v>0</v>
      </c>
      <c r="L804" s="1">
        <f t="shared" si="803"/>
        <v>0</v>
      </c>
      <c r="M804" s="1">
        <f t="shared" si="803"/>
        <v>0</v>
      </c>
      <c r="N804" s="1">
        <f t="shared" si="803"/>
        <v>0</v>
      </c>
      <c r="O804" s="1">
        <f t="shared" si="803"/>
        <v>0</v>
      </c>
      <c r="P804" s="1">
        <f t="shared" si="803"/>
        <v>0</v>
      </c>
      <c r="Q804" s="1">
        <f t="shared" si="803"/>
        <v>0</v>
      </c>
      <c r="R804" s="1">
        <f t="shared" si="803"/>
        <v>0</v>
      </c>
      <c r="S804" s="1">
        <f t="shared" si="803"/>
        <v>0</v>
      </c>
      <c r="T804" s="1">
        <f t="shared" si="803"/>
        <v>0</v>
      </c>
      <c r="U804" s="1">
        <f t="shared" si="803"/>
        <v>0</v>
      </c>
    </row>
    <row r="805">
      <c r="A805" s="3">
        <f>IFERROR(__xludf.DUMMYFUNCTION("""COMPUTED_VALUE"""),44724.0)</f>
        <v>44724</v>
      </c>
      <c r="B805" s="1">
        <f t="shared" ref="B805:U805" si="804">IF($A805&gt;0,Megyeinapi!B805/'megyelakosság'!B$2*100000," ")</f>
        <v>0</v>
      </c>
      <c r="C805" s="1">
        <f t="shared" si="804"/>
        <v>0</v>
      </c>
      <c r="D805" s="1">
        <f t="shared" si="804"/>
        <v>0</v>
      </c>
      <c r="E805" s="1">
        <f t="shared" si="804"/>
        <v>0</v>
      </c>
      <c r="F805" s="1">
        <f t="shared" si="804"/>
        <v>0</v>
      </c>
      <c r="G805" s="1">
        <f t="shared" si="804"/>
        <v>0</v>
      </c>
      <c r="H805" s="1">
        <f t="shared" si="804"/>
        <v>0</v>
      </c>
      <c r="I805" s="1">
        <f t="shared" si="804"/>
        <v>0</v>
      </c>
      <c r="J805" s="1">
        <f t="shared" si="804"/>
        <v>0</v>
      </c>
      <c r="K805" s="1">
        <f t="shared" si="804"/>
        <v>0</v>
      </c>
      <c r="L805" s="1">
        <f t="shared" si="804"/>
        <v>0</v>
      </c>
      <c r="M805" s="1">
        <f t="shared" si="804"/>
        <v>0</v>
      </c>
      <c r="N805" s="1">
        <f t="shared" si="804"/>
        <v>0</v>
      </c>
      <c r="O805" s="1">
        <f t="shared" si="804"/>
        <v>0</v>
      </c>
      <c r="P805" s="1">
        <f t="shared" si="804"/>
        <v>0</v>
      </c>
      <c r="Q805" s="1">
        <f t="shared" si="804"/>
        <v>0</v>
      </c>
      <c r="R805" s="1">
        <f t="shared" si="804"/>
        <v>0</v>
      </c>
      <c r="S805" s="1">
        <f t="shared" si="804"/>
        <v>0</v>
      </c>
      <c r="T805" s="1">
        <f t="shared" si="804"/>
        <v>0</v>
      </c>
      <c r="U805" s="1">
        <f t="shared" si="804"/>
        <v>0</v>
      </c>
    </row>
    <row r="806">
      <c r="A806" s="3">
        <f>IFERROR(__xludf.DUMMYFUNCTION("""COMPUTED_VALUE"""),44725.0)</f>
        <v>44725</v>
      </c>
      <c r="B806" s="1">
        <f t="shared" ref="B806:U806" si="805">IF($A806&gt;0,Megyeinapi!B806/'megyelakosság'!B$2*100000," ")</f>
        <v>0</v>
      </c>
      <c r="C806" s="1">
        <f t="shared" si="805"/>
        <v>0</v>
      </c>
      <c r="D806" s="1">
        <f t="shared" si="805"/>
        <v>0</v>
      </c>
      <c r="E806" s="1">
        <f t="shared" si="805"/>
        <v>0</v>
      </c>
      <c r="F806" s="1">
        <f t="shared" si="805"/>
        <v>0</v>
      </c>
      <c r="G806" s="1">
        <f t="shared" si="805"/>
        <v>0</v>
      </c>
      <c r="H806" s="1">
        <f t="shared" si="805"/>
        <v>0</v>
      </c>
      <c r="I806" s="1">
        <f t="shared" si="805"/>
        <v>0</v>
      </c>
      <c r="J806" s="1">
        <f t="shared" si="805"/>
        <v>0</v>
      </c>
      <c r="K806" s="1">
        <f t="shared" si="805"/>
        <v>0</v>
      </c>
      <c r="L806" s="1">
        <f t="shared" si="805"/>
        <v>0</v>
      </c>
      <c r="M806" s="1">
        <f t="shared" si="805"/>
        <v>0</v>
      </c>
      <c r="N806" s="1">
        <f t="shared" si="805"/>
        <v>0</v>
      </c>
      <c r="O806" s="1">
        <f t="shared" si="805"/>
        <v>0</v>
      </c>
      <c r="P806" s="1">
        <f t="shared" si="805"/>
        <v>0</v>
      </c>
      <c r="Q806" s="1">
        <f t="shared" si="805"/>
        <v>0</v>
      </c>
      <c r="R806" s="1">
        <f t="shared" si="805"/>
        <v>0</v>
      </c>
      <c r="S806" s="1">
        <f t="shared" si="805"/>
        <v>0</v>
      </c>
      <c r="T806" s="1">
        <f t="shared" si="805"/>
        <v>0</v>
      </c>
      <c r="U806" s="1">
        <f t="shared" si="805"/>
        <v>0</v>
      </c>
    </row>
    <row r="807">
      <c r="A807" s="3">
        <f>IFERROR(__xludf.DUMMYFUNCTION("""COMPUTED_VALUE"""),44726.0)</f>
        <v>44726</v>
      </c>
      <c r="B807" s="1">
        <f t="shared" ref="B807:U807" si="806">IF($A807&gt;0,Megyeinapi!B807/'megyelakosság'!B$2*100000," ")</f>
        <v>0</v>
      </c>
      <c r="C807" s="1">
        <f t="shared" si="806"/>
        <v>0</v>
      </c>
      <c r="D807" s="1">
        <f t="shared" si="806"/>
        <v>0</v>
      </c>
      <c r="E807" s="1">
        <f t="shared" si="806"/>
        <v>0</v>
      </c>
      <c r="F807" s="1">
        <f t="shared" si="806"/>
        <v>0</v>
      </c>
      <c r="G807" s="1">
        <f t="shared" si="806"/>
        <v>0</v>
      </c>
      <c r="H807" s="1">
        <f t="shared" si="806"/>
        <v>0</v>
      </c>
      <c r="I807" s="1">
        <f t="shared" si="806"/>
        <v>0</v>
      </c>
      <c r="J807" s="1">
        <f t="shared" si="806"/>
        <v>0</v>
      </c>
      <c r="K807" s="1">
        <f t="shared" si="806"/>
        <v>0</v>
      </c>
      <c r="L807" s="1">
        <f t="shared" si="806"/>
        <v>0</v>
      </c>
      <c r="M807" s="1">
        <f t="shared" si="806"/>
        <v>0</v>
      </c>
      <c r="N807" s="1">
        <f t="shared" si="806"/>
        <v>0</v>
      </c>
      <c r="O807" s="1">
        <f t="shared" si="806"/>
        <v>0</v>
      </c>
      <c r="P807" s="1">
        <f t="shared" si="806"/>
        <v>0</v>
      </c>
      <c r="Q807" s="1">
        <f t="shared" si="806"/>
        <v>0</v>
      </c>
      <c r="R807" s="1">
        <f t="shared" si="806"/>
        <v>0</v>
      </c>
      <c r="S807" s="1">
        <f t="shared" si="806"/>
        <v>0</v>
      </c>
      <c r="T807" s="1">
        <f t="shared" si="806"/>
        <v>0</v>
      </c>
      <c r="U807" s="1">
        <f t="shared" si="806"/>
        <v>0</v>
      </c>
    </row>
    <row r="808">
      <c r="A808" s="3">
        <f>IFERROR(__xludf.DUMMYFUNCTION("""COMPUTED_VALUE"""),44727.0)</f>
        <v>44727</v>
      </c>
      <c r="B808" s="1">
        <f t="shared" ref="B808:U808" si="807">IF($A808&gt;0,Megyeinapi!B808/'megyelakosság'!B$2*100000," ")</f>
        <v>10.55314404</v>
      </c>
      <c r="C808" s="1">
        <f t="shared" si="807"/>
        <v>16.15108505</v>
      </c>
      <c r="D808" s="1">
        <f t="shared" si="807"/>
        <v>8.1684022</v>
      </c>
      <c r="E808" s="1">
        <f t="shared" si="807"/>
        <v>10.20305652</v>
      </c>
      <c r="F808" s="1">
        <f t="shared" si="807"/>
        <v>34.33861878</v>
      </c>
      <c r="G808" s="1">
        <f t="shared" si="807"/>
        <v>12.80339014</v>
      </c>
      <c r="H808" s="1">
        <f t="shared" si="807"/>
        <v>12.42227122</v>
      </c>
      <c r="I808" s="1">
        <f t="shared" si="807"/>
        <v>13.73797663</v>
      </c>
      <c r="J808" s="1">
        <f t="shared" si="807"/>
        <v>7.404215087</v>
      </c>
      <c r="K808" s="1">
        <f t="shared" si="807"/>
        <v>8.179373664</v>
      </c>
      <c r="L808" s="1">
        <f t="shared" si="807"/>
        <v>10.90200461</v>
      </c>
      <c r="M808" s="1">
        <f t="shared" si="807"/>
        <v>10.96363727</v>
      </c>
      <c r="N808" s="1">
        <f t="shared" si="807"/>
        <v>23.9244625</v>
      </c>
      <c r="O808" s="1">
        <f t="shared" si="807"/>
        <v>18.0402158</v>
      </c>
      <c r="P808" s="1">
        <f t="shared" si="807"/>
        <v>12.00200033</v>
      </c>
      <c r="Q808" s="1">
        <f t="shared" si="807"/>
        <v>19.67112788</v>
      </c>
      <c r="R808" s="1">
        <f t="shared" si="807"/>
        <v>16.70425123</v>
      </c>
      <c r="S808" s="1">
        <f t="shared" si="807"/>
        <v>4.721862617</v>
      </c>
      <c r="T808" s="1">
        <f t="shared" si="807"/>
        <v>6.741764056</v>
      </c>
      <c r="U808" s="1">
        <f t="shared" si="807"/>
        <v>12.72117065</v>
      </c>
    </row>
    <row r="809">
      <c r="A809" s="3">
        <f>IFERROR(__xludf.DUMMYFUNCTION("""COMPUTED_VALUE"""),44728.0)</f>
        <v>44728</v>
      </c>
      <c r="B809" s="1">
        <f t="shared" ref="B809:U809" si="808">IF($A809&gt;0,Megyeinapi!B809/'megyelakosság'!B$2*100000," ")</f>
        <v>0</v>
      </c>
      <c r="C809" s="1">
        <f t="shared" si="808"/>
        <v>0</v>
      </c>
      <c r="D809" s="1">
        <f t="shared" si="808"/>
        <v>0</v>
      </c>
      <c r="E809" s="1">
        <f t="shared" si="808"/>
        <v>0</v>
      </c>
      <c r="F809" s="1">
        <f t="shared" si="808"/>
        <v>0</v>
      </c>
      <c r="G809" s="1">
        <f t="shared" si="808"/>
        <v>0</v>
      </c>
      <c r="H809" s="1">
        <f t="shared" si="808"/>
        <v>0</v>
      </c>
      <c r="I809" s="1">
        <f t="shared" si="808"/>
        <v>0</v>
      </c>
      <c r="J809" s="1">
        <f t="shared" si="808"/>
        <v>0</v>
      </c>
      <c r="K809" s="1">
        <f t="shared" si="808"/>
        <v>0</v>
      </c>
      <c r="L809" s="1">
        <f t="shared" si="808"/>
        <v>0</v>
      </c>
      <c r="M809" s="1">
        <f t="shared" si="808"/>
        <v>0</v>
      </c>
      <c r="N809" s="1">
        <f t="shared" si="808"/>
        <v>0</v>
      </c>
      <c r="O809" s="1">
        <f t="shared" si="808"/>
        <v>0</v>
      </c>
      <c r="P809" s="1">
        <f t="shared" si="808"/>
        <v>0</v>
      </c>
      <c r="Q809" s="1">
        <f t="shared" si="808"/>
        <v>0</v>
      </c>
      <c r="R809" s="1">
        <f t="shared" si="808"/>
        <v>0</v>
      </c>
      <c r="S809" s="1">
        <f t="shared" si="808"/>
        <v>0</v>
      </c>
      <c r="T809" s="1">
        <f t="shared" si="808"/>
        <v>0</v>
      </c>
      <c r="U809" s="1">
        <f t="shared" si="808"/>
        <v>0</v>
      </c>
    </row>
    <row r="810">
      <c r="A810" s="3">
        <f>IFERROR(__xludf.DUMMYFUNCTION("""COMPUTED_VALUE"""),44729.0)</f>
        <v>44729</v>
      </c>
      <c r="B810" s="1">
        <f t="shared" ref="B810:U810" si="809">IF($A810&gt;0,Megyeinapi!B810/'megyelakosság'!B$2*100000," ")</f>
        <v>0</v>
      </c>
      <c r="C810" s="1">
        <f t="shared" si="809"/>
        <v>0</v>
      </c>
      <c r="D810" s="1">
        <f t="shared" si="809"/>
        <v>0</v>
      </c>
      <c r="E810" s="1">
        <f t="shared" si="809"/>
        <v>0</v>
      </c>
      <c r="F810" s="1">
        <f t="shared" si="809"/>
        <v>0</v>
      </c>
      <c r="G810" s="1">
        <f t="shared" si="809"/>
        <v>0</v>
      </c>
      <c r="H810" s="1">
        <f t="shared" si="809"/>
        <v>0</v>
      </c>
      <c r="I810" s="1">
        <f t="shared" si="809"/>
        <v>0</v>
      </c>
      <c r="J810" s="1">
        <f t="shared" si="809"/>
        <v>0</v>
      </c>
      <c r="K810" s="1">
        <f t="shared" si="809"/>
        <v>0</v>
      </c>
      <c r="L810" s="1">
        <f t="shared" si="809"/>
        <v>0</v>
      </c>
      <c r="M810" s="1">
        <f t="shared" si="809"/>
        <v>0</v>
      </c>
      <c r="N810" s="1">
        <f t="shared" si="809"/>
        <v>0</v>
      </c>
      <c r="O810" s="1">
        <f t="shared" si="809"/>
        <v>0</v>
      </c>
      <c r="P810" s="1">
        <f t="shared" si="809"/>
        <v>0</v>
      </c>
      <c r="Q810" s="1">
        <f t="shared" si="809"/>
        <v>0</v>
      </c>
      <c r="R810" s="1">
        <f t="shared" si="809"/>
        <v>0</v>
      </c>
      <c r="S810" s="1">
        <f t="shared" si="809"/>
        <v>0</v>
      </c>
      <c r="T810" s="1">
        <f t="shared" si="809"/>
        <v>0</v>
      </c>
      <c r="U810" s="1">
        <f t="shared" si="809"/>
        <v>0</v>
      </c>
    </row>
    <row r="811">
      <c r="A811" s="3">
        <f>IFERROR(__xludf.DUMMYFUNCTION("""COMPUTED_VALUE"""),44730.0)</f>
        <v>44730</v>
      </c>
      <c r="B811" s="1">
        <f t="shared" ref="B811:U811" si="810">IF($A811&gt;0,Megyeinapi!B811/'megyelakosság'!B$2*100000," ")</f>
        <v>0</v>
      </c>
      <c r="C811" s="1">
        <f t="shared" si="810"/>
        <v>0</v>
      </c>
      <c r="D811" s="1">
        <f t="shared" si="810"/>
        <v>0</v>
      </c>
      <c r="E811" s="1">
        <f t="shared" si="810"/>
        <v>0</v>
      </c>
      <c r="F811" s="1">
        <f t="shared" si="810"/>
        <v>0</v>
      </c>
      <c r="G811" s="1">
        <f t="shared" si="810"/>
        <v>0</v>
      </c>
      <c r="H811" s="1">
        <f t="shared" si="810"/>
        <v>0</v>
      </c>
      <c r="I811" s="1">
        <f t="shared" si="810"/>
        <v>0</v>
      </c>
      <c r="J811" s="1">
        <f t="shared" si="810"/>
        <v>0</v>
      </c>
      <c r="K811" s="1">
        <f t="shared" si="810"/>
        <v>0</v>
      </c>
      <c r="L811" s="1">
        <f t="shared" si="810"/>
        <v>0</v>
      </c>
      <c r="M811" s="1">
        <f t="shared" si="810"/>
        <v>0</v>
      </c>
      <c r="N811" s="1">
        <f t="shared" si="810"/>
        <v>0</v>
      </c>
      <c r="O811" s="1">
        <f t="shared" si="810"/>
        <v>0</v>
      </c>
      <c r="P811" s="1">
        <f t="shared" si="810"/>
        <v>0</v>
      </c>
      <c r="Q811" s="1">
        <f t="shared" si="810"/>
        <v>0</v>
      </c>
      <c r="R811" s="1">
        <f t="shared" si="810"/>
        <v>0</v>
      </c>
      <c r="S811" s="1">
        <f t="shared" si="810"/>
        <v>0</v>
      </c>
      <c r="T811" s="1">
        <f t="shared" si="810"/>
        <v>0</v>
      </c>
      <c r="U811" s="1">
        <f t="shared" si="810"/>
        <v>0</v>
      </c>
    </row>
    <row r="812">
      <c r="A812" s="3">
        <f>IFERROR(__xludf.DUMMYFUNCTION("""COMPUTED_VALUE"""),44731.0)</f>
        <v>44731</v>
      </c>
      <c r="B812" s="1">
        <f t="shared" ref="B812:U812" si="811">IF($A812&gt;0,Megyeinapi!B812/'megyelakosság'!B$2*100000," ")</f>
        <v>0</v>
      </c>
      <c r="C812" s="1">
        <f t="shared" si="811"/>
        <v>0</v>
      </c>
      <c r="D812" s="1">
        <f t="shared" si="811"/>
        <v>0</v>
      </c>
      <c r="E812" s="1">
        <f t="shared" si="811"/>
        <v>0</v>
      </c>
      <c r="F812" s="1">
        <f t="shared" si="811"/>
        <v>0</v>
      </c>
      <c r="G812" s="1">
        <f t="shared" si="811"/>
        <v>0</v>
      </c>
      <c r="H812" s="1">
        <f t="shared" si="811"/>
        <v>0</v>
      </c>
      <c r="I812" s="1">
        <f t="shared" si="811"/>
        <v>0</v>
      </c>
      <c r="J812" s="1">
        <f t="shared" si="811"/>
        <v>0</v>
      </c>
      <c r="K812" s="1">
        <f t="shared" si="811"/>
        <v>0</v>
      </c>
      <c r="L812" s="1">
        <f t="shared" si="811"/>
        <v>0</v>
      </c>
      <c r="M812" s="1">
        <f t="shared" si="811"/>
        <v>0</v>
      </c>
      <c r="N812" s="1">
        <f t="shared" si="811"/>
        <v>0</v>
      </c>
      <c r="O812" s="1">
        <f t="shared" si="811"/>
        <v>0</v>
      </c>
      <c r="P812" s="1">
        <f t="shared" si="811"/>
        <v>0</v>
      </c>
      <c r="Q812" s="1">
        <f t="shared" si="811"/>
        <v>0</v>
      </c>
      <c r="R812" s="1">
        <f t="shared" si="811"/>
        <v>0</v>
      </c>
      <c r="S812" s="1">
        <f t="shared" si="811"/>
        <v>0</v>
      </c>
      <c r="T812" s="1">
        <f t="shared" si="811"/>
        <v>0</v>
      </c>
      <c r="U812" s="1">
        <f t="shared" si="811"/>
        <v>0</v>
      </c>
    </row>
    <row r="813">
      <c r="A813" s="3">
        <f>IFERROR(__xludf.DUMMYFUNCTION("""COMPUTED_VALUE"""),44732.0)</f>
        <v>44732</v>
      </c>
      <c r="B813" s="1">
        <f t="shared" ref="B813:U813" si="812">IF($A813&gt;0,Megyeinapi!B813/'megyelakosság'!B$2*100000," ")</f>
        <v>0</v>
      </c>
      <c r="C813" s="1">
        <f t="shared" si="812"/>
        <v>0</v>
      </c>
      <c r="D813" s="1">
        <f t="shared" si="812"/>
        <v>0</v>
      </c>
      <c r="E813" s="1">
        <f t="shared" si="812"/>
        <v>0</v>
      </c>
      <c r="F813" s="1">
        <f t="shared" si="812"/>
        <v>0</v>
      </c>
      <c r="G813" s="1">
        <f t="shared" si="812"/>
        <v>0</v>
      </c>
      <c r="H813" s="1">
        <f t="shared" si="812"/>
        <v>0</v>
      </c>
      <c r="I813" s="1">
        <f t="shared" si="812"/>
        <v>0</v>
      </c>
      <c r="J813" s="1">
        <f t="shared" si="812"/>
        <v>0</v>
      </c>
      <c r="K813" s="1">
        <f t="shared" si="812"/>
        <v>0</v>
      </c>
      <c r="L813" s="1">
        <f t="shared" si="812"/>
        <v>0</v>
      </c>
      <c r="M813" s="1">
        <f t="shared" si="812"/>
        <v>0</v>
      </c>
      <c r="N813" s="1">
        <f t="shared" si="812"/>
        <v>0</v>
      </c>
      <c r="O813" s="1">
        <f t="shared" si="812"/>
        <v>0</v>
      </c>
      <c r="P813" s="1">
        <f t="shared" si="812"/>
        <v>0</v>
      </c>
      <c r="Q813" s="1">
        <f t="shared" si="812"/>
        <v>0</v>
      </c>
      <c r="R813" s="1">
        <f t="shared" si="812"/>
        <v>0</v>
      </c>
      <c r="S813" s="1">
        <f t="shared" si="812"/>
        <v>0</v>
      </c>
      <c r="T813" s="1">
        <f t="shared" si="812"/>
        <v>0</v>
      </c>
      <c r="U813" s="1">
        <f t="shared" si="812"/>
        <v>0</v>
      </c>
    </row>
    <row r="814">
      <c r="A814" s="3">
        <f>IFERROR(__xludf.DUMMYFUNCTION("""COMPUTED_VALUE"""),44733.0)</f>
        <v>44733</v>
      </c>
      <c r="B814" s="1">
        <f t="shared" ref="B814:U814" si="813">IF($A814&gt;0,Megyeinapi!B814/'megyelakosság'!B$2*100000," ")</f>
        <v>0</v>
      </c>
      <c r="C814" s="1">
        <f t="shared" si="813"/>
        <v>0</v>
      </c>
      <c r="D814" s="1">
        <f t="shared" si="813"/>
        <v>0</v>
      </c>
      <c r="E814" s="1">
        <f t="shared" si="813"/>
        <v>0</v>
      </c>
      <c r="F814" s="1">
        <f t="shared" si="813"/>
        <v>0</v>
      </c>
      <c r="G814" s="1">
        <f t="shared" si="813"/>
        <v>0</v>
      </c>
      <c r="H814" s="1">
        <f t="shared" si="813"/>
        <v>0</v>
      </c>
      <c r="I814" s="1">
        <f t="shared" si="813"/>
        <v>0</v>
      </c>
      <c r="J814" s="1">
        <f t="shared" si="813"/>
        <v>0</v>
      </c>
      <c r="K814" s="1">
        <f t="shared" si="813"/>
        <v>0</v>
      </c>
      <c r="L814" s="1">
        <f t="shared" si="813"/>
        <v>0</v>
      </c>
      <c r="M814" s="1">
        <f t="shared" si="813"/>
        <v>0</v>
      </c>
      <c r="N814" s="1">
        <f t="shared" si="813"/>
        <v>0</v>
      </c>
      <c r="O814" s="1">
        <f t="shared" si="813"/>
        <v>0</v>
      </c>
      <c r="P814" s="1">
        <f t="shared" si="813"/>
        <v>0</v>
      </c>
      <c r="Q814" s="1">
        <f t="shared" si="813"/>
        <v>0</v>
      </c>
      <c r="R814" s="1">
        <f t="shared" si="813"/>
        <v>0</v>
      </c>
      <c r="S814" s="1">
        <f t="shared" si="813"/>
        <v>0</v>
      </c>
      <c r="T814" s="1">
        <f t="shared" si="813"/>
        <v>0</v>
      </c>
      <c r="U814" s="1">
        <f t="shared" si="813"/>
        <v>0</v>
      </c>
    </row>
    <row r="815">
      <c r="A815" s="3">
        <f>IFERROR(__xludf.DUMMYFUNCTION("""COMPUTED_VALUE"""),44734.0)</f>
        <v>44734</v>
      </c>
      <c r="B815" s="1">
        <f t="shared" ref="B815:U815" si="814">IF($A815&gt;0,Megyeinapi!B815/'megyelakosság'!B$2*100000," ")</f>
        <v>13.53988292</v>
      </c>
      <c r="C815" s="1">
        <f t="shared" si="814"/>
        <v>16.70801901</v>
      </c>
      <c r="D815" s="1">
        <f t="shared" si="814"/>
        <v>4.840534637</v>
      </c>
      <c r="E815" s="1">
        <f t="shared" si="814"/>
        <v>11.45881732</v>
      </c>
      <c r="F815" s="1">
        <f t="shared" si="814"/>
        <v>43.42321176</v>
      </c>
      <c r="G815" s="1">
        <f t="shared" si="814"/>
        <v>21.0879367</v>
      </c>
      <c r="H815" s="1">
        <f t="shared" si="814"/>
        <v>14.33338987</v>
      </c>
      <c r="I815" s="1">
        <f t="shared" si="814"/>
        <v>20.5012882</v>
      </c>
      <c r="J815" s="1">
        <f t="shared" si="814"/>
        <v>7.024511749</v>
      </c>
      <c r="K815" s="1">
        <f t="shared" si="814"/>
        <v>12.2690605</v>
      </c>
      <c r="L815" s="1">
        <f t="shared" si="814"/>
        <v>10.35690438</v>
      </c>
      <c r="M815" s="1">
        <f t="shared" si="814"/>
        <v>9.302480108</v>
      </c>
      <c r="N815" s="1">
        <f t="shared" si="814"/>
        <v>7.44316611</v>
      </c>
      <c r="O815" s="1">
        <f t="shared" si="814"/>
        <v>23.35976662</v>
      </c>
      <c r="P815" s="1">
        <f t="shared" si="814"/>
        <v>17.6696116</v>
      </c>
      <c r="Q815" s="1">
        <f t="shared" si="814"/>
        <v>17.30330694</v>
      </c>
      <c r="R815" s="1">
        <f t="shared" si="814"/>
        <v>16.70425123</v>
      </c>
      <c r="S815" s="1">
        <f t="shared" si="814"/>
        <v>5.902328272</v>
      </c>
      <c r="T815" s="1">
        <f t="shared" si="814"/>
        <v>14.94912899</v>
      </c>
      <c r="U815" s="1">
        <f t="shared" si="814"/>
        <v>13.84362688</v>
      </c>
    </row>
    <row r="816">
      <c r="A816" s="3">
        <f>IFERROR(__xludf.DUMMYFUNCTION("""COMPUTED_VALUE"""),44735.0)</f>
        <v>44735</v>
      </c>
      <c r="B816" s="1">
        <f t="shared" ref="B816:U816" si="815">IF($A816&gt;0,Megyeinapi!B816/'megyelakosság'!B$2*100000," ")</f>
        <v>0</v>
      </c>
      <c r="C816" s="1">
        <f t="shared" si="815"/>
        <v>0</v>
      </c>
      <c r="D816" s="1">
        <f t="shared" si="815"/>
        <v>0</v>
      </c>
      <c r="E816" s="1">
        <f t="shared" si="815"/>
        <v>0</v>
      </c>
      <c r="F816" s="1">
        <f t="shared" si="815"/>
        <v>0</v>
      </c>
      <c r="G816" s="1">
        <f t="shared" si="815"/>
        <v>0</v>
      </c>
      <c r="H816" s="1">
        <f t="shared" si="815"/>
        <v>0</v>
      </c>
      <c r="I816" s="1">
        <f t="shared" si="815"/>
        <v>0</v>
      </c>
      <c r="J816" s="1">
        <f t="shared" si="815"/>
        <v>0</v>
      </c>
      <c r="K816" s="1">
        <f t="shared" si="815"/>
        <v>0</v>
      </c>
      <c r="L816" s="1">
        <f t="shared" si="815"/>
        <v>0</v>
      </c>
      <c r="M816" s="1">
        <f t="shared" si="815"/>
        <v>0</v>
      </c>
      <c r="N816" s="1">
        <f t="shared" si="815"/>
        <v>0</v>
      </c>
      <c r="O816" s="1">
        <f t="shared" si="815"/>
        <v>0</v>
      </c>
      <c r="P816" s="1">
        <f t="shared" si="815"/>
        <v>0</v>
      </c>
      <c r="Q816" s="1">
        <f t="shared" si="815"/>
        <v>0</v>
      </c>
      <c r="R816" s="1">
        <f t="shared" si="815"/>
        <v>0</v>
      </c>
      <c r="S816" s="1">
        <f t="shared" si="815"/>
        <v>0</v>
      </c>
      <c r="T816" s="1">
        <f t="shared" si="815"/>
        <v>0</v>
      </c>
      <c r="U816" s="1">
        <f t="shared" si="815"/>
        <v>0</v>
      </c>
    </row>
    <row r="817">
      <c r="A817" s="3">
        <f>IFERROR(__xludf.DUMMYFUNCTION("""COMPUTED_VALUE"""),44736.0)</f>
        <v>44736</v>
      </c>
      <c r="B817" s="1">
        <f t="shared" ref="B817:U817" si="816">IF($A817&gt;0,Megyeinapi!B817/'megyelakosság'!B$2*100000," ")</f>
        <v>0</v>
      </c>
      <c r="C817" s="1">
        <f t="shared" si="816"/>
        <v>0</v>
      </c>
      <c r="D817" s="1">
        <f t="shared" si="816"/>
        <v>0</v>
      </c>
      <c r="E817" s="1">
        <f t="shared" si="816"/>
        <v>0</v>
      </c>
      <c r="F817" s="1">
        <f t="shared" si="816"/>
        <v>0</v>
      </c>
      <c r="G817" s="1">
        <f t="shared" si="816"/>
        <v>0</v>
      </c>
      <c r="H817" s="1">
        <f t="shared" si="816"/>
        <v>0</v>
      </c>
      <c r="I817" s="1">
        <f t="shared" si="816"/>
        <v>0</v>
      </c>
      <c r="J817" s="1">
        <f t="shared" si="816"/>
        <v>0</v>
      </c>
      <c r="K817" s="1">
        <f t="shared" si="816"/>
        <v>0</v>
      </c>
      <c r="L817" s="1">
        <f t="shared" si="816"/>
        <v>0</v>
      </c>
      <c r="M817" s="1">
        <f t="shared" si="816"/>
        <v>0</v>
      </c>
      <c r="N817" s="1">
        <f t="shared" si="816"/>
        <v>0</v>
      </c>
      <c r="O817" s="1">
        <f t="shared" si="816"/>
        <v>0</v>
      </c>
      <c r="P817" s="1">
        <f t="shared" si="816"/>
        <v>0</v>
      </c>
      <c r="Q817" s="1">
        <f t="shared" si="816"/>
        <v>0</v>
      </c>
      <c r="R817" s="1">
        <f t="shared" si="816"/>
        <v>0</v>
      </c>
      <c r="S817" s="1">
        <f t="shared" si="816"/>
        <v>0</v>
      </c>
      <c r="T817" s="1">
        <f t="shared" si="816"/>
        <v>0</v>
      </c>
      <c r="U817" s="1">
        <f t="shared" si="816"/>
        <v>0</v>
      </c>
    </row>
    <row r="818">
      <c r="A818" s="3">
        <f>IFERROR(__xludf.DUMMYFUNCTION("""COMPUTED_VALUE"""),44737.0)</f>
        <v>44737</v>
      </c>
      <c r="B818" s="1">
        <f t="shared" ref="B818:U818" si="817">IF($A818&gt;0,Megyeinapi!B818/'megyelakosság'!B$2*100000," ")</f>
        <v>0</v>
      </c>
      <c r="C818" s="1">
        <f t="shared" si="817"/>
        <v>0</v>
      </c>
      <c r="D818" s="1">
        <f t="shared" si="817"/>
        <v>0</v>
      </c>
      <c r="E818" s="1">
        <f t="shared" si="817"/>
        <v>0</v>
      </c>
      <c r="F818" s="1">
        <f t="shared" si="817"/>
        <v>0</v>
      </c>
      <c r="G818" s="1">
        <f t="shared" si="817"/>
        <v>0</v>
      </c>
      <c r="H818" s="1">
        <f t="shared" si="817"/>
        <v>0</v>
      </c>
      <c r="I818" s="1">
        <f t="shared" si="817"/>
        <v>0</v>
      </c>
      <c r="J818" s="1">
        <f t="shared" si="817"/>
        <v>0</v>
      </c>
      <c r="K818" s="1">
        <f t="shared" si="817"/>
        <v>0</v>
      </c>
      <c r="L818" s="1">
        <f t="shared" si="817"/>
        <v>0</v>
      </c>
      <c r="M818" s="1">
        <f t="shared" si="817"/>
        <v>0</v>
      </c>
      <c r="N818" s="1">
        <f t="shared" si="817"/>
        <v>0</v>
      </c>
      <c r="O818" s="1">
        <f t="shared" si="817"/>
        <v>0</v>
      </c>
      <c r="P818" s="1">
        <f t="shared" si="817"/>
        <v>0</v>
      </c>
      <c r="Q818" s="1">
        <f t="shared" si="817"/>
        <v>0</v>
      </c>
      <c r="R818" s="1">
        <f t="shared" si="817"/>
        <v>0</v>
      </c>
      <c r="S818" s="1">
        <f t="shared" si="817"/>
        <v>0</v>
      </c>
      <c r="T818" s="1">
        <f t="shared" si="817"/>
        <v>0</v>
      </c>
      <c r="U818" s="1">
        <f t="shared" si="817"/>
        <v>0</v>
      </c>
    </row>
    <row r="819">
      <c r="A819" s="3">
        <f>IFERROR(__xludf.DUMMYFUNCTION("""COMPUTED_VALUE"""),44738.0)</f>
        <v>44738</v>
      </c>
      <c r="B819" s="1">
        <f t="shared" ref="B819:U819" si="818">IF($A819&gt;0,Megyeinapi!B819/'megyelakosság'!B$2*100000," ")</f>
        <v>0</v>
      </c>
      <c r="C819" s="1">
        <f t="shared" si="818"/>
        <v>0</v>
      </c>
      <c r="D819" s="1">
        <f t="shared" si="818"/>
        <v>0</v>
      </c>
      <c r="E819" s="1">
        <f t="shared" si="818"/>
        <v>0</v>
      </c>
      <c r="F819" s="1">
        <f t="shared" si="818"/>
        <v>0</v>
      </c>
      <c r="G819" s="1">
        <f t="shared" si="818"/>
        <v>0</v>
      </c>
      <c r="H819" s="1">
        <f t="shared" si="818"/>
        <v>0</v>
      </c>
      <c r="I819" s="1">
        <f t="shared" si="818"/>
        <v>0</v>
      </c>
      <c r="J819" s="1">
        <f t="shared" si="818"/>
        <v>0</v>
      </c>
      <c r="K819" s="1">
        <f t="shared" si="818"/>
        <v>0</v>
      </c>
      <c r="L819" s="1">
        <f t="shared" si="818"/>
        <v>0</v>
      </c>
      <c r="M819" s="1">
        <f t="shared" si="818"/>
        <v>0</v>
      </c>
      <c r="N819" s="1">
        <f t="shared" si="818"/>
        <v>0</v>
      </c>
      <c r="O819" s="1">
        <f t="shared" si="818"/>
        <v>0</v>
      </c>
      <c r="P819" s="1">
        <f t="shared" si="818"/>
        <v>0</v>
      </c>
      <c r="Q819" s="1">
        <f t="shared" si="818"/>
        <v>0</v>
      </c>
      <c r="R819" s="1">
        <f t="shared" si="818"/>
        <v>0</v>
      </c>
      <c r="S819" s="1">
        <f t="shared" si="818"/>
        <v>0</v>
      </c>
      <c r="T819" s="1">
        <f t="shared" si="818"/>
        <v>0</v>
      </c>
      <c r="U819" s="1">
        <f t="shared" si="818"/>
        <v>0</v>
      </c>
    </row>
    <row r="820">
      <c r="A820" s="3">
        <f>IFERROR(__xludf.DUMMYFUNCTION("""COMPUTED_VALUE"""),44739.0)</f>
        <v>44739</v>
      </c>
      <c r="B820" s="1">
        <f t="shared" ref="B820:U820" si="819">IF($A820&gt;0,Megyeinapi!B820/'megyelakosság'!B$2*100000," ")</f>
        <v>0</v>
      </c>
      <c r="C820" s="1">
        <f t="shared" si="819"/>
        <v>0</v>
      </c>
      <c r="D820" s="1">
        <f t="shared" si="819"/>
        <v>0</v>
      </c>
      <c r="E820" s="1">
        <f t="shared" si="819"/>
        <v>0</v>
      </c>
      <c r="F820" s="1">
        <f t="shared" si="819"/>
        <v>0</v>
      </c>
      <c r="G820" s="1">
        <f t="shared" si="819"/>
        <v>0</v>
      </c>
      <c r="H820" s="1">
        <f t="shared" si="819"/>
        <v>0</v>
      </c>
      <c r="I820" s="1">
        <f t="shared" si="819"/>
        <v>0</v>
      </c>
      <c r="J820" s="1">
        <f t="shared" si="819"/>
        <v>0</v>
      </c>
      <c r="K820" s="1">
        <f t="shared" si="819"/>
        <v>0</v>
      </c>
      <c r="L820" s="1">
        <f t="shared" si="819"/>
        <v>0</v>
      </c>
      <c r="M820" s="1">
        <f t="shared" si="819"/>
        <v>0</v>
      </c>
      <c r="N820" s="1">
        <f t="shared" si="819"/>
        <v>0</v>
      </c>
      <c r="O820" s="1">
        <f t="shared" si="819"/>
        <v>0</v>
      </c>
      <c r="P820" s="1">
        <f t="shared" si="819"/>
        <v>0</v>
      </c>
      <c r="Q820" s="1">
        <f t="shared" si="819"/>
        <v>0</v>
      </c>
      <c r="R820" s="1">
        <f t="shared" si="819"/>
        <v>0</v>
      </c>
      <c r="S820" s="1">
        <f t="shared" si="819"/>
        <v>0</v>
      </c>
      <c r="T820" s="1">
        <f t="shared" si="819"/>
        <v>0</v>
      </c>
      <c r="U820" s="1">
        <f t="shared" si="819"/>
        <v>0</v>
      </c>
    </row>
    <row r="821">
      <c r="A821" s="3">
        <f>IFERROR(__xludf.DUMMYFUNCTION("""COMPUTED_VALUE"""),44740.0)</f>
        <v>44740</v>
      </c>
      <c r="B821" s="1">
        <f t="shared" ref="B821:U821" si="820">IF($A821&gt;0,Megyeinapi!B821/'megyelakosság'!B$2*100000," ")</f>
        <v>0</v>
      </c>
      <c r="C821" s="1">
        <f t="shared" si="820"/>
        <v>0</v>
      </c>
      <c r="D821" s="1">
        <f t="shared" si="820"/>
        <v>0</v>
      </c>
      <c r="E821" s="1">
        <f t="shared" si="820"/>
        <v>0</v>
      </c>
      <c r="F821" s="1">
        <f t="shared" si="820"/>
        <v>0</v>
      </c>
      <c r="G821" s="1">
        <f t="shared" si="820"/>
        <v>0</v>
      </c>
      <c r="H821" s="1">
        <f t="shared" si="820"/>
        <v>0</v>
      </c>
      <c r="I821" s="1">
        <f t="shared" si="820"/>
        <v>0</v>
      </c>
      <c r="J821" s="1">
        <f t="shared" si="820"/>
        <v>0</v>
      </c>
      <c r="K821" s="1">
        <f t="shared" si="820"/>
        <v>0</v>
      </c>
      <c r="L821" s="1">
        <f t="shared" si="820"/>
        <v>0</v>
      </c>
      <c r="M821" s="1">
        <f t="shared" si="820"/>
        <v>0</v>
      </c>
      <c r="N821" s="1">
        <f t="shared" si="820"/>
        <v>0</v>
      </c>
      <c r="O821" s="1">
        <f t="shared" si="820"/>
        <v>0</v>
      </c>
      <c r="P821" s="1">
        <f t="shared" si="820"/>
        <v>0</v>
      </c>
      <c r="Q821" s="1">
        <f t="shared" si="820"/>
        <v>0</v>
      </c>
      <c r="R821" s="1">
        <f t="shared" si="820"/>
        <v>0</v>
      </c>
      <c r="S821" s="1">
        <f t="shared" si="820"/>
        <v>0</v>
      </c>
      <c r="T821" s="1">
        <f t="shared" si="820"/>
        <v>0</v>
      </c>
      <c r="U821" s="1">
        <f t="shared" si="820"/>
        <v>0</v>
      </c>
    </row>
    <row r="822">
      <c r="A822" s="3">
        <f>IFERROR(__xludf.DUMMYFUNCTION("""COMPUTED_VALUE"""),44741.0)</f>
        <v>44741</v>
      </c>
      <c r="B822" s="1">
        <f t="shared" ref="B822:U822" si="821">IF($A822&gt;0,Megyeinapi!B822/'megyelakosság'!B$2*100000," ")</f>
        <v>19.11512883</v>
      </c>
      <c r="C822" s="1">
        <f t="shared" si="821"/>
        <v>25.61896249</v>
      </c>
      <c r="D822" s="1">
        <f t="shared" si="821"/>
        <v>11.19373635</v>
      </c>
      <c r="E822" s="1">
        <f t="shared" si="821"/>
        <v>11.77275753</v>
      </c>
      <c r="F822" s="1">
        <f t="shared" si="821"/>
        <v>61.82094096</v>
      </c>
      <c r="G822" s="1">
        <f t="shared" si="821"/>
        <v>24.10049908</v>
      </c>
      <c r="H822" s="1">
        <f t="shared" si="821"/>
        <v>24.12787295</v>
      </c>
      <c r="I822" s="1">
        <f t="shared" si="821"/>
        <v>31.28031602</v>
      </c>
      <c r="J822" s="1">
        <f t="shared" si="821"/>
        <v>16.70694686</v>
      </c>
      <c r="K822" s="1">
        <f t="shared" si="821"/>
        <v>23.51569929</v>
      </c>
      <c r="L822" s="1">
        <f t="shared" si="821"/>
        <v>16.62555702</v>
      </c>
      <c r="M822" s="1">
        <f t="shared" si="821"/>
        <v>19.26942308</v>
      </c>
      <c r="N822" s="1">
        <f t="shared" si="821"/>
        <v>23.39280777</v>
      </c>
      <c r="O822" s="1">
        <f t="shared" si="821"/>
        <v>40.08936845</v>
      </c>
      <c r="P822" s="1">
        <f t="shared" si="821"/>
        <v>26.67111185</v>
      </c>
      <c r="Q822" s="1">
        <f t="shared" si="821"/>
        <v>22.9496492</v>
      </c>
      <c r="R822" s="1">
        <f t="shared" si="821"/>
        <v>29.69644663</v>
      </c>
      <c r="S822" s="1">
        <f t="shared" si="821"/>
        <v>20.85489323</v>
      </c>
      <c r="T822" s="1">
        <f t="shared" si="821"/>
        <v>26.96705622</v>
      </c>
      <c r="U822" s="1">
        <f t="shared" si="821"/>
        <v>22.44912467</v>
      </c>
    </row>
    <row r="823">
      <c r="A823" s="3">
        <f>IFERROR(__xludf.DUMMYFUNCTION("""COMPUTED_VALUE"""),44742.0)</f>
        <v>44742</v>
      </c>
      <c r="B823" s="1">
        <f t="shared" ref="B823:U823" si="822">IF($A823&gt;0,Megyeinapi!B823/'megyelakosság'!B$2*100000," ")</f>
        <v>0</v>
      </c>
      <c r="C823" s="1">
        <f t="shared" si="822"/>
        <v>0</v>
      </c>
      <c r="D823" s="1">
        <f t="shared" si="822"/>
        <v>0</v>
      </c>
      <c r="E823" s="1">
        <f t="shared" si="822"/>
        <v>0</v>
      </c>
      <c r="F823" s="1">
        <f t="shared" si="822"/>
        <v>0</v>
      </c>
      <c r="G823" s="1">
        <f t="shared" si="822"/>
        <v>0</v>
      </c>
      <c r="H823" s="1">
        <f t="shared" si="822"/>
        <v>0</v>
      </c>
      <c r="I823" s="1">
        <f t="shared" si="822"/>
        <v>0</v>
      </c>
      <c r="J823" s="1">
        <f t="shared" si="822"/>
        <v>0</v>
      </c>
      <c r="K823" s="1">
        <f t="shared" si="822"/>
        <v>0</v>
      </c>
      <c r="L823" s="1">
        <f t="shared" si="822"/>
        <v>0</v>
      </c>
      <c r="M823" s="1">
        <f t="shared" si="822"/>
        <v>0</v>
      </c>
      <c r="N823" s="1">
        <f t="shared" si="822"/>
        <v>0</v>
      </c>
      <c r="O823" s="1">
        <f t="shared" si="822"/>
        <v>0</v>
      </c>
      <c r="P823" s="1">
        <f t="shared" si="822"/>
        <v>0</v>
      </c>
      <c r="Q823" s="1">
        <f t="shared" si="822"/>
        <v>0</v>
      </c>
      <c r="R823" s="1">
        <f t="shared" si="822"/>
        <v>0</v>
      </c>
      <c r="S823" s="1">
        <f t="shared" si="822"/>
        <v>0</v>
      </c>
      <c r="T823" s="1">
        <f t="shared" si="822"/>
        <v>0</v>
      </c>
      <c r="U823" s="1">
        <f t="shared" si="822"/>
        <v>0</v>
      </c>
    </row>
    <row r="824">
      <c r="A824" s="3">
        <f>IFERROR(__xludf.DUMMYFUNCTION("""COMPUTED_VALUE"""),44743.0)</f>
        <v>44743</v>
      </c>
      <c r="B824" s="1">
        <f t="shared" ref="B824:U824" si="823">IF($A824&gt;0,Megyeinapi!B824/'megyelakosság'!B$2*100000," ")</f>
        <v>0</v>
      </c>
      <c r="C824" s="1">
        <f t="shared" si="823"/>
        <v>0</v>
      </c>
      <c r="D824" s="1">
        <f t="shared" si="823"/>
        <v>0</v>
      </c>
      <c r="E824" s="1">
        <f t="shared" si="823"/>
        <v>0</v>
      </c>
      <c r="F824" s="1">
        <f t="shared" si="823"/>
        <v>0</v>
      </c>
      <c r="G824" s="1">
        <f t="shared" si="823"/>
        <v>0</v>
      </c>
      <c r="H824" s="1">
        <f t="shared" si="823"/>
        <v>0</v>
      </c>
      <c r="I824" s="1">
        <f t="shared" si="823"/>
        <v>0</v>
      </c>
      <c r="J824" s="1">
        <f t="shared" si="823"/>
        <v>0</v>
      </c>
      <c r="K824" s="1">
        <f t="shared" si="823"/>
        <v>0</v>
      </c>
      <c r="L824" s="1">
        <f t="shared" si="823"/>
        <v>0</v>
      </c>
      <c r="M824" s="1">
        <f t="shared" si="823"/>
        <v>0</v>
      </c>
      <c r="N824" s="1">
        <f t="shared" si="823"/>
        <v>0</v>
      </c>
      <c r="O824" s="1">
        <f t="shared" si="823"/>
        <v>0</v>
      </c>
      <c r="P824" s="1">
        <f t="shared" si="823"/>
        <v>0</v>
      </c>
      <c r="Q824" s="1">
        <f t="shared" si="823"/>
        <v>0</v>
      </c>
      <c r="R824" s="1">
        <f t="shared" si="823"/>
        <v>0</v>
      </c>
      <c r="S824" s="1">
        <f t="shared" si="823"/>
        <v>0</v>
      </c>
      <c r="T824" s="1">
        <f t="shared" si="823"/>
        <v>0</v>
      </c>
      <c r="U824" s="1">
        <f t="shared" si="823"/>
        <v>0</v>
      </c>
    </row>
    <row r="825">
      <c r="A825" s="3">
        <f>IFERROR(__xludf.DUMMYFUNCTION("""COMPUTED_VALUE"""),44744.0)</f>
        <v>44744</v>
      </c>
      <c r="B825" s="1">
        <f t="shared" ref="B825:U825" si="824">IF($A825&gt;0,Megyeinapi!B825/'megyelakosság'!B$2*100000," ")</f>
        <v>0</v>
      </c>
      <c r="C825" s="1">
        <f t="shared" si="824"/>
        <v>0</v>
      </c>
      <c r="D825" s="1">
        <f t="shared" si="824"/>
        <v>0</v>
      </c>
      <c r="E825" s="1">
        <f t="shared" si="824"/>
        <v>0</v>
      </c>
      <c r="F825" s="1">
        <f t="shared" si="824"/>
        <v>0</v>
      </c>
      <c r="G825" s="1">
        <f t="shared" si="824"/>
        <v>0</v>
      </c>
      <c r="H825" s="1">
        <f t="shared" si="824"/>
        <v>0</v>
      </c>
      <c r="I825" s="1">
        <f t="shared" si="824"/>
        <v>0</v>
      </c>
      <c r="J825" s="1">
        <f t="shared" si="824"/>
        <v>0</v>
      </c>
      <c r="K825" s="1">
        <f t="shared" si="824"/>
        <v>0</v>
      </c>
      <c r="L825" s="1">
        <f t="shared" si="824"/>
        <v>0</v>
      </c>
      <c r="M825" s="1">
        <f t="shared" si="824"/>
        <v>0</v>
      </c>
      <c r="N825" s="1">
        <f t="shared" si="824"/>
        <v>0</v>
      </c>
      <c r="O825" s="1">
        <f t="shared" si="824"/>
        <v>0</v>
      </c>
      <c r="P825" s="1">
        <f t="shared" si="824"/>
        <v>0</v>
      </c>
      <c r="Q825" s="1">
        <f t="shared" si="824"/>
        <v>0</v>
      </c>
      <c r="R825" s="1">
        <f t="shared" si="824"/>
        <v>0</v>
      </c>
      <c r="S825" s="1">
        <f t="shared" si="824"/>
        <v>0</v>
      </c>
      <c r="T825" s="1">
        <f t="shared" si="824"/>
        <v>0</v>
      </c>
      <c r="U825" s="1">
        <f t="shared" si="824"/>
        <v>0</v>
      </c>
    </row>
    <row r="826">
      <c r="A826" s="3">
        <f>IFERROR(__xludf.DUMMYFUNCTION("""COMPUTED_VALUE"""),44745.0)</f>
        <v>44745</v>
      </c>
      <c r="B826" s="1">
        <f t="shared" ref="B826:U826" si="825">IF($A826&gt;0,Megyeinapi!B826/'megyelakosság'!B$2*100000," ")</f>
        <v>0</v>
      </c>
      <c r="C826" s="1">
        <f t="shared" si="825"/>
        <v>0</v>
      </c>
      <c r="D826" s="1">
        <f t="shared" si="825"/>
        <v>0</v>
      </c>
      <c r="E826" s="1">
        <f t="shared" si="825"/>
        <v>0</v>
      </c>
      <c r="F826" s="1">
        <f t="shared" si="825"/>
        <v>0</v>
      </c>
      <c r="G826" s="1">
        <f t="shared" si="825"/>
        <v>0</v>
      </c>
      <c r="H826" s="1">
        <f t="shared" si="825"/>
        <v>0</v>
      </c>
      <c r="I826" s="1">
        <f t="shared" si="825"/>
        <v>0</v>
      </c>
      <c r="J826" s="1">
        <f t="shared" si="825"/>
        <v>0</v>
      </c>
      <c r="K826" s="1">
        <f t="shared" si="825"/>
        <v>0</v>
      </c>
      <c r="L826" s="1">
        <f t="shared" si="825"/>
        <v>0</v>
      </c>
      <c r="M826" s="1">
        <f t="shared" si="825"/>
        <v>0</v>
      </c>
      <c r="N826" s="1">
        <f t="shared" si="825"/>
        <v>0</v>
      </c>
      <c r="O826" s="1">
        <f t="shared" si="825"/>
        <v>0</v>
      </c>
      <c r="P826" s="1">
        <f t="shared" si="825"/>
        <v>0</v>
      </c>
      <c r="Q826" s="1">
        <f t="shared" si="825"/>
        <v>0</v>
      </c>
      <c r="R826" s="1">
        <f t="shared" si="825"/>
        <v>0</v>
      </c>
      <c r="S826" s="1">
        <f t="shared" si="825"/>
        <v>0</v>
      </c>
      <c r="T826" s="1">
        <f t="shared" si="825"/>
        <v>0</v>
      </c>
      <c r="U826" s="1">
        <f t="shared" si="825"/>
        <v>0</v>
      </c>
    </row>
    <row r="827">
      <c r="A827" s="3">
        <f>IFERROR(__xludf.DUMMYFUNCTION("""COMPUTED_VALUE"""),44746.0)</f>
        <v>44746</v>
      </c>
      <c r="B827" s="1">
        <f t="shared" ref="B827:U827" si="826">IF($A827&gt;0,Megyeinapi!B827/'megyelakosság'!B$2*100000," ")</f>
        <v>0</v>
      </c>
      <c r="C827" s="1">
        <f t="shared" si="826"/>
        <v>0</v>
      </c>
      <c r="D827" s="1">
        <f t="shared" si="826"/>
        <v>0</v>
      </c>
      <c r="E827" s="1">
        <f t="shared" si="826"/>
        <v>0</v>
      </c>
      <c r="F827" s="1">
        <f t="shared" si="826"/>
        <v>0</v>
      </c>
      <c r="G827" s="1">
        <f t="shared" si="826"/>
        <v>0</v>
      </c>
      <c r="H827" s="1">
        <f t="shared" si="826"/>
        <v>0</v>
      </c>
      <c r="I827" s="1">
        <f t="shared" si="826"/>
        <v>0</v>
      </c>
      <c r="J827" s="1">
        <f t="shared" si="826"/>
        <v>0</v>
      </c>
      <c r="K827" s="1">
        <f t="shared" si="826"/>
        <v>0</v>
      </c>
      <c r="L827" s="1">
        <f t="shared" si="826"/>
        <v>0</v>
      </c>
      <c r="M827" s="1">
        <f t="shared" si="826"/>
        <v>0</v>
      </c>
      <c r="N827" s="1">
        <f t="shared" si="826"/>
        <v>0</v>
      </c>
      <c r="O827" s="1">
        <f t="shared" si="826"/>
        <v>0</v>
      </c>
      <c r="P827" s="1">
        <f t="shared" si="826"/>
        <v>0</v>
      </c>
      <c r="Q827" s="1">
        <f t="shared" si="826"/>
        <v>0</v>
      </c>
      <c r="R827" s="1">
        <f t="shared" si="826"/>
        <v>0</v>
      </c>
      <c r="S827" s="1">
        <f t="shared" si="826"/>
        <v>0</v>
      </c>
      <c r="T827" s="1">
        <f t="shared" si="826"/>
        <v>0</v>
      </c>
      <c r="U827" s="1">
        <f t="shared" si="826"/>
        <v>0</v>
      </c>
    </row>
    <row r="828">
      <c r="A828" s="3">
        <f>IFERROR(__xludf.DUMMYFUNCTION("""COMPUTED_VALUE"""),44747.0)</f>
        <v>44747</v>
      </c>
      <c r="B828" s="1">
        <f t="shared" ref="B828:U828" si="827">IF($A828&gt;0,Megyeinapi!B828/'megyelakosság'!B$2*100000," ")</f>
        <v>0</v>
      </c>
      <c r="C828" s="1">
        <f t="shared" si="827"/>
        <v>0</v>
      </c>
      <c r="D828" s="1">
        <f t="shared" si="827"/>
        <v>0</v>
      </c>
      <c r="E828" s="1">
        <f t="shared" si="827"/>
        <v>0</v>
      </c>
      <c r="F828" s="1">
        <f t="shared" si="827"/>
        <v>0</v>
      </c>
      <c r="G828" s="1">
        <f t="shared" si="827"/>
        <v>0</v>
      </c>
      <c r="H828" s="1">
        <f t="shared" si="827"/>
        <v>0</v>
      </c>
      <c r="I828" s="1">
        <f t="shared" si="827"/>
        <v>0</v>
      </c>
      <c r="J828" s="1">
        <f t="shared" si="827"/>
        <v>0</v>
      </c>
      <c r="K828" s="1">
        <f t="shared" si="827"/>
        <v>0</v>
      </c>
      <c r="L828" s="1">
        <f t="shared" si="827"/>
        <v>0</v>
      </c>
      <c r="M828" s="1">
        <f t="shared" si="827"/>
        <v>0</v>
      </c>
      <c r="N828" s="1">
        <f t="shared" si="827"/>
        <v>0</v>
      </c>
      <c r="O828" s="1">
        <f t="shared" si="827"/>
        <v>0</v>
      </c>
      <c r="P828" s="1">
        <f t="shared" si="827"/>
        <v>0</v>
      </c>
      <c r="Q828" s="1">
        <f t="shared" si="827"/>
        <v>0</v>
      </c>
      <c r="R828" s="1">
        <f t="shared" si="827"/>
        <v>0</v>
      </c>
      <c r="S828" s="1">
        <f t="shared" si="827"/>
        <v>0</v>
      </c>
      <c r="T828" s="1">
        <f t="shared" si="827"/>
        <v>0</v>
      </c>
      <c r="U828" s="1">
        <f t="shared" si="827"/>
        <v>0</v>
      </c>
    </row>
    <row r="829">
      <c r="A829" s="3">
        <f>IFERROR(__xludf.DUMMYFUNCTION("""COMPUTED_VALUE"""),44748.0)</f>
        <v>44748</v>
      </c>
      <c r="B829" s="1">
        <f t="shared" ref="B829:U829" si="828">IF($A829&gt;0,Megyeinapi!B829/'megyelakosság'!B$2*100000," ")</f>
        <v>33.25235952</v>
      </c>
      <c r="C829" s="1">
        <f t="shared" si="828"/>
        <v>43.71931642</v>
      </c>
      <c r="D829" s="1">
        <f t="shared" si="828"/>
        <v>19.66467196</v>
      </c>
      <c r="E829" s="1">
        <f t="shared" si="828"/>
        <v>21.66187385</v>
      </c>
      <c r="F829" s="1">
        <f t="shared" si="828"/>
        <v>89.87462119</v>
      </c>
      <c r="G829" s="1">
        <f t="shared" si="828"/>
        <v>34.64446743</v>
      </c>
      <c r="H829" s="1">
        <f t="shared" si="828"/>
        <v>33.44457636</v>
      </c>
      <c r="I829" s="1">
        <f t="shared" si="828"/>
        <v>60.44709717</v>
      </c>
      <c r="J829" s="1">
        <f t="shared" si="828"/>
        <v>27.52849199</v>
      </c>
      <c r="K829" s="1">
        <f t="shared" si="828"/>
        <v>38.51121767</v>
      </c>
      <c r="L829" s="1">
        <f t="shared" si="828"/>
        <v>29.43541244</v>
      </c>
      <c r="M829" s="1">
        <f t="shared" si="828"/>
        <v>30.89752321</v>
      </c>
      <c r="N829" s="1">
        <f t="shared" si="828"/>
        <v>29.77266444</v>
      </c>
      <c r="O829" s="1">
        <f t="shared" si="828"/>
        <v>57.28153993</v>
      </c>
      <c r="P829" s="1">
        <f t="shared" si="828"/>
        <v>28.00466744</v>
      </c>
      <c r="Q829" s="1">
        <f t="shared" si="828"/>
        <v>40.07081606</v>
      </c>
      <c r="R829" s="1">
        <f t="shared" si="828"/>
        <v>46.40069787</v>
      </c>
      <c r="S829" s="1">
        <f t="shared" si="828"/>
        <v>46.43164907</v>
      </c>
      <c r="T829" s="1">
        <f t="shared" si="828"/>
        <v>32.2432194</v>
      </c>
      <c r="U829" s="1">
        <f t="shared" si="828"/>
        <v>40.78257649</v>
      </c>
    </row>
    <row r="830">
      <c r="A830" s="3">
        <f>IFERROR(__xludf.DUMMYFUNCTION("""COMPUTED_VALUE"""),44749.0)</f>
        <v>44749</v>
      </c>
      <c r="B830" s="1">
        <f t="shared" ref="B830:U830" si="829">IF($A830&gt;0,Megyeinapi!B830/'megyelakosság'!B$2*100000," ")</f>
        <v>0</v>
      </c>
      <c r="C830" s="1">
        <f t="shared" si="829"/>
        <v>0</v>
      </c>
      <c r="D830" s="1">
        <f t="shared" si="829"/>
        <v>0</v>
      </c>
      <c r="E830" s="1">
        <f t="shared" si="829"/>
        <v>0</v>
      </c>
      <c r="F830" s="1">
        <f t="shared" si="829"/>
        <v>0</v>
      </c>
      <c r="G830" s="1">
        <f t="shared" si="829"/>
        <v>0</v>
      </c>
      <c r="H830" s="1">
        <f t="shared" si="829"/>
        <v>0</v>
      </c>
      <c r="I830" s="1">
        <f t="shared" si="829"/>
        <v>0</v>
      </c>
      <c r="J830" s="1">
        <f t="shared" si="829"/>
        <v>0</v>
      </c>
      <c r="K830" s="1">
        <f t="shared" si="829"/>
        <v>0</v>
      </c>
      <c r="L830" s="1">
        <f t="shared" si="829"/>
        <v>0</v>
      </c>
      <c r="M830" s="1">
        <f t="shared" si="829"/>
        <v>0</v>
      </c>
      <c r="N830" s="1">
        <f t="shared" si="829"/>
        <v>0</v>
      </c>
      <c r="O830" s="1">
        <f t="shared" si="829"/>
        <v>0</v>
      </c>
      <c r="P830" s="1">
        <f t="shared" si="829"/>
        <v>0</v>
      </c>
      <c r="Q830" s="1">
        <f t="shared" si="829"/>
        <v>0</v>
      </c>
      <c r="R830" s="1">
        <f t="shared" si="829"/>
        <v>0</v>
      </c>
      <c r="S830" s="1">
        <f t="shared" si="829"/>
        <v>0</v>
      </c>
      <c r="T830" s="1">
        <f t="shared" si="829"/>
        <v>0</v>
      </c>
      <c r="U830" s="1">
        <f t="shared" si="829"/>
        <v>0</v>
      </c>
    </row>
    <row r="831">
      <c r="A831" s="3">
        <f>IFERROR(__xludf.DUMMYFUNCTION("""COMPUTED_VALUE"""),44750.0)</f>
        <v>44750</v>
      </c>
      <c r="B831" s="1">
        <f t="shared" ref="B831:U831" si="830">IF($A831&gt;0,Megyeinapi!B831/'megyelakosság'!B$2*100000," ")</f>
        <v>0</v>
      </c>
      <c r="C831" s="1">
        <f t="shared" si="830"/>
        <v>0</v>
      </c>
      <c r="D831" s="1">
        <f t="shared" si="830"/>
        <v>0</v>
      </c>
      <c r="E831" s="1">
        <f t="shared" si="830"/>
        <v>0</v>
      </c>
      <c r="F831" s="1">
        <f t="shared" si="830"/>
        <v>0</v>
      </c>
      <c r="G831" s="1">
        <f t="shared" si="830"/>
        <v>0</v>
      </c>
      <c r="H831" s="1">
        <f t="shared" si="830"/>
        <v>0</v>
      </c>
      <c r="I831" s="1">
        <f t="shared" si="830"/>
        <v>0</v>
      </c>
      <c r="J831" s="1">
        <f t="shared" si="830"/>
        <v>0</v>
      </c>
      <c r="K831" s="1">
        <f t="shared" si="830"/>
        <v>0</v>
      </c>
      <c r="L831" s="1">
        <f t="shared" si="830"/>
        <v>0</v>
      </c>
      <c r="M831" s="1">
        <f t="shared" si="830"/>
        <v>0</v>
      </c>
      <c r="N831" s="1">
        <f t="shared" si="830"/>
        <v>0</v>
      </c>
      <c r="O831" s="1">
        <f t="shared" si="830"/>
        <v>0</v>
      </c>
      <c r="P831" s="1">
        <f t="shared" si="830"/>
        <v>0</v>
      </c>
      <c r="Q831" s="1">
        <f t="shared" si="830"/>
        <v>0</v>
      </c>
      <c r="R831" s="1">
        <f t="shared" si="830"/>
        <v>0</v>
      </c>
      <c r="S831" s="1">
        <f t="shared" si="830"/>
        <v>0</v>
      </c>
      <c r="T831" s="1">
        <f t="shared" si="830"/>
        <v>0</v>
      </c>
      <c r="U831" s="1">
        <f t="shared" si="830"/>
        <v>0</v>
      </c>
    </row>
    <row r="832">
      <c r="A832" s="3">
        <f>IFERROR(__xludf.DUMMYFUNCTION("""COMPUTED_VALUE"""),44751.0)</f>
        <v>44751</v>
      </c>
      <c r="B832" s="1">
        <f t="shared" ref="B832:U832" si="831">IF($A832&gt;0,Megyeinapi!B832/'megyelakosság'!B$2*100000," ")</f>
        <v>0</v>
      </c>
      <c r="C832" s="1">
        <f t="shared" si="831"/>
        <v>0</v>
      </c>
      <c r="D832" s="1">
        <f t="shared" si="831"/>
        <v>0</v>
      </c>
      <c r="E832" s="1">
        <f t="shared" si="831"/>
        <v>0</v>
      </c>
      <c r="F832" s="1">
        <f t="shared" si="831"/>
        <v>0</v>
      </c>
      <c r="G832" s="1">
        <f t="shared" si="831"/>
        <v>0</v>
      </c>
      <c r="H832" s="1">
        <f t="shared" si="831"/>
        <v>0</v>
      </c>
      <c r="I832" s="1">
        <f t="shared" si="831"/>
        <v>0</v>
      </c>
      <c r="J832" s="1">
        <f t="shared" si="831"/>
        <v>0</v>
      </c>
      <c r="K832" s="1">
        <f t="shared" si="831"/>
        <v>0</v>
      </c>
      <c r="L832" s="1">
        <f t="shared" si="831"/>
        <v>0</v>
      </c>
      <c r="M832" s="1">
        <f t="shared" si="831"/>
        <v>0</v>
      </c>
      <c r="N832" s="1">
        <f t="shared" si="831"/>
        <v>0</v>
      </c>
      <c r="O832" s="1">
        <f t="shared" si="831"/>
        <v>0</v>
      </c>
      <c r="P832" s="1">
        <f t="shared" si="831"/>
        <v>0</v>
      </c>
      <c r="Q832" s="1">
        <f t="shared" si="831"/>
        <v>0</v>
      </c>
      <c r="R832" s="1">
        <f t="shared" si="831"/>
        <v>0</v>
      </c>
      <c r="S832" s="1">
        <f t="shared" si="831"/>
        <v>0</v>
      </c>
      <c r="T832" s="1">
        <f t="shared" si="831"/>
        <v>0</v>
      </c>
      <c r="U832" s="1">
        <f t="shared" si="831"/>
        <v>0</v>
      </c>
    </row>
    <row r="833">
      <c r="A833" s="3">
        <f>IFERROR(__xludf.DUMMYFUNCTION("""COMPUTED_VALUE"""),44752.0)</f>
        <v>44752</v>
      </c>
      <c r="B833" s="1">
        <f t="shared" ref="B833:U833" si="832">IF($A833&gt;0,Megyeinapi!B833/'megyelakosság'!B$2*100000," ")</f>
        <v>0</v>
      </c>
      <c r="C833" s="1">
        <f t="shared" si="832"/>
        <v>0</v>
      </c>
      <c r="D833" s="1">
        <f t="shared" si="832"/>
        <v>0</v>
      </c>
      <c r="E833" s="1">
        <f t="shared" si="832"/>
        <v>0</v>
      </c>
      <c r="F833" s="1">
        <f t="shared" si="832"/>
        <v>0</v>
      </c>
      <c r="G833" s="1">
        <f t="shared" si="832"/>
        <v>0</v>
      </c>
      <c r="H833" s="1">
        <f t="shared" si="832"/>
        <v>0</v>
      </c>
      <c r="I833" s="1">
        <f t="shared" si="832"/>
        <v>0</v>
      </c>
      <c r="J833" s="1">
        <f t="shared" si="832"/>
        <v>0</v>
      </c>
      <c r="K833" s="1">
        <f t="shared" si="832"/>
        <v>0</v>
      </c>
      <c r="L833" s="1">
        <f t="shared" si="832"/>
        <v>0</v>
      </c>
      <c r="M833" s="1">
        <f t="shared" si="832"/>
        <v>0</v>
      </c>
      <c r="N833" s="1">
        <f t="shared" si="832"/>
        <v>0</v>
      </c>
      <c r="O833" s="1">
        <f t="shared" si="832"/>
        <v>0</v>
      </c>
      <c r="P833" s="1">
        <f t="shared" si="832"/>
        <v>0</v>
      </c>
      <c r="Q833" s="1">
        <f t="shared" si="832"/>
        <v>0</v>
      </c>
      <c r="R833" s="1">
        <f t="shared" si="832"/>
        <v>0</v>
      </c>
      <c r="S833" s="1">
        <f t="shared" si="832"/>
        <v>0</v>
      </c>
      <c r="T833" s="1">
        <f t="shared" si="832"/>
        <v>0</v>
      </c>
      <c r="U833" s="1">
        <f t="shared" si="832"/>
        <v>0</v>
      </c>
    </row>
    <row r="834">
      <c r="A834" s="3">
        <f>IFERROR(__xludf.DUMMYFUNCTION("""COMPUTED_VALUE"""),44753.0)</f>
        <v>44753</v>
      </c>
      <c r="B834" s="1">
        <f t="shared" ref="B834:U834" si="833">IF($A834&gt;0,Megyeinapi!B834/'megyelakosság'!B$2*100000," ")</f>
        <v>0</v>
      </c>
      <c r="C834" s="1">
        <f t="shared" si="833"/>
        <v>0</v>
      </c>
      <c r="D834" s="1">
        <f t="shared" si="833"/>
        <v>0</v>
      </c>
      <c r="E834" s="1">
        <f t="shared" si="833"/>
        <v>0</v>
      </c>
      <c r="F834" s="1">
        <f t="shared" si="833"/>
        <v>0</v>
      </c>
      <c r="G834" s="1">
        <f t="shared" si="833"/>
        <v>0</v>
      </c>
      <c r="H834" s="1">
        <f t="shared" si="833"/>
        <v>0</v>
      </c>
      <c r="I834" s="1">
        <f t="shared" si="833"/>
        <v>0</v>
      </c>
      <c r="J834" s="1">
        <f t="shared" si="833"/>
        <v>0</v>
      </c>
      <c r="K834" s="1">
        <f t="shared" si="833"/>
        <v>0</v>
      </c>
      <c r="L834" s="1">
        <f t="shared" si="833"/>
        <v>0</v>
      </c>
      <c r="M834" s="1">
        <f t="shared" si="833"/>
        <v>0</v>
      </c>
      <c r="N834" s="1">
        <f t="shared" si="833"/>
        <v>0</v>
      </c>
      <c r="O834" s="1">
        <f t="shared" si="833"/>
        <v>0</v>
      </c>
      <c r="P834" s="1">
        <f t="shared" si="833"/>
        <v>0</v>
      </c>
      <c r="Q834" s="1">
        <f t="shared" si="833"/>
        <v>0</v>
      </c>
      <c r="R834" s="1">
        <f t="shared" si="833"/>
        <v>0</v>
      </c>
      <c r="S834" s="1">
        <f t="shared" si="833"/>
        <v>0</v>
      </c>
      <c r="T834" s="1">
        <f t="shared" si="833"/>
        <v>0</v>
      </c>
      <c r="U834" s="1">
        <f t="shared" si="833"/>
        <v>0</v>
      </c>
    </row>
    <row r="835">
      <c r="A835" s="3">
        <f>IFERROR(__xludf.DUMMYFUNCTION("""COMPUTED_VALUE"""),44754.0)</f>
        <v>44754</v>
      </c>
      <c r="B835" s="1">
        <f t="shared" ref="B835:U835" si="834">IF($A835&gt;0,Megyeinapi!B835/'megyelakosság'!B$2*100000," ")</f>
        <v>0</v>
      </c>
      <c r="C835" s="1">
        <f t="shared" si="834"/>
        <v>0</v>
      </c>
      <c r="D835" s="1">
        <f t="shared" si="834"/>
        <v>0</v>
      </c>
      <c r="E835" s="1">
        <f t="shared" si="834"/>
        <v>0</v>
      </c>
      <c r="F835" s="1">
        <f t="shared" si="834"/>
        <v>0</v>
      </c>
      <c r="G835" s="1">
        <f t="shared" si="834"/>
        <v>0</v>
      </c>
      <c r="H835" s="1">
        <f t="shared" si="834"/>
        <v>0</v>
      </c>
      <c r="I835" s="1">
        <f t="shared" si="834"/>
        <v>0</v>
      </c>
      <c r="J835" s="1">
        <f t="shared" si="834"/>
        <v>0</v>
      </c>
      <c r="K835" s="1">
        <f t="shared" si="834"/>
        <v>0</v>
      </c>
      <c r="L835" s="1">
        <f t="shared" si="834"/>
        <v>0</v>
      </c>
      <c r="M835" s="1">
        <f t="shared" si="834"/>
        <v>0</v>
      </c>
      <c r="N835" s="1">
        <f t="shared" si="834"/>
        <v>0</v>
      </c>
      <c r="O835" s="1">
        <f t="shared" si="834"/>
        <v>0</v>
      </c>
      <c r="P835" s="1">
        <f t="shared" si="834"/>
        <v>0</v>
      </c>
      <c r="Q835" s="1">
        <f t="shared" si="834"/>
        <v>0</v>
      </c>
      <c r="R835" s="1">
        <f t="shared" si="834"/>
        <v>0</v>
      </c>
      <c r="S835" s="1">
        <f t="shared" si="834"/>
        <v>0</v>
      </c>
      <c r="T835" s="1">
        <f t="shared" si="834"/>
        <v>0</v>
      </c>
      <c r="U835" s="1">
        <f t="shared" si="834"/>
        <v>0</v>
      </c>
    </row>
    <row r="836">
      <c r="A836" s="3">
        <f>IFERROR(__xludf.DUMMYFUNCTION("""COMPUTED_VALUE"""),44755.0)</f>
        <v>44755</v>
      </c>
      <c r="B836" s="1">
        <f t="shared" ref="B836:U836" si="835">IF($A836&gt;0,Megyeinapi!B836/'megyelakosság'!B$2*100000," ")</f>
        <v>59.73477759</v>
      </c>
      <c r="C836" s="1">
        <f t="shared" si="835"/>
        <v>89.66636871</v>
      </c>
      <c r="D836" s="1">
        <f t="shared" si="835"/>
        <v>58.38894906</v>
      </c>
      <c r="E836" s="1">
        <f t="shared" si="835"/>
        <v>48.1898208</v>
      </c>
      <c r="F836" s="1">
        <f t="shared" si="835"/>
        <v>121.6421287</v>
      </c>
      <c r="G836" s="1">
        <f t="shared" si="835"/>
        <v>62.25962263</v>
      </c>
      <c r="H836" s="1">
        <f t="shared" si="835"/>
        <v>62.8280256</v>
      </c>
      <c r="I836" s="1">
        <f t="shared" si="835"/>
        <v>105.2540363</v>
      </c>
      <c r="J836" s="1">
        <f t="shared" si="835"/>
        <v>49.55128558</v>
      </c>
      <c r="K836" s="1">
        <f t="shared" si="835"/>
        <v>87.58745966</v>
      </c>
      <c r="L836" s="1">
        <f t="shared" si="835"/>
        <v>55.60022349</v>
      </c>
      <c r="M836" s="1">
        <f t="shared" si="835"/>
        <v>51.49587202</v>
      </c>
      <c r="N836" s="1">
        <f t="shared" si="835"/>
        <v>42.00072305</v>
      </c>
      <c r="O836" s="1">
        <f t="shared" si="835"/>
        <v>94.13292093</v>
      </c>
      <c r="P836" s="1">
        <f t="shared" si="835"/>
        <v>66.01100183</v>
      </c>
      <c r="Q836" s="1">
        <f t="shared" si="835"/>
        <v>75.04171008</v>
      </c>
      <c r="R836" s="1">
        <f t="shared" si="835"/>
        <v>93.26540271</v>
      </c>
      <c r="S836" s="1">
        <f t="shared" si="835"/>
        <v>113.7181914</v>
      </c>
      <c r="T836" s="1">
        <f t="shared" si="835"/>
        <v>78.26308708</v>
      </c>
      <c r="U836" s="1">
        <f t="shared" si="835"/>
        <v>86.80328206</v>
      </c>
    </row>
    <row r="837">
      <c r="A837" s="3">
        <f>IFERROR(__xludf.DUMMYFUNCTION("""COMPUTED_VALUE"""),44756.0)</f>
        <v>44756</v>
      </c>
      <c r="B837" s="1">
        <f t="shared" ref="B837:U837" si="836">IF($A837&gt;0,Megyeinapi!B837/'megyelakosság'!B$2*100000," ")</f>
        <v>0</v>
      </c>
      <c r="C837" s="1">
        <f t="shared" si="836"/>
        <v>0</v>
      </c>
      <c r="D837" s="1">
        <f t="shared" si="836"/>
        <v>0</v>
      </c>
      <c r="E837" s="1">
        <f t="shared" si="836"/>
        <v>0</v>
      </c>
      <c r="F837" s="1">
        <f t="shared" si="836"/>
        <v>0</v>
      </c>
      <c r="G837" s="1">
        <f t="shared" si="836"/>
        <v>0</v>
      </c>
      <c r="H837" s="1">
        <f t="shared" si="836"/>
        <v>0</v>
      </c>
      <c r="I837" s="1">
        <f t="shared" si="836"/>
        <v>0</v>
      </c>
      <c r="J837" s="1">
        <f t="shared" si="836"/>
        <v>0</v>
      </c>
      <c r="K837" s="1">
        <f t="shared" si="836"/>
        <v>0</v>
      </c>
      <c r="L837" s="1">
        <f t="shared" si="836"/>
        <v>0</v>
      </c>
      <c r="M837" s="1">
        <f t="shared" si="836"/>
        <v>0</v>
      </c>
      <c r="N837" s="1">
        <f t="shared" si="836"/>
        <v>0</v>
      </c>
      <c r="O837" s="1">
        <f t="shared" si="836"/>
        <v>0</v>
      </c>
      <c r="P837" s="1">
        <f t="shared" si="836"/>
        <v>0</v>
      </c>
      <c r="Q837" s="1">
        <f t="shared" si="836"/>
        <v>0</v>
      </c>
      <c r="R837" s="1">
        <f t="shared" si="836"/>
        <v>0</v>
      </c>
      <c r="S837" s="1">
        <f t="shared" si="836"/>
        <v>0</v>
      </c>
      <c r="T837" s="1">
        <f t="shared" si="836"/>
        <v>0</v>
      </c>
      <c r="U837" s="1">
        <f t="shared" si="836"/>
        <v>0</v>
      </c>
    </row>
    <row r="838">
      <c r="A838" s="3">
        <f>IFERROR(__xludf.DUMMYFUNCTION("""COMPUTED_VALUE"""),44757.0)</f>
        <v>44757</v>
      </c>
      <c r="B838" s="1">
        <f t="shared" ref="B838:U838" si="837">IF($A838&gt;0,Megyeinapi!B838/'megyelakosság'!B$2*100000," ")</f>
        <v>0</v>
      </c>
      <c r="C838" s="1">
        <f t="shared" si="837"/>
        <v>0</v>
      </c>
      <c r="D838" s="1">
        <f t="shared" si="837"/>
        <v>0</v>
      </c>
      <c r="E838" s="1">
        <f t="shared" si="837"/>
        <v>0</v>
      </c>
      <c r="F838" s="1">
        <f t="shared" si="837"/>
        <v>0</v>
      </c>
      <c r="G838" s="1">
        <f t="shared" si="837"/>
        <v>0</v>
      </c>
      <c r="H838" s="1">
        <f t="shared" si="837"/>
        <v>0</v>
      </c>
      <c r="I838" s="1">
        <f t="shared" si="837"/>
        <v>0</v>
      </c>
      <c r="J838" s="1">
        <f t="shared" si="837"/>
        <v>0</v>
      </c>
      <c r="K838" s="1">
        <f t="shared" si="837"/>
        <v>0</v>
      </c>
      <c r="L838" s="1">
        <f t="shared" si="837"/>
        <v>0</v>
      </c>
      <c r="M838" s="1">
        <f t="shared" si="837"/>
        <v>0</v>
      </c>
      <c r="N838" s="1">
        <f t="shared" si="837"/>
        <v>0</v>
      </c>
      <c r="O838" s="1">
        <f t="shared" si="837"/>
        <v>0</v>
      </c>
      <c r="P838" s="1">
        <f t="shared" si="837"/>
        <v>0</v>
      </c>
      <c r="Q838" s="1">
        <f t="shared" si="837"/>
        <v>0</v>
      </c>
      <c r="R838" s="1">
        <f t="shared" si="837"/>
        <v>0</v>
      </c>
      <c r="S838" s="1">
        <f t="shared" si="837"/>
        <v>0</v>
      </c>
      <c r="T838" s="1">
        <f t="shared" si="837"/>
        <v>0</v>
      </c>
      <c r="U838" s="1">
        <f t="shared" si="837"/>
        <v>0</v>
      </c>
    </row>
    <row r="839">
      <c r="A839" s="3">
        <f>IFERROR(__xludf.DUMMYFUNCTION("""COMPUTED_VALUE"""),44758.0)</f>
        <v>44758</v>
      </c>
      <c r="B839" s="1">
        <f t="shared" ref="B839:U839" si="838">IF($A839&gt;0,Megyeinapi!B839/'megyelakosság'!B$2*100000," ")</f>
        <v>0</v>
      </c>
      <c r="C839" s="1">
        <f t="shared" si="838"/>
        <v>0</v>
      </c>
      <c r="D839" s="1">
        <f t="shared" si="838"/>
        <v>0</v>
      </c>
      <c r="E839" s="1">
        <f t="shared" si="838"/>
        <v>0</v>
      </c>
      <c r="F839" s="1">
        <f t="shared" si="838"/>
        <v>0</v>
      </c>
      <c r="G839" s="1">
        <f t="shared" si="838"/>
        <v>0</v>
      </c>
      <c r="H839" s="1">
        <f t="shared" si="838"/>
        <v>0</v>
      </c>
      <c r="I839" s="1">
        <f t="shared" si="838"/>
        <v>0</v>
      </c>
      <c r="J839" s="1">
        <f t="shared" si="838"/>
        <v>0</v>
      </c>
      <c r="K839" s="1">
        <f t="shared" si="838"/>
        <v>0</v>
      </c>
      <c r="L839" s="1">
        <f t="shared" si="838"/>
        <v>0</v>
      </c>
      <c r="M839" s="1">
        <f t="shared" si="838"/>
        <v>0</v>
      </c>
      <c r="N839" s="1">
        <f t="shared" si="838"/>
        <v>0</v>
      </c>
      <c r="O839" s="1">
        <f t="shared" si="838"/>
        <v>0</v>
      </c>
      <c r="P839" s="1">
        <f t="shared" si="838"/>
        <v>0</v>
      </c>
      <c r="Q839" s="1">
        <f t="shared" si="838"/>
        <v>0</v>
      </c>
      <c r="R839" s="1">
        <f t="shared" si="838"/>
        <v>0</v>
      </c>
      <c r="S839" s="1">
        <f t="shared" si="838"/>
        <v>0</v>
      </c>
      <c r="T839" s="1">
        <f t="shared" si="838"/>
        <v>0</v>
      </c>
      <c r="U839" s="1">
        <f t="shared" si="838"/>
        <v>0</v>
      </c>
    </row>
    <row r="840">
      <c r="A840" s="3">
        <f>IFERROR(__xludf.DUMMYFUNCTION("""COMPUTED_VALUE"""),44759.0)</f>
        <v>44759</v>
      </c>
      <c r="B840" s="1">
        <f t="shared" ref="B840:U840" si="839">IF($A840&gt;0,Megyeinapi!B840/'megyelakosság'!B$2*100000," ")</f>
        <v>0</v>
      </c>
      <c r="C840" s="1">
        <f t="shared" si="839"/>
        <v>0</v>
      </c>
      <c r="D840" s="1">
        <f t="shared" si="839"/>
        <v>0</v>
      </c>
      <c r="E840" s="1">
        <f t="shared" si="839"/>
        <v>0</v>
      </c>
      <c r="F840" s="1">
        <f t="shared" si="839"/>
        <v>0</v>
      </c>
      <c r="G840" s="1">
        <f t="shared" si="839"/>
        <v>0</v>
      </c>
      <c r="H840" s="1">
        <f t="shared" si="839"/>
        <v>0</v>
      </c>
      <c r="I840" s="1">
        <f t="shared" si="839"/>
        <v>0</v>
      </c>
      <c r="J840" s="1">
        <f t="shared" si="839"/>
        <v>0</v>
      </c>
      <c r="K840" s="1">
        <f t="shared" si="839"/>
        <v>0</v>
      </c>
      <c r="L840" s="1">
        <f t="shared" si="839"/>
        <v>0</v>
      </c>
      <c r="M840" s="1">
        <f t="shared" si="839"/>
        <v>0</v>
      </c>
      <c r="N840" s="1">
        <f t="shared" si="839"/>
        <v>0</v>
      </c>
      <c r="O840" s="1">
        <f t="shared" si="839"/>
        <v>0</v>
      </c>
      <c r="P840" s="1">
        <f t="shared" si="839"/>
        <v>0</v>
      </c>
      <c r="Q840" s="1">
        <f t="shared" si="839"/>
        <v>0</v>
      </c>
      <c r="R840" s="1">
        <f t="shared" si="839"/>
        <v>0</v>
      </c>
      <c r="S840" s="1">
        <f t="shared" si="839"/>
        <v>0</v>
      </c>
      <c r="T840" s="1">
        <f t="shared" si="839"/>
        <v>0</v>
      </c>
      <c r="U840" s="1">
        <f t="shared" si="839"/>
        <v>0</v>
      </c>
    </row>
    <row r="841">
      <c r="A841" s="3">
        <f>IFERROR(__xludf.DUMMYFUNCTION("""COMPUTED_VALUE"""),44760.0)</f>
        <v>44760</v>
      </c>
      <c r="B841" s="1">
        <f t="shared" ref="B841:U841" si="840">IF($A841&gt;0,Megyeinapi!B841/'megyelakosság'!B$2*100000," ")</f>
        <v>0</v>
      </c>
      <c r="C841" s="1">
        <f t="shared" si="840"/>
        <v>0</v>
      </c>
      <c r="D841" s="1">
        <f t="shared" si="840"/>
        <v>0</v>
      </c>
      <c r="E841" s="1">
        <f t="shared" si="840"/>
        <v>0</v>
      </c>
      <c r="F841" s="1">
        <f t="shared" si="840"/>
        <v>0</v>
      </c>
      <c r="G841" s="1">
        <f t="shared" si="840"/>
        <v>0</v>
      </c>
      <c r="H841" s="1">
        <f t="shared" si="840"/>
        <v>0</v>
      </c>
      <c r="I841" s="1">
        <f t="shared" si="840"/>
        <v>0</v>
      </c>
      <c r="J841" s="1">
        <f t="shared" si="840"/>
        <v>0</v>
      </c>
      <c r="K841" s="1">
        <f t="shared" si="840"/>
        <v>0</v>
      </c>
      <c r="L841" s="1">
        <f t="shared" si="840"/>
        <v>0</v>
      </c>
      <c r="M841" s="1">
        <f t="shared" si="840"/>
        <v>0</v>
      </c>
      <c r="N841" s="1">
        <f t="shared" si="840"/>
        <v>0</v>
      </c>
      <c r="O841" s="1">
        <f t="shared" si="840"/>
        <v>0</v>
      </c>
      <c r="P841" s="1">
        <f t="shared" si="840"/>
        <v>0</v>
      </c>
      <c r="Q841" s="1">
        <f t="shared" si="840"/>
        <v>0</v>
      </c>
      <c r="R841" s="1">
        <f t="shared" si="840"/>
        <v>0</v>
      </c>
      <c r="S841" s="1">
        <f t="shared" si="840"/>
        <v>0</v>
      </c>
      <c r="T841" s="1">
        <f t="shared" si="840"/>
        <v>0</v>
      </c>
      <c r="U841" s="1">
        <f t="shared" si="840"/>
        <v>0</v>
      </c>
    </row>
    <row r="842">
      <c r="A842" s="3">
        <f>IFERROR(__xludf.DUMMYFUNCTION("""COMPUTED_VALUE"""),44761.0)</f>
        <v>44761</v>
      </c>
      <c r="B842" s="1">
        <f t="shared" ref="B842:U842" si="841">IF($A842&gt;0,Megyeinapi!B842/'megyelakosság'!B$2*100000," ")</f>
        <v>0</v>
      </c>
      <c r="C842" s="1">
        <f t="shared" si="841"/>
        <v>0</v>
      </c>
      <c r="D842" s="1">
        <f t="shared" si="841"/>
        <v>0</v>
      </c>
      <c r="E842" s="1">
        <f t="shared" si="841"/>
        <v>0</v>
      </c>
      <c r="F842" s="1">
        <f t="shared" si="841"/>
        <v>0</v>
      </c>
      <c r="G842" s="1">
        <f t="shared" si="841"/>
        <v>0</v>
      </c>
      <c r="H842" s="1">
        <f t="shared" si="841"/>
        <v>0</v>
      </c>
      <c r="I842" s="1">
        <f t="shared" si="841"/>
        <v>0</v>
      </c>
      <c r="J842" s="1">
        <f t="shared" si="841"/>
        <v>0</v>
      </c>
      <c r="K842" s="1">
        <f t="shared" si="841"/>
        <v>0</v>
      </c>
      <c r="L842" s="1">
        <f t="shared" si="841"/>
        <v>0</v>
      </c>
      <c r="M842" s="1">
        <f t="shared" si="841"/>
        <v>0</v>
      </c>
      <c r="N842" s="1">
        <f t="shared" si="841"/>
        <v>0</v>
      </c>
      <c r="O842" s="1">
        <f t="shared" si="841"/>
        <v>0</v>
      </c>
      <c r="P842" s="1">
        <f t="shared" si="841"/>
        <v>0</v>
      </c>
      <c r="Q842" s="1">
        <f t="shared" si="841"/>
        <v>0</v>
      </c>
      <c r="R842" s="1">
        <f t="shared" si="841"/>
        <v>0</v>
      </c>
      <c r="S842" s="1">
        <f t="shared" si="841"/>
        <v>0</v>
      </c>
      <c r="T842" s="1">
        <f t="shared" si="841"/>
        <v>0</v>
      </c>
      <c r="U842" s="1">
        <f t="shared" si="841"/>
        <v>0</v>
      </c>
    </row>
    <row r="843">
      <c r="A843" s="3">
        <f>IFERROR(__xludf.DUMMYFUNCTION("""COMPUTED_VALUE"""),44762.0)</f>
        <v>44762</v>
      </c>
      <c r="B843" s="1">
        <f t="shared" ref="B843:U843" si="842">IF($A843&gt;0,Megyeinapi!B843/'megyelakosság'!B$2*100000," ")</f>
        <v>97.96503524</v>
      </c>
      <c r="C843" s="1">
        <f t="shared" si="842"/>
        <v>120.8546709</v>
      </c>
      <c r="D843" s="1">
        <f t="shared" si="842"/>
        <v>76.84348736</v>
      </c>
      <c r="E843" s="1">
        <f t="shared" si="842"/>
        <v>70.79351525</v>
      </c>
      <c r="F843" s="1">
        <f t="shared" si="842"/>
        <v>138.3829196</v>
      </c>
      <c r="G843" s="1">
        <f t="shared" si="842"/>
        <v>73.55673157</v>
      </c>
      <c r="H843" s="1">
        <f t="shared" si="842"/>
        <v>77.63919513</v>
      </c>
      <c r="I843" s="1">
        <f t="shared" si="842"/>
        <v>136.7457058</v>
      </c>
      <c r="J843" s="1">
        <f t="shared" si="842"/>
        <v>70.43496916</v>
      </c>
      <c r="K843" s="1">
        <f t="shared" si="842"/>
        <v>122.0089905</v>
      </c>
      <c r="L843" s="1">
        <f t="shared" si="842"/>
        <v>77.94933293</v>
      </c>
      <c r="M843" s="1">
        <f t="shared" si="842"/>
        <v>81.72893237</v>
      </c>
      <c r="N843" s="1">
        <f t="shared" si="842"/>
        <v>58.48201944</v>
      </c>
      <c r="O843" s="1">
        <f t="shared" si="842"/>
        <v>111.6334722</v>
      </c>
      <c r="P843" s="1">
        <f t="shared" si="842"/>
        <v>94.34905818</v>
      </c>
      <c r="Q843" s="1">
        <f t="shared" si="842"/>
        <v>98.35563942</v>
      </c>
      <c r="R843" s="1">
        <f t="shared" si="842"/>
        <v>119.2497935</v>
      </c>
      <c r="S843" s="1">
        <f t="shared" si="842"/>
        <v>125.9163365</v>
      </c>
      <c r="T843" s="1">
        <f t="shared" si="842"/>
        <v>102.5920617</v>
      </c>
      <c r="U843" s="1">
        <f t="shared" si="842"/>
        <v>137.6879647</v>
      </c>
    </row>
    <row r="844">
      <c r="A844" s="3">
        <f>IFERROR(__xludf.DUMMYFUNCTION("""COMPUTED_VALUE"""),44763.0)</f>
        <v>44763</v>
      </c>
      <c r="B844" s="1">
        <f t="shared" ref="B844:U844" si="843">IF($A844&gt;0,Megyeinapi!B844/'megyelakosság'!B$2*100000," ")</f>
        <v>0</v>
      </c>
      <c r="C844" s="1">
        <f t="shared" si="843"/>
        <v>0</v>
      </c>
      <c r="D844" s="1">
        <f t="shared" si="843"/>
        <v>0</v>
      </c>
      <c r="E844" s="1">
        <f t="shared" si="843"/>
        <v>0</v>
      </c>
      <c r="F844" s="1">
        <f t="shared" si="843"/>
        <v>0</v>
      </c>
      <c r="G844" s="1">
        <f t="shared" si="843"/>
        <v>0</v>
      </c>
      <c r="H844" s="1">
        <f t="shared" si="843"/>
        <v>0</v>
      </c>
      <c r="I844" s="1">
        <f t="shared" si="843"/>
        <v>0</v>
      </c>
      <c r="J844" s="1">
        <f t="shared" si="843"/>
        <v>0</v>
      </c>
      <c r="K844" s="1">
        <f t="shared" si="843"/>
        <v>0</v>
      </c>
      <c r="L844" s="1">
        <f t="shared" si="843"/>
        <v>0</v>
      </c>
      <c r="M844" s="1">
        <f t="shared" si="843"/>
        <v>0</v>
      </c>
      <c r="N844" s="1">
        <f t="shared" si="843"/>
        <v>0</v>
      </c>
      <c r="O844" s="1">
        <f t="shared" si="843"/>
        <v>0</v>
      </c>
      <c r="P844" s="1">
        <f t="shared" si="843"/>
        <v>0</v>
      </c>
      <c r="Q844" s="1">
        <f t="shared" si="843"/>
        <v>0</v>
      </c>
      <c r="R844" s="1">
        <f t="shared" si="843"/>
        <v>0</v>
      </c>
      <c r="S844" s="1">
        <f t="shared" si="843"/>
        <v>0</v>
      </c>
      <c r="T844" s="1">
        <f t="shared" si="843"/>
        <v>0</v>
      </c>
      <c r="U844" s="1">
        <f t="shared" si="843"/>
        <v>0</v>
      </c>
    </row>
    <row r="845">
      <c r="A845" s="3">
        <f>IFERROR(__xludf.DUMMYFUNCTION("""COMPUTED_VALUE"""),44764.0)</f>
        <v>44764</v>
      </c>
      <c r="B845" s="1">
        <f t="shared" ref="B845:U845" si="844">IF($A845&gt;0,Megyeinapi!B845/'megyelakosság'!B$2*100000," ")</f>
        <v>0</v>
      </c>
      <c r="C845" s="1">
        <f t="shared" si="844"/>
        <v>0</v>
      </c>
      <c r="D845" s="1">
        <f t="shared" si="844"/>
        <v>0</v>
      </c>
      <c r="E845" s="1">
        <f t="shared" si="844"/>
        <v>0</v>
      </c>
      <c r="F845" s="1">
        <f t="shared" si="844"/>
        <v>0</v>
      </c>
      <c r="G845" s="1">
        <f t="shared" si="844"/>
        <v>0</v>
      </c>
      <c r="H845" s="1">
        <f t="shared" si="844"/>
        <v>0</v>
      </c>
      <c r="I845" s="1">
        <f t="shared" si="844"/>
        <v>0</v>
      </c>
      <c r="J845" s="1">
        <f t="shared" si="844"/>
        <v>0</v>
      </c>
      <c r="K845" s="1">
        <f t="shared" si="844"/>
        <v>0</v>
      </c>
      <c r="L845" s="1">
        <f t="shared" si="844"/>
        <v>0</v>
      </c>
      <c r="M845" s="1">
        <f t="shared" si="844"/>
        <v>0</v>
      </c>
      <c r="N845" s="1">
        <f t="shared" si="844"/>
        <v>0</v>
      </c>
      <c r="O845" s="1">
        <f t="shared" si="844"/>
        <v>0</v>
      </c>
      <c r="P845" s="1">
        <f t="shared" si="844"/>
        <v>0</v>
      </c>
      <c r="Q845" s="1">
        <f t="shared" si="844"/>
        <v>0</v>
      </c>
      <c r="R845" s="1">
        <f t="shared" si="844"/>
        <v>0</v>
      </c>
      <c r="S845" s="1">
        <f t="shared" si="844"/>
        <v>0</v>
      </c>
      <c r="T845" s="1">
        <f t="shared" si="844"/>
        <v>0</v>
      </c>
      <c r="U845" s="1">
        <f t="shared" si="844"/>
        <v>0</v>
      </c>
    </row>
    <row r="846">
      <c r="A846" s="3">
        <f>IFERROR(__xludf.DUMMYFUNCTION("""COMPUTED_VALUE"""),44765.0)</f>
        <v>44765</v>
      </c>
      <c r="B846" s="1">
        <f t="shared" ref="B846:U846" si="845">IF($A846&gt;0,Megyeinapi!B846/'megyelakosság'!B$2*100000," ")</f>
        <v>0</v>
      </c>
      <c r="C846" s="1">
        <f t="shared" si="845"/>
        <v>0</v>
      </c>
      <c r="D846" s="1">
        <f t="shared" si="845"/>
        <v>0</v>
      </c>
      <c r="E846" s="1">
        <f t="shared" si="845"/>
        <v>0</v>
      </c>
      <c r="F846" s="1">
        <f t="shared" si="845"/>
        <v>0</v>
      </c>
      <c r="G846" s="1">
        <f t="shared" si="845"/>
        <v>0</v>
      </c>
      <c r="H846" s="1">
        <f t="shared" si="845"/>
        <v>0</v>
      </c>
      <c r="I846" s="1">
        <f t="shared" si="845"/>
        <v>0</v>
      </c>
      <c r="J846" s="1">
        <f t="shared" si="845"/>
        <v>0</v>
      </c>
      <c r="K846" s="1">
        <f t="shared" si="845"/>
        <v>0</v>
      </c>
      <c r="L846" s="1">
        <f t="shared" si="845"/>
        <v>0</v>
      </c>
      <c r="M846" s="1">
        <f t="shared" si="845"/>
        <v>0</v>
      </c>
      <c r="N846" s="1">
        <f t="shared" si="845"/>
        <v>0</v>
      </c>
      <c r="O846" s="1">
        <f t="shared" si="845"/>
        <v>0</v>
      </c>
      <c r="P846" s="1">
        <f t="shared" si="845"/>
        <v>0</v>
      </c>
      <c r="Q846" s="1">
        <f t="shared" si="845"/>
        <v>0</v>
      </c>
      <c r="R846" s="1">
        <f t="shared" si="845"/>
        <v>0</v>
      </c>
      <c r="S846" s="1">
        <f t="shared" si="845"/>
        <v>0</v>
      </c>
      <c r="T846" s="1">
        <f t="shared" si="845"/>
        <v>0</v>
      </c>
      <c r="U846" s="1">
        <f t="shared" si="845"/>
        <v>0</v>
      </c>
    </row>
    <row r="847">
      <c r="A847" s="3">
        <f>IFERROR(__xludf.DUMMYFUNCTION("""COMPUTED_VALUE"""),44766.0)</f>
        <v>44766</v>
      </c>
      <c r="B847" s="1">
        <f t="shared" ref="B847:U847" si="846">IF($A847&gt;0,Megyeinapi!B847/'megyelakosság'!B$2*100000," ")</f>
        <v>0</v>
      </c>
      <c r="C847" s="1">
        <f t="shared" si="846"/>
        <v>0</v>
      </c>
      <c r="D847" s="1">
        <f t="shared" si="846"/>
        <v>0</v>
      </c>
      <c r="E847" s="1">
        <f t="shared" si="846"/>
        <v>0</v>
      </c>
      <c r="F847" s="1">
        <f t="shared" si="846"/>
        <v>0</v>
      </c>
      <c r="G847" s="1">
        <f t="shared" si="846"/>
        <v>0</v>
      </c>
      <c r="H847" s="1">
        <f t="shared" si="846"/>
        <v>0</v>
      </c>
      <c r="I847" s="1">
        <f t="shared" si="846"/>
        <v>0</v>
      </c>
      <c r="J847" s="1">
        <f t="shared" si="846"/>
        <v>0</v>
      </c>
      <c r="K847" s="1">
        <f t="shared" si="846"/>
        <v>0</v>
      </c>
      <c r="L847" s="1">
        <f t="shared" si="846"/>
        <v>0</v>
      </c>
      <c r="M847" s="1">
        <f t="shared" si="846"/>
        <v>0</v>
      </c>
      <c r="N847" s="1">
        <f t="shared" si="846"/>
        <v>0</v>
      </c>
      <c r="O847" s="1">
        <f t="shared" si="846"/>
        <v>0</v>
      </c>
      <c r="P847" s="1">
        <f t="shared" si="846"/>
        <v>0</v>
      </c>
      <c r="Q847" s="1">
        <f t="shared" si="846"/>
        <v>0</v>
      </c>
      <c r="R847" s="1">
        <f t="shared" si="846"/>
        <v>0</v>
      </c>
      <c r="S847" s="1">
        <f t="shared" si="846"/>
        <v>0</v>
      </c>
      <c r="T847" s="1">
        <f t="shared" si="846"/>
        <v>0</v>
      </c>
      <c r="U847" s="1">
        <f t="shared" si="846"/>
        <v>0</v>
      </c>
    </row>
    <row r="848">
      <c r="A848" s="3">
        <f>IFERROR(__xludf.DUMMYFUNCTION("""COMPUTED_VALUE"""),44767.0)</f>
        <v>44767</v>
      </c>
      <c r="B848" s="1">
        <f t="shared" ref="B848:U848" si="847">IF($A848&gt;0,Megyeinapi!B848/'megyelakosság'!B$2*100000," ")</f>
        <v>0</v>
      </c>
      <c r="C848" s="1">
        <f t="shared" si="847"/>
        <v>0</v>
      </c>
      <c r="D848" s="1">
        <f t="shared" si="847"/>
        <v>0</v>
      </c>
      <c r="E848" s="1">
        <f t="shared" si="847"/>
        <v>0</v>
      </c>
      <c r="F848" s="1">
        <f t="shared" si="847"/>
        <v>0</v>
      </c>
      <c r="G848" s="1">
        <f t="shared" si="847"/>
        <v>0</v>
      </c>
      <c r="H848" s="1">
        <f t="shared" si="847"/>
        <v>0</v>
      </c>
      <c r="I848" s="1">
        <f t="shared" si="847"/>
        <v>0</v>
      </c>
      <c r="J848" s="1">
        <f t="shared" si="847"/>
        <v>0</v>
      </c>
      <c r="K848" s="1">
        <f t="shared" si="847"/>
        <v>0</v>
      </c>
      <c r="L848" s="1">
        <f t="shared" si="847"/>
        <v>0</v>
      </c>
      <c r="M848" s="1">
        <f t="shared" si="847"/>
        <v>0</v>
      </c>
      <c r="N848" s="1">
        <f t="shared" si="847"/>
        <v>0</v>
      </c>
      <c r="O848" s="1">
        <f t="shared" si="847"/>
        <v>0</v>
      </c>
      <c r="P848" s="1">
        <f t="shared" si="847"/>
        <v>0</v>
      </c>
      <c r="Q848" s="1">
        <f t="shared" si="847"/>
        <v>0</v>
      </c>
      <c r="R848" s="1">
        <f t="shared" si="847"/>
        <v>0</v>
      </c>
      <c r="S848" s="1">
        <f t="shared" si="847"/>
        <v>0</v>
      </c>
      <c r="T848" s="1">
        <f t="shared" si="847"/>
        <v>0</v>
      </c>
      <c r="U848" s="1">
        <f t="shared" si="847"/>
        <v>0</v>
      </c>
    </row>
    <row r="849">
      <c r="A849" s="3">
        <f>IFERROR(__xludf.DUMMYFUNCTION("""COMPUTED_VALUE"""),44768.0)</f>
        <v>44768</v>
      </c>
      <c r="B849" s="1">
        <f t="shared" ref="B849:U849" si="848">IF($A849&gt;0,Megyeinapi!B849/'megyelakosság'!B$2*100000," ")</f>
        <v>0</v>
      </c>
      <c r="C849" s="1">
        <f t="shared" si="848"/>
        <v>0</v>
      </c>
      <c r="D849" s="1">
        <f t="shared" si="848"/>
        <v>0</v>
      </c>
      <c r="E849" s="1">
        <f t="shared" si="848"/>
        <v>0</v>
      </c>
      <c r="F849" s="1">
        <f t="shared" si="848"/>
        <v>0</v>
      </c>
      <c r="G849" s="1">
        <f t="shared" si="848"/>
        <v>0</v>
      </c>
      <c r="H849" s="1">
        <f t="shared" si="848"/>
        <v>0</v>
      </c>
      <c r="I849" s="1">
        <f t="shared" si="848"/>
        <v>0</v>
      </c>
      <c r="J849" s="1">
        <f t="shared" si="848"/>
        <v>0</v>
      </c>
      <c r="K849" s="1">
        <f t="shared" si="848"/>
        <v>0</v>
      </c>
      <c r="L849" s="1">
        <f t="shared" si="848"/>
        <v>0</v>
      </c>
      <c r="M849" s="1">
        <f t="shared" si="848"/>
        <v>0</v>
      </c>
      <c r="N849" s="1">
        <f t="shared" si="848"/>
        <v>0</v>
      </c>
      <c r="O849" s="1">
        <f t="shared" si="848"/>
        <v>0</v>
      </c>
      <c r="P849" s="1">
        <f t="shared" si="848"/>
        <v>0</v>
      </c>
      <c r="Q849" s="1">
        <f t="shared" si="848"/>
        <v>0</v>
      </c>
      <c r="R849" s="1">
        <f t="shared" si="848"/>
        <v>0</v>
      </c>
      <c r="S849" s="1">
        <f t="shared" si="848"/>
        <v>0</v>
      </c>
      <c r="T849" s="1">
        <f t="shared" si="848"/>
        <v>0</v>
      </c>
      <c r="U849" s="1">
        <f t="shared" si="848"/>
        <v>0</v>
      </c>
    </row>
    <row r="850">
      <c r="A850" s="3">
        <f>IFERROR(__xludf.DUMMYFUNCTION("""COMPUTED_VALUE"""),44769.0)</f>
        <v>44769</v>
      </c>
      <c r="B850" s="1">
        <f t="shared" ref="B850:U850" si="849">IF($A850&gt;0,Megyeinapi!B850/'megyelakosság'!B$2*100000," ")</f>
        <v>144.3590458</v>
      </c>
      <c r="C850" s="1">
        <f t="shared" si="849"/>
        <v>185.4590111</v>
      </c>
      <c r="D850" s="1">
        <f t="shared" si="849"/>
        <v>153.6869747</v>
      </c>
      <c r="E850" s="1">
        <f t="shared" si="849"/>
        <v>121.965768</v>
      </c>
      <c r="F850" s="1">
        <f t="shared" si="849"/>
        <v>162.8370441</v>
      </c>
      <c r="G850" s="1">
        <f t="shared" si="849"/>
        <v>124.2681984</v>
      </c>
      <c r="H850" s="1">
        <f t="shared" si="849"/>
        <v>142.3783394</v>
      </c>
      <c r="I850" s="1">
        <f t="shared" si="849"/>
        <v>183.4548264</v>
      </c>
      <c r="J850" s="1">
        <f t="shared" si="849"/>
        <v>110.113968</v>
      </c>
      <c r="K850" s="1">
        <f t="shared" si="849"/>
        <v>141.7758102</v>
      </c>
      <c r="L850" s="1">
        <f t="shared" si="849"/>
        <v>128.0985541</v>
      </c>
      <c r="M850" s="1">
        <f t="shared" si="849"/>
        <v>132.2281101</v>
      </c>
      <c r="N850" s="1">
        <f t="shared" si="849"/>
        <v>158.4331072</v>
      </c>
      <c r="O850" s="1">
        <f t="shared" si="849"/>
        <v>141.083739</v>
      </c>
      <c r="P850" s="1">
        <f t="shared" si="849"/>
        <v>129.3548925</v>
      </c>
      <c r="Q850" s="1">
        <f t="shared" si="849"/>
        <v>142.6156772</v>
      </c>
      <c r="R850" s="1">
        <f t="shared" si="849"/>
        <v>177.2506659</v>
      </c>
      <c r="S850" s="1">
        <f t="shared" si="849"/>
        <v>178.6438024</v>
      </c>
      <c r="T850" s="1">
        <f t="shared" si="849"/>
        <v>138.6458434</v>
      </c>
      <c r="U850" s="1">
        <f t="shared" si="849"/>
        <v>166.4976746</v>
      </c>
    </row>
    <row r="851">
      <c r="A851" s="3">
        <f>IFERROR(__xludf.DUMMYFUNCTION("""COMPUTED_VALUE"""),44770.0)</f>
        <v>44770</v>
      </c>
      <c r="B851" s="1">
        <f t="shared" ref="B851:U851" si="850">IF($A851&gt;0,Megyeinapi!B851/'megyelakosság'!B$2*100000," ")</f>
        <v>0</v>
      </c>
      <c r="C851" s="1">
        <f t="shared" si="850"/>
        <v>0</v>
      </c>
      <c r="D851" s="1">
        <f t="shared" si="850"/>
        <v>0</v>
      </c>
      <c r="E851" s="1">
        <f t="shared" si="850"/>
        <v>0</v>
      </c>
      <c r="F851" s="1">
        <f t="shared" si="850"/>
        <v>0</v>
      </c>
      <c r="G851" s="1">
        <f t="shared" si="850"/>
        <v>0</v>
      </c>
      <c r="H851" s="1">
        <f t="shared" si="850"/>
        <v>0</v>
      </c>
      <c r="I851" s="1">
        <f t="shared" si="850"/>
        <v>0</v>
      </c>
      <c r="J851" s="1">
        <f t="shared" si="850"/>
        <v>0</v>
      </c>
      <c r="K851" s="1">
        <f t="shared" si="850"/>
        <v>0</v>
      </c>
      <c r="L851" s="1">
        <f t="shared" si="850"/>
        <v>0</v>
      </c>
      <c r="M851" s="1">
        <f t="shared" si="850"/>
        <v>0</v>
      </c>
      <c r="N851" s="1">
        <f t="shared" si="850"/>
        <v>0</v>
      </c>
      <c r="O851" s="1">
        <f t="shared" si="850"/>
        <v>0</v>
      </c>
      <c r="P851" s="1">
        <f t="shared" si="850"/>
        <v>0</v>
      </c>
      <c r="Q851" s="1">
        <f t="shared" si="850"/>
        <v>0</v>
      </c>
      <c r="R851" s="1">
        <f t="shared" si="850"/>
        <v>0</v>
      </c>
      <c r="S851" s="1">
        <f t="shared" si="850"/>
        <v>0</v>
      </c>
      <c r="T851" s="1">
        <f t="shared" si="850"/>
        <v>0</v>
      </c>
      <c r="U851" s="1">
        <f t="shared" si="850"/>
        <v>0</v>
      </c>
    </row>
    <row r="852">
      <c r="A852" s="3">
        <f>IFERROR(__xludf.DUMMYFUNCTION("""COMPUTED_VALUE"""),44771.0)</f>
        <v>44771</v>
      </c>
      <c r="B852" s="1">
        <f t="shared" ref="B852:U852" si="851">IF($A852&gt;0,Megyeinapi!B852/'megyelakosság'!B$2*100000," ")</f>
        <v>0</v>
      </c>
      <c r="C852" s="1">
        <f t="shared" si="851"/>
        <v>0</v>
      </c>
      <c r="D852" s="1">
        <f t="shared" si="851"/>
        <v>0</v>
      </c>
      <c r="E852" s="1">
        <f t="shared" si="851"/>
        <v>0</v>
      </c>
      <c r="F852" s="1">
        <f t="shared" si="851"/>
        <v>0</v>
      </c>
      <c r="G852" s="1">
        <f t="shared" si="851"/>
        <v>0</v>
      </c>
      <c r="H852" s="1">
        <f t="shared" si="851"/>
        <v>0</v>
      </c>
      <c r="I852" s="1">
        <f t="shared" si="851"/>
        <v>0</v>
      </c>
      <c r="J852" s="1">
        <f t="shared" si="851"/>
        <v>0</v>
      </c>
      <c r="K852" s="1">
        <f t="shared" si="851"/>
        <v>0</v>
      </c>
      <c r="L852" s="1">
        <f t="shared" si="851"/>
        <v>0</v>
      </c>
      <c r="M852" s="1">
        <f t="shared" si="851"/>
        <v>0</v>
      </c>
      <c r="N852" s="1">
        <f t="shared" si="851"/>
        <v>0</v>
      </c>
      <c r="O852" s="1">
        <f t="shared" si="851"/>
        <v>0</v>
      </c>
      <c r="P852" s="1">
        <f t="shared" si="851"/>
        <v>0</v>
      </c>
      <c r="Q852" s="1">
        <f t="shared" si="851"/>
        <v>0</v>
      </c>
      <c r="R852" s="1">
        <f t="shared" si="851"/>
        <v>0</v>
      </c>
      <c r="S852" s="1">
        <f t="shared" si="851"/>
        <v>0</v>
      </c>
      <c r="T852" s="1">
        <f t="shared" si="851"/>
        <v>0</v>
      </c>
      <c r="U852" s="1">
        <f t="shared" si="851"/>
        <v>0</v>
      </c>
    </row>
    <row r="853">
      <c r="A853" s="3">
        <f>IFERROR(__xludf.DUMMYFUNCTION("""COMPUTED_VALUE"""),44772.0)</f>
        <v>44772</v>
      </c>
      <c r="B853" s="1">
        <f t="shared" ref="B853:U853" si="852">IF($A853&gt;0,Megyeinapi!B853/'megyelakosság'!B$2*100000," ")</f>
        <v>0</v>
      </c>
      <c r="C853" s="1">
        <f t="shared" si="852"/>
        <v>0</v>
      </c>
      <c r="D853" s="1">
        <f t="shared" si="852"/>
        <v>0</v>
      </c>
      <c r="E853" s="1">
        <f t="shared" si="852"/>
        <v>0</v>
      </c>
      <c r="F853" s="1">
        <f t="shared" si="852"/>
        <v>0</v>
      </c>
      <c r="G853" s="1">
        <f t="shared" si="852"/>
        <v>0</v>
      </c>
      <c r="H853" s="1">
        <f t="shared" si="852"/>
        <v>0</v>
      </c>
      <c r="I853" s="1">
        <f t="shared" si="852"/>
        <v>0</v>
      </c>
      <c r="J853" s="1">
        <f t="shared" si="852"/>
        <v>0</v>
      </c>
      <c r="K853" s="1">
        <f t="shared" si="852"/>
        <v>0</v>
      </c>
      <c r="L853" s="1">
        <f t="shared" si="852"/>
        <v>0</v>
      </c>
      <c r="M853" s="1">
        <f t="shared" si="852"/>
        <v>0</v>
      </c>
      <c r="N853" s="1">
        <f t="shared" si="852"/>
        <v>0</v>
      </c>
      <c r="O853" s="1">
        <f t="shared" si="852"/>
        <v>0</v>
      </c>
      <c r="P853" s="1">
        <f t="shared" si="852"/>
        <v>0</v>
      </c>
      <c r="Q853" s="1">
        <f t="shared" si="852"/>
        <v>0</v>
      </c>
      <c r="R853" s="1">
        <f t="shared" si="852"/>
        <v>0</v>
      </c>
      <c r="S853" s="1">
        <f t="shared" si="852"/>
        <v>0</v>
      </c>
      <c r="T853" s="1">
        <f t="shared" si="852"/>
        <v>0</v>
      </c>
      <c r="U853" s="1">
        <f t="shared" si="852"/>
        <v>0</v>
      </c>
    </row>
    <row r="854">
      <c r="A854" s="3">
        <f>IFERROR(__xludf.DUMMYFUNCTION("""COMPUTED_VALUE"""),44773.0)</f>
        <v>44773</v>
      </c>
      <c r="B854" s="1">
        <f t="shared" ref="B854:U854" si="853">IF($A854&gt;0,Megyeinapi!B854/'megyelakosság'!B$2*100000," ")</f>
        <v>0</v>
      </c>
      <c r="C854" s="1">
        <f t="shared" si="853"/>
        <v>0</v>
      </c>
      <c r="D854" s="1">
        <f t="shared" si="853"/>
        <v>0</v>
      </c>
      <c r="E854" s="1">
        <f t="shared" si="853"/>
        <v>0</v>
      </c>
      <c r="F854" s="1">
        <f t="shared" si="853"/>
        <v>0</v>
      </c>
      <c r="G854" s="1">
        <f t="shared" si="853"/>
        <v>0</v>
      </c>
      <c r="H854" s="1">
        <f t="shared" si="853"/>
        <v>0</v>
      </c>
      <c r="I854" s="1">
        <f t="shared" si="853"/>
        <v>0</v>
      </c>
      <c r="J854" s="1">
        <f t="shared" si="853"/>
        <v>0</v>
      </c>
      <c r="K854" s="1">
        <f t="shared" si="853"/>
        <v>0</v>
      </c>
      <c r="L854" s="1">
        <f t="shared" si="853"/>
        <v>0</v>
      </c>
      <c r="M854" s="1">
        <f t="shared" si="853"/>
        <v>0</v>
      </c>
      <c r="N854" s="1">
        <f t="shared" si="853"/>
        <v>0</v>
      </c>
      <c r="O854" s="1">
        <f t="shared" si="853"/>
        <v>0</v>
      </c>
      <c r="P854" s="1">
        <f t="shared" si="853"/>
        <v>0</v>
      </c>
      <c r="Q854" s="1">
        <f t="shared" si="853"/>
        <v>0</v>
      </c>
      <c r="R854" s="1">
        <f t="shared" si="853"/>
        <v>0</v>
      </c>
      <c r="S854" s="1">
        <f t="shared" si="853"/>
        <v>0</v>
      </c>
      <c r="T854" s="1">
        <f t="shared" si="853"/>
        <v>0</v>
      </c>
      <c r="U854" s="1">
        <f t="shared" si="853"/>
        <v>0</v>
      </c>
    </row>
    <row r="855">
      <c r="A855" s="3">
        <f>IFERROR(__xludf.DUMMYFUNCTION("""COMPUTED_VALUE"""),44774.0)</f>
        <v>44774</v>
      </c>
      <c r="B855" s="1">
        <f t="shared" ref="B855:U855" si="854">IF($A855&gt;0,Megyeinapi!B855/'megyelakosság'!B$2*100000," ")</f>
        <v>0</v>
      </c>
      <c r="C855" s="1">
        <f t="shared" si="854"/>
        <v>0</v>
      </c>
      <c r="D855" s="1">
        <f t="shared" si="854"/>
        <v>0</v>
      </c>
      <c r="E855" s="1">
        <f t="shared" si="854"/>
        <v>0</v>
      </c>
      <c r="F855" s="1">
        <f t="shared" si="854"/>
        <v>0</v>
      </c>
      <c r="G855" s="1">
        <f t="shared" si="854"/>
        <v>0</v>
      </c>
      <c r="H855" s="1">
        <f t="shared" si="854"/>
        <v>0</v>
      </c>
      <c r="I855" s="1">
        <f t="shared" si="854"/>
        <v>0</v>
      </c>
      <c r="J855" s="1">
        <f t="shared" si="854"/>
        <v>0</v>
      </c>
      <c r="K855" s="1">
        <f t="shared" si="854"/>
        <v>0</v>
      </c>
      <c r="L855" s="1">
        <f t="shared" si="854"/>
        <v>0</v>
      </c>
      <c r="M855" s="1">
        <f t="shared" si="854"/>
        <v>0</v>
      </c>
      <c r="N855" s="1">
        <f t="shared" si="854"/>
        <v>0</v>
      </c>
      <c r="O855" s="1">
        <f t="shared" si="854"/>
        <v>0</v>
      </c>
      <c r="P855" s="1">
        <f t="shared" si="854"/>
        <v>0</v>
      </c>
      <c r="Q855" s="1">
        <f t="shared" si="854"/>
        <v>0</v>
      </c>
      <c r="R855" s="1">
        <f t="shared" si="854"/>
        <v>0</v>
      </c>
      <c r="S855" s="1">
        <f t="shared" si="854"/>
        <v>0</v>
      </c>
      <c r="T855" s="1">
        <f t="shared" si="854"/>
        <v>0</v>
      </c>
      <c r="U855" s="1">
        <f t="shared" si="854"/>
        <v>0</v>
      </c>
    </row>
    <row r="856">
      <c r="A856" s="3">
        <f>IFERROR(__xludf.DUMMYFUNCTION("""COMPUTED_VALUE"""),44775.0)</f>
        <v>44775</v>
      </c>
      <c r="B856" s="1">
        <f t="shared" ref="B856:U856" si="855">IF($A856&gt;0,Megyeinapi!B856/'megyelakosság'!B$2*100000," ")</f>
        <v>0</v>
      </c>
      <c r="C856" s="1">
        <f t="shared" si="855"/>
        <v>0</v>
      </c>
      <c r="D856" s="1">
        <f t="shared" si="855"/>
        <v>0</v>
      </c>
      <c r="E856" s="1">
        <f t="shared" si="855"/>
        <v>0</v>
      </c>
      <c r="F856" s="1">
        <f t="shared" si="855"/>
        <v>0</v>
      </c>
      <c r="G856" s="1">
        <f t="shared" si="855"/>
        <v>0</v>
      </c>
      <c r="H856" s="1">
        <f t="shared" si="855"/>
        <v>0</v>
      </c>
      <c r="I856" s="1">
        <f t="shared" si="855"/>
        <v>0</v>
      </c>
      <c r="J856" s="1">
        <f t="shared" si="855"/>
        <v>0</v>
      </c>
      <c r="K856" s="1">
        <f t="shared" si="855"/>
        <v>0</v>
      </c>
      <c r="L856" s="1">
        <f t="shared" si="855"/>
        <v>0</v>
      </c>
      <c r="M856" s="1">
        <f t="shared" si="855"/>
        <v>0</v>
      </c>
      <c r="N856" s="1">
        <f t="shared" si="855"/>
        <v>0</v>
      </c>
      <c r="O856" s="1">
        <f t="shared" si="855"/>
        <v>0</v>
      </c>
      <c r="P856" s="1">
        <f t="shared" si="855"/>
        <v>0</v>
      </c>
      <c r="Q856" s="1">
        <f t="shared" si="855"/>
        <v>0</v>
      </c>
      <c r="R856" s="1">
        <f t="shared" si="855"/>
        <v>0</v>
      </c>
      <c r="S856" s="1">
        <f t="shared" si="855"/>
        <v>0</v>
      </c>
      <c r="T856" s="1">
        <f t="shared" si="855"/>
        <v>0</v>
      </c>
      <c r="U856" s="1">
        <f t="shared" si="855"/>
        <v>0</v>
      </c>
    </row>
    <row r="857">
      <c r="A857" s="3">
        <f>IFERROR(__xludf.DUMMYFUNCTION("""COMPUTED_VALUE"""),44776.0)</f>
        <v>44776</v>
      </c>
      <c r="B857" s="1">
        <f t="shared" ref="B857:U857" si="856">IF($A857&gt;0,Megyeinapi!B857/'megyelakosság'!B$2*100000," ")</f>
        <v>215.2443152</v>
      </c>
      <c r="C857" s="1">
        <f t="shared" si="856"/>
        <v>251.4556862</v>
      </c>
      <c r="D857" s="1">
        <f t="shared" si="856"/>
        <v>243.5393989</v>
      </c>
      <c r="E857" s="1">
        <f t="shared" si="856"/>
        <v>175.4925722</v>
      </c>
      <c r="F857" s="1">
        <f t="shared" si="856"/>
        <v>273.2805551</v>
      </c>
      <c r="G857" s="1">
        <f t="shared" si="856"/>
        <v>219.1639135</v>
      </c>
      <c r="H857" s="1">
        <f t="shared" si="856"/>
        <v>184.1840598</v>
      </c>
      <c r="I857" s="1">
        <f t="shared" si="856"/>
        <v>247.9176398</v>
      </c>
      <c r="J857" s="1">
        <f t="shared" si="856"/>
        <v>194.977664</v>
      </c>
      <c r="K857" s="1">
        <f t="shared" si="856"/>
        <v>182.3318713</v>
      </c>
      <c r="L857" s="1">
        <f t="shared" si="856"/>
        <v>206.5929873</v>
      </c>
      <c r="M857" s="1">
        <f t="shared" si="856"/>
        <v>202.3289423</v>
      </c>
      <c r="N857" s="1">
        <f t="shared" si="856"/>
        <v>195.117283</v>
      </c>
      <c r="O857" s="1">
        <f t="shared" si="856"/>
        <v>222.0334253</v>
      </c>
      <c r="P857" s="1">
        <f t="shared" si="856"/>
        <v>206.0343391</v>
      </c>
      <c r="Q857" s="1">
        <f t="shared" si="856"/>
        <v>214.7431461</v>
      </c>
      <c r="R857" s="1">
        <f t="shared" si="856"/>
        <v>248.7077406</v>
      </c>
      <c r="S857" s="1">
        <f t="shared" si="856"/>
        <v>199.4986956</v>
      </c>
      <c r="T857" s="1">
        <f t="shared" si="856"/>
        <v>207.822205</v>
      </c>
      <c r="U857" s="1">
        <f t="shared" si="856"/>
        <v>227.4844633</v>
      </c>
    </row>
    <row r="858">
      <c r="A858" s="3">
        <f>IFERROR(__xludf.DUMMYFUNCTION("""COMPUTED_VALUE"""),44777.0)</f>
        <v>44777</v>
      </c>
      <c r="B858" s="1">
        <f t="shared" ref="B858:U858" si="857">IF($A858&gt;0,Megyeinapi!B858/'megyelakosság'!B$2*100000," ")</f>
        <v>0</v>
      </c>
      <c r="C858" s="1">
        <f t="shared" si="857"/>
        <v>0</v>
      </c>
      <c r="D858" s="1">
        <f t="shared" si="857"/>
        <v>0</v>
      </c>
      <c r="E858" s="1">
        <f t="shared" si="857"/>
        <v>0</v>
      </c>
      <c r="F858" s="1">
        <f t="shared" si="857"/>
        <v>0</v>
      </c>
      <c r="G858" s="1">
        <f t="shared" si="857"/>
        <v>0</v>
      </c>
      <c r="H858" s="1">
        <f t="shared" si="857"/>
        <v>0</v>
      </c>
      <c r="I858" s="1">
        <f t="shared" si="857"/>
        <v>0</v>
      </c>
      <c r="J858" s="1">
        <f t="shared" si="857"/>
        <v>0</v>
      </c>
      <c r="K858" s="1">
        <f t="shared" si="857"/>
        <v>0</v>
      </c>
      <c r="L858" s="1">
        <f t="shared" si="857"/>
        <v>0</v>
      </c>
      <c r="M858" s="1">
        <f t="shared" si="857"/>
        <v>0</v>
      </c>
      <c r="N858" s="1">
        <f t="shared" si="857"/>
        <v>0</v>
      </c>
      <c r="O858" s="1">
        <f t="shared" si="857"/>
        <v>0</v>
      </c>
      <c r="P858" s="1">
        <f t="shared" si="857"/>
        <v>0</v>
      </c>
      <c r="Q858" s="1">
        <f t="shared" si="857"/>
        <v>0</v>
      </c>
      <c r="R858" s="1">
        <f t="shared" si="857"/>
        <v>0</v>
      </c>
      <c r="S858" s="1">
        <f t="shared" si="857"/>
        <v>0</v>
      </c>
      <c r="T858" s="1">
        <f t="shared" si="857"/>
        <v>0</v>
      </c>
      <c r="U858" s="1">
        <f t="shared" si="857"/>
        <v>0</v>
      </c>
    </row>
    <row r="859">
      <c r="A859" s="3">
        <f>IFERROR(__xludf.DUMMYFUNCTION("""COMPUTED_VALUE"""),44778.0)</f>
        <v>44778</v>
      </c>
      <c r="B859" s="1">
        <f t="shared" ref="B859:U859" si="858">IF($A859&gt;0,Megyeinapi!B859/'megyelakosság'!B$2*100000," ")</f>
        <v>0</v>
      </c>
      <c r="C859" s="1">
        <f t="shared" si="858"/>
        <v>0</v>
      </c>
      <c r="D859" s="1">
        <f t="shared" si="858"/>
        <v>0</v>
      </c>
      <c r="E859" s="1">
        <f t="shared" si="858"/>
        <v>0</v>
      </c>
      <c r="F859" s="1">
        <f t="shared" si="858"/>
        <v>0</v>
      </c>
      <c r="G859" s="1">
        <f t="shared" si="858"/>
        <v>0</v>
      </c>
      <c r="H859" s="1">
        <f t="shared" si="858"/>
        <v>0</v>
      </c>
      <c r="I859" s="1">
        <f t="shared" si="858"/>
        <v>0</v>
      </c>
      <c r="J859" s="1">
        <f t="shared" si="858"/>
        <v>0</v>
      </c>
      <c r="K859" s="1">
        <f t="shared" si="858"/>
        <v>0</v>
      </c>
      <c r="L859" s="1">
        <f t="shared" si="858"/>
        <v>0</v>
      </c>
      <c r="M859" s="1">
        <f t="shared" si="858"/>
        <v>0</v>
      </c>
      <c r="N859" s="1">
        <f t="shared" si="858"/>
        <v>0</v>
      </c>
      <c r="O859" s="1">
        <f t="shared" si="858"/>
        <v>0</v>
      </c>
      <c r="P859" s="1">
        <f t="shared" si="858"/>
        <v>0</v>
      </c>
      <c r="Q859" s="1">
        <f t="shared" si="858"/>
        <v>0</v>
      </c>
      <c r="R859" s="1">
        <f t="shared" si="858"/>
        <v>0</v>
      </c>
      <c r="S859" s="1">
        <f t="shared" si="858"/>
        <v>0</v>
      </c>
      <c r="T859" s="1">
        <f t="shared" si="858"/>
        <v>0</v>
      </c>
      <c r="U859" s="1">
        <f t="shared" si="858"/>
        <v>0</v>
      </c>
    </row>
    <row r="860">
      <c r="A860" s="3">
        <f>IFERROR(__xludf.DUMMYFUNCTION("""COMPUTED_VALUE"""),44779.0)</f>
        <v>44779</v>
      </c>
      <c r="B860" s="1">
        <f t="shared" ref="B860:U860" si="859">IF($A860&gt;0,Megyeinapi!B860/'megyelakosság'!B$2*100000," ")</f>
        <v>0</v>
      </c>
      <c r="C860" s="1">
        <f t="shared" si="859"/>
        <v>0</v>
      </c>
      <c r="D860" s="1">
        <f t="shared" si="859"/>
        <v>0</v>
      </c>
      <c r="E860" s="1">
        <f t="shared" si="859"/>
        <v>0</v>
      </c>
      <c r="F860" s="1">
        <f t="shared" si="859"/>
        <v>0</v>
      </c>
      <c r="G860" s="1">
        <f t="shared" si="859"/>
        <v>0</v>
      </c>
      <c r="H860" s="1">
        <f t="shared" si="859"/>
        <v>0</v>
      </c>
      <c r="I860" s="1">
        <f t="shared" si="859"/>
        <v>0</v>
      </c>
      <c r="J860" s="1">
        <f t="shared" si="859"/>
        <v>0</v>
      </c>
      <c r="K860" s="1">
        <f t="shared" si="859"/>
        <v>0</v>
      </c>
      <c r="L860" s="1">
        <f t="shared" si="859"/>
        <v>0</v>
      </c>
      <c r="M860" s="1">
        <f t="shared" si="859"/>
        <v>0</v>
      </c>
      <c r="N860" s="1">
        <f t="shared" si="859"/>
        <v>0</v>
      </c>
      <c r="O860" s="1">
        <f t="shared" si="859"/>
        <v>0</v>
      </c>
      <c r="P860" s="1">
        <f t="shared" si="859"/>
        <v>0</v>
      </c>
      <c r="Q860" s="1">
        <f t="shared" si="859"/>
        <v>0</v>
      </c>
      <c r="R860" s="1">
        <f t="shared" si="859"/>
        <v>0</v>
      </c>
      <c r="S860" s="1">
        <f t="shared" si="859"/>
        <v>0</v>
      </c>
      <c r="T860" s="1">
        <f t="shared" si="859"/>
        <v>0</v>
      </c>
      <c r="U860" s="1">
        <f t="shared" si="859"/>
        <v>0</v>
      </c>
    </row>
    <row r="861">
      <c r="A861" s="3">
        <f>IFERROR(__xludf.DUMMYFUNCTION("""COMPUTED_VALUE"""),44780.0)</f>
        <v>44780</v>
      </c>
      <c r="B861" s="1">
        <f t="shared" ref="B861:U861" si="860">IF($A861&gt;0,Megyeinapi!B861/'megyelakosság'!B$2*100000," ")</f>
        <v>0</v>
      </c>
      <c r="C861" s="1">
        <f t="shared" si="860"/>
        <v>0</v>
      </c>
      <c r="D861" s="1">
        <f t="shared" si="860"/>
        <v>0</v>
      </c>
      <c r="E861" s="1">
        <f t="shared" si="860"/>
        <v>0</v>
      </c>
      <c r="F861" s="1">
        <f t="shared" si="860"/>
        <v>0</v>
      </c>
      <c r="G861" s="1">
        <f t="shared" si="860"/>
        <v>0</v>
      </c>
      <c r="H861" s="1">
        <f t="shared" si="860"/>
        <v>0</v>
      </c>
      <c r="I861" s="1">
        <f t="shared" si="860"/>
        <v>0</v>
      </c>
      <c r="J861" s="1">
        <f t="shared" si="860"/>
        <v>0</v>
      </c>
      <c r="K861" s="1">
        <f t="shared" si="860"/>
        <v>0</v>
      </c>
      <c r="L861" s="1">
        <f t="shared" si="860"/>
        <v>0</v>
      </c>
      <c r="M861" s="1">
        <f t="shared" si="860"/>
        <v>0</v>
      </c>
      <c r="N861" s="1">
        <f t="shared" si="860"/>
        <v>0</v>
      </c>
      <c r="O861" s="1">
        <f t="shared" si="860"/>
        <v>0</v>
      </c>
      <c r="P861" s="1">
        <f t="shared" si="860"/>
        <v>0</v>
      </c>
      <c r="Q861" s="1">
        <f t="shared" si="860"/>
        <v>0</v>
      </c>
      <c r="R861" s="1">
        <f t="shared" si="860"/>
        <v>0</v>
      </c>
      <c r="S861" s="1">
        <f t="shared" si="860"/>
        <v>0</v>
      </c>
      <c r="T861" s="1">
        <f t="shared" si="860"/>
        <v>0</v>
      </c>
      <c r="U861" s="1">
        <f t="shared" si="860"/>
        <v>0</v>
      </c>
    </row>
    <row r="862">
      <c r="A862" s="3">
        <f>IFERROR(__xludf.DUMMYFUNCTION("""COMPUTED_VALUE"""),44781.0)</f>
        <v>44781</v>
      </c>
      <c r="B862" s="1">
        <f t="shared" ref="B862:U862" si="861">IF($A862&gt;0,Megyeinapi!B862/'megyelakosság'!B$2*100000," ")</f>
        <v>0</v>
      </c>
      <c r="C862" s="1">
        <f t="shared" si="861"/>
        <v>0</v>
      </c>
      <c r="D862" s="1">
        <f t="shared" si="861"/>
        <v>0</v>
      </c>
      <c r="E862" s="1">
        <f t="shared" si="861"/>
        <v>0</v>
      </c>
      <c r="F862" s="1">
        <f t="shared" si="861"/>
        <v>0</v>
      </c>
      <c r="G862" s="1">
        <f t="shared" si="861"/>
        <v>0</v>
      </c>
      <c r="H862" s="1">
        <f t="shared" si="861"/>
        <v>0</v>
      </c>
      <c r="I862" s="1">
        <f t="shared" si="861"/>
        <v>0</v>
      </c>
      <c r="J862" s="1">
        <f t="shared" si="861"/>
        <v>0</v>
      </c>
      <c r="K862" s="1">
        <f t="shared" si="861"/>
        <v>0</v>
      </c>
      <c r="L862" s="1">
        <f t="shared" si="861"/>
        <v>0</v>
      </c>
      <c r="M862" s="1">
        <f t="shared" si="861"/>
        <v>0</v>
      </c>
      <c r="N862" s="1">
        <f t="shared" si="861"/>
        <v>0</v>
      </c>
      <c r="O862" s="1">
        <f t="shared" si="861"/>
        <v>0</v>
      </c>
      <c r="P862" s="1">
        <f t="shared" si="861"/>
        <v>0</v>
      </c>
      <c r="Q862" s="1">
        <f t="shared" si="861"/>
        <v>0</v>
      </c>
      <c r="R862" s="1">
        <f t="shared" si="861"/>
        <v>0</v>
      </c>
      <c r="S862" s="1">
        <f t="shared" si="861"/>
        <v>0</v>
      </c>
      <c r="T862" s="1">
        <f t="shared" si="861"/>
        <v>0</v>
      </c>
      <c r="U862" s="1">
        <f t="shared" si="861"/>
        <v>0</v>
      </c>
    </row>
    <row r="863">
      <c r="A863" s="3">
        <f>IFERROR(__xludf.DUMMYFUNCTION("""COMPUTED_VALUE"""),44782.0)</f>
        <v>44782</v>
      </c>
      <c r="B863" s="1">
        <f t="shared" ref="B863:U863" si="862">IF($A863&gt;0,Megyeinapi!B863/'megyelakosság'!B$2*100000," ")</f>
        <v>0</v>
      </c>
      <c r="C863" s="1">
        <f t="shared" si="862"/>
        <v>0</v>
      </c>
      <c r="D863" s="1">
        <f t="shared" si="862"/>
        <v>0</v>
      </c>
      <c r="E863" s="1">
        <f t="shared" si="862"/>
        <v>0</v>
      </c>
      <c r="F863" s="1">
        <f t="shared" si="862"/>
        <v>0</v>
      </c>
      <c r="G863" s="1">
        <f t="shared" si="862"/>
        <v>0</v>
      </c>
      <c r="H863" s="1">
        <f t="shared" si="862"/>
        <v>0</v>
      </c>
      <c r="I863" s="1">
        <f t="shared" si="862"/>
        <v>0</v>
      </c>
      <c r="J863" s="1">
        <f t="shared" si="862"/>
        <v>0</v>
      </c>
      <c r="K863" s="1">
        <f t="shared" si="862"/>
        <v>0</v>
      </c>
      <c r="L863" s="1">
        <f t="shared" si="862"/>
        <v>0</v>
      </c>
      <c r="M863" s="1">
        <f t="shared" si="862"/>
        <v>0</v>
      </c>
      <c r="N863" s="1">
        <f t="shared" si="862"/>
        <v>0</v>
      </c>
      <c r="O863" s="1">
        <f t="shared" si="862"/>
        <v>0</v>
      </c>
      <c r="P863" s="1">
        <f t="shared" si="862"/>
        <v>0</v>
      </c>
      <c r="Q863" s="1">
        <f t="shared" si="862"/>
        <v>0</v>
      </c>
      <c r="R863" s="1">
        <f t="shared" si="862"/>
        <v>0</v>
      </c>
      <c r="S863" s="1">
        <f t="shared" si="862"/>
        <v>0</v>
      </c>
      <c r="T863" s="1">
        <f t="shared" si="862"/>
        <v>0</v>
      </c>
      <c r="U863" s="1">
        <f t="shared" si="862"/>
        <v>0</v>
      </c>
    </row>
    <row r="864">
      <c r="A864" s="3">
        <f>IFERROR(__xludf.DUMMYFUNCTION("""COMPUTED_VALUE"""),44783.0)</f>
        <v>44783</v>
      </c>
      <c r="B864" s="1">
        <f t="shared" ref="B864:U864" si="863">IF($A864&gt;0,Megyeinapi!B864/'megyelakosság'!B$2*100000," ")</f>
        <v>207.2796782</v>
      </c>
      <c r="C864" s="1">
        <f t="shared" si="863"/>
        <v>236.696936</v>
      </c>
      <c r="D864" s="1">
        <f t="shared" si="863"/>
        <v>271.9775399</v>
      </c>
      <c r="E864" s="1">
        <f t="shared" si="863"/>
        <v>170.7834692</v>
      </c>
      <c r="F864" s="1">
        <f t="shared" si="863"/>
        <v>150.6671177</v>
      </c>
      <c r="G864" s="1">
        <f t="shared" si="863"/>
        <v>226.6953195</v>
      </c>
      <c r="H864" s="1">
        <f t="shared" si="863"/>
        <v>182.2729412</v>
      </c>
      <c r="I864" s="1">
        <f t="shared" si="863"/>
        <v>186.8364821</v>
      </c>
      <c r="J864" s="1">
        <f t="shared" si="863"/>
        <v>185.8647838</v>
      </c>
      <c r="K864" s="1">
        <f t="shared" si="863"/>
        <v>202.7803054</v>
      </c>
      <c r="L864" s="1">
        <f t="shared" si="863"/>
        <v>221.5832436</v>
      </c>
      <c r="M864" s="1">
        <f t="shared" si="863"/>
        <v>127.9091015</v>
      </c>
      <c r="N864" s="1">
        <f t="shared" si="863"/>
        <v>182.8892244</v>
      </c>
      <c r="O864" s="1">
        <f t="shared" si="863"/>
        <v>165.0602651</v>
      </c>
      <c r="P864" s="1">
        <f t="shared" si="863"/>
        <v>183.6972829</v>
      </c>
      <c r="Q864" s="1">
        <f t="shared" si="863"/>
        <v>242.064157</v>
      </c>
      <c r="R864" s="1">
        <f t="shared" si="863"/>
        <v>233.8595172</v>
      </c>
      <c r="S864" s="1">
        <f t="shared" si="863"/>
        <v>123.9488937</v>
      </c>
      <c r="T864" s="1">
        <f t="shared" si="863"/>
        <v>160.0436163</v>
      </c>
      <c r="U864" s="1">
        <f t="shared" si="863"/>
        <v>191.1917118</v>
      </c>
    </row>
    <row r="865">
      <c r="A865" s="3">
        <f>IFERROR(__xludf.DUMMYFUNCTION("""COMPUTED_VALUE"""),44784.0)</f>
        <v>44784</v>
      </c>
      <c r="B865" s="1">
        <f t="shared" ref="B865:U865" si="864">IF($A865&gt;0,Megyeinapi!B865/'megyelakosság'!B$2*100000," ")</f>
        <v>0</v>
      </c>
      <c r="C865" s="1">
        <f t="shared" si="864"/>
        <v>0</v>
      </c>
      <c r="D865" s="1">
        <f t="shared" si="864"/>
        <v>0</v>
      </c>
      <c r="E865" s="1">
        <f t="shared" si="864"/>
        <v>0</v>
      </c>
      <c r="F865" s="1">
        <f t="shared" si="864"/>
        <v>0</v>
      </c>
      <c r="G865" s="1">
        <f t="shared" si="864"/>
        <v>0</v>
      </c>
      <c r="H865" s="1">
        <f t="shared" si="864"/>
        <v>0</v>
      </c>
      <c r="I865" s="1">
        <f t="shared" si="864"/>
        <v>0</v>
      </c>
      <c r="J865" s="1">
        <f t="shared" si="864"/>
        <v>0</v>
      </c>
      <c r="K865" s="1">
        <f t="shared" si="864"/>
        <v>0</v>
      </c>
      <c r="L865" s="1">
        <f t="shared" si="864"/>
        <v>0</v>
      </c>
      <c r="M865" s="1">
        <f t="shared" si="864"/>
        <v>0</v>
      </c>
      <c r="N865" s="1">
        <f t="shared" si="864"/>
        <v>0</v>
      </c>
      <c r="O865" s="1">
        <f t="shared" si="864"/>
        <v>0</v>
      </c>
      <c r="P865" s="1">
        <f t="shared" si="864"/>
        <v>0</v>
      </c>
      <c r="Q865" s="1">
        <f t="shared" si="864"/>
        <v>0</v>
      </c>
      <c r="R865" s="1">
        <f t="shared" si="864"/>
        <v>0</v>
      </c>
      <c r="S865" s="1">
        <f t="shared" si="864"/>
        <v>0</v>
      </c>
      <c r="T865" s="1">
        <f t="shared" si="864"/>
        <v>0</v>
      </c>
      <c r="U865" s="1">
        <f t="shared" si="864"/>
        <v>0</v>
      </c>
    </row>
    <row r="866">
      <c r="A866" s="3">
        <f>IFERROR(__xludf.DUMMYFUNCTION("""COMPUTED_VALUE"""),44785.0)</f>
        <v>44785</v>
      </c>
      <c r="B866" s="1">
        <f t="shared" ref="B866:U866" si="865">IF($A866&gt;0,Megyeinapi!B866/'megyelakosság'!B$2*100000," ")</f>
        <v>0</v>
      </c>
      <c r="C866" s="1">
        <f t="shared" si="865"/>
        <v>0</v>
      </c>
      <c r="D866" s="1">
        <f t="shared" si="865"/>
        <v>0</v>
      </c>
      <c r="E866" s="1">
        <f t="shared" si="865"/>
        <v>0</v>
      </c>
      <c r="F866" s="1">
        <f t="shared" si="865"/>
        <v>0</v>
      </c>
      <c r="G866" s="1">
        <f t="shared" si="865"/>
        <v>0</v>
      </c>
      <c r="H866" s="1">
        <f t="shared" si="865"/>
        <v>0</v>
      </c>
      <c r="I866" s="1">
        <f t="shared" si="865"/>
        <v>0</v>
      </c>
      <c r="J866" s="1">
        <f t="shared" si="865"/>
        <v>0</v>
      </c>
      <c r="K866" s="1">
        <f t="shared" si="865"/>
        <v>0</v>
      </c>
      <c r="L866" s="1">
        <f t="shared" si="865"/>
        <v>0</v>
      </c>
      <c r="M866" s="1">
        <f t="shared" si="865"/>
        <v>0</v>
      </c>
      <c r="N866" s="1">
        <f t="shared" si="865"/>
        <v>0</v>
      </c>
      <c r="O866" s="1">
        <f t="shared" si="865"/>
        <v>0</v>
      </c>
      <c r="P866" s="1">
        <f t="shared" si="865"/>
        <v>0</v>
      </c>
      <c r="Q866" s="1">
        <f t="shared" si="865"/>
        <v>0</v>
      </c>
      <c r="R866" s="1">
        <f t="shared" si="865"/>
        <v>0</v>
      </c>
      <c r="S866" s="1">
        <f t="shared" si="865"/>
        <v>0</v>
      </c>
      <c r="T866" s="1">
        <f t="shared" si="865"/>
        <v>0</v>
      </c>
      <c r="U866" s="1">
        <f t="shared" si="865"/>
        <v>0</v>
      </c>
    </row>
    <row r="867">
      <c r="A867" s="3">
        <f>IFERROR(__xludf.DUMMYFUNCTION("""COMPUTED_VALUE"""),44786.0)</f>
        <v>44786</v>
      </c>
      <c r="B867" s="1">
        <f t="shared" ref="B867:U867" si="866">IF($A867&gt;0,Megyeinapi!B867/'megyelakosság'!B$2*100000," ")</f>
        <v>0</v>
      </c>
      <c r="C867" s="1">
        <f t="shared" si="866"/>
        <v>0</v>
      </c>
      <c r="D867" s="1">
        <f t="shared" si="866"/>
        <v>0</v>
      </c>
      <c r="E867" s="1">
        <f t="shared" si="866"/>
        <v>0</v>
      </c>
      <c r="F867" s="1">
        <f t="shared" si="866"/>
        <v>0</v>
      </c>
      <c r="G867" s="1">
        <f t="shared" si="866"/>
        <v>0</v>
      </c>
      <c r="H867" s="1">
        <f t="shared" si="866"/>
        <v>0</v>
      </c>
      <c r="I867" s="1">
        <f t="shared" si="866"/>
        <v>0</v>
      </c>
      <c r="J867" s="1">
        <f t="shared" si="866"/>
        <v>0</v>
      </c>
      <c r="K867" s="1">
        <f t="shared" si="866"/>
        <v>0</v>
      </c>
      <c r="L867" s="1">
        <f t="shared" si="866"/>
        <v>0</v>
      </c>
      <c r="M867" s="1">
        <f t="shared" si="866"/>
        <v>0</v>
      </c>
      <c r="N867" s="1">
        <f t="shared" si="866"/>
        <v>0</v>
      </c>
      <c r="O867" s="1">
        <f t="shared" si="866"/>
        <v>0</v>
      </c>
      <c r="P867" s="1">
        <f t="shared" si="866"/>
        <v>0</v>
      </c>
      <c r="Q867" s="1">
        <f t="shared" si="866"/>
        <v>0</v>
      </c>
      <c r="R867" s="1">
        <f t="shared" si="866"/>
        <v>0</v>
      </c>
      <c r="S867" s="1">
        <f t="shared" si="866"/>
        <v>0</v>
      </c>
      <c r="T867" s="1">
        <f t="shared" si="866"/>
        <v>0</v>
      </c>
      <c r="U867" s="1">
        <f t="shared" si="866"/>
        <v>0</v>
      </c>
    </row>
    <row r="868">
      <c r="A868" s="3">
        <f>IFERROR(__xludf.DUMMYFUNCTION("""COMPUTED_VALUE"""),44787.0)</f>
        <v>44787</v>
      </c>
      <c r="B868" s="1">
        <f t="shared" ref="B868:U868" si="867">IF($A868&gt;0,Megyeinapi!B868/'megyelakosság'!B$2*100000," ")</f>
        <v>0</v>
      </c>
      <c r="C868" s="1">
        <f t="shared" si="867"/>
        <v>0</v>
      </c>
      <c r="D868" s="1">
        <f t="shared" si="867"/>
        <v>0</v>
      </c>
      <c r="E868" s="1">
        <f t="shared" si="867"/>
        <v>0</v>
      </c>
      <c r="F868" s="1">
        <f t="shared" si="867"/>
        <v>0</v>
      </c>
      <c r="G868" s="1">
        <f t="shared" si="867"/>
        <v>0</v>
      </c>
      <c r="H868" s="1">
        <f t="shared" si="867"/>
        <v>0</v>
      </c>
      <c r="I868" s="1">
        <f t="shared" si="867"/>
        <v>0</v>
      </c>
      <c r="J868" s="1">
        <f t="shared" si="867"/>
        <v>0</v>
      </c>
      <c r="K868" s="1">
        <f t="shared" si="867"/>
        <v>0</v>
      </c>
      <c r="L868" s="1">
        <f t="shared" si="867"/>
        <v>0</v>
      </c>
      <c r="M868" s="1">
        <f t="shared" si="867"/>
        <v>0</v>
      </c>
      <c r="N868" s="1">
        <f t="shared" si="867"/>
        <v>0</v>
      </c>
      <c r="O868" s="1">
        <f t="shared" si="867"/>
        <v>0</v>
      </c>
      <c r="P868" s="1">
        <f t="shared" si="867"/>
        <v>0</v>
      </c>
      <c r="Q868" s="1">
        <f t="shared" si="867"/>
        <v>0</v>
      </c>
      <c r="R868" s="1">
        <f t="shared" si="867"/>
        <v>0</v>
      </c>
      <c r="S868" s="1">
        <f t="shared" si="867"/>
        <v>0</v>
      </c>
      <c r="T868" s="1">
        <f t="shared" si="867"/>
        <v>0</v>
      </c>
      <c r="U868" s="1">
        <f t="shared" si="867"/>
        <v>0</v>
      </c>
    </row>
    <row r="869">
      <c r="A869" s="3">
        <f>IFERROR(__xludf.DUMMYFUNCTION("""COMPUTED_VALUE"""),44788.0)</f>
        <v>44788</v>
      </c>
      <c r="B869" s="1">
        <f t="shared" ref="B869:U869" si="868">IF($A869&gt;0,Megyeinapi!B869/'megyelakosság'!B$2*100000," ")</f>
        <v>0</v>
      </c>
      <c r="C869" s="1">
        <f t="shared" si="868"/>
        <v>0</v>
      </c>
      <c r="D869" s="1">
        <f t="shared" si="868"/>
        <v>0</v>
      </c>
      <c r="E869" s="1">
        <f t="shared" si="868"/>
        <v>0</v>
      </c>
      <c r="F869" s="1">
        <f t="shared" si="868"/>
        <v>0</v>
      </c>
      <c r="G869" s="1">
        <f t="shared" si="868"/>
        <v>0</v>
      </c>
      <c r="H869" s="1">
        <f t="shared" si="868"/>
        <v>0</v>
      </c>
      <c r="I869" s="1">
        <f t="shared" si="868"/>
        <v>0</v>
      </c>
      <c r="J869" s="1">
        <f t="shared" si="868"/>
        <v>0</v>
      </c>
      <c r="K869" s="1">
        <f t="shared" si="868"/>
        <v>0</v>
      </c>
      <c r="L869" s="1">
        <f t="shared" si="868"/>
        <v>0</v>
      </c>
      <c r="M869" s="1">
        <f t="shared" si="868"/>
        <v>0</v>
      </c>
      <c r="N869" s="1">
        <f t="shared" si="868"/>
        <v>0</v>
      </c>
      <c r="O869" s="1">
        <f t="shared" si="868"/>
        <v>0</v>
      </c>
      <c r="P869" s="1">
        <f t="shared" si="868"/>
        <v>0</v>
      </c>
      <c r="Q869" s="1">
        <f t="shared" si="868"/>
        <v>0</v>
      </c>
      <c r="R869" s="1">
        <f t="shared" si="868"/>
        <v>0</v>
      </c>
      <c r="S869" s="1">
        <f t="shared" si="868"/>
        <v>0</v>
      </c>
      <c r="T869" s="1">
        <f t="shared" si="868"/>
        <v>0</v>
      </c>
      <c r="U869" s="1">
        <f t="shared" si="868"/>
        <v>0</v>
      </c>
    </row>
    <row r="870">
      <c r="A870" s="3">
        <f>IFERROR(__xludf.DUMMYFUNCTION("""COMPUTED_VALUE"""),44789.0)</f>
        <v>44789</v>
      </c>
      <c r="B870" s="1">
        <f t="shared" ref="B870:U870" si="869">IF($A870&gt;0,Megyeinapi!B870/'megyelakosság'!B$2*100000," ")</f>
        <v>0</v>
      </c>
      <c r="C870" s="1">
        <f t="shared" si="869"/>
        <v>0</v>
      </c>
      <c r="D870" s="1">
        <f t="shared" si="869"/>
        <v>0</v>
      </c>
      <c r="E870" s="1">
        <f t="shared" si="869"/>
        <v>0</v>
      </c>
      <c r="F870" s="1">
        <f t="shared" si="869"/>
        <v>0</v>
      </c>
      <c r="G870" s="1">
        <f t="shared" si="869"/>
        <v>0</v>
      </c>
      <c r="H870" s="1">
        <f t="shared" si="869"/>
        <v>0</v>
      </c>
      <c r="I870" s="1">
        <f t="shared" si="869"/>
        <v>0</v>
      </c>
      <c r="J870" s="1">
        <f t="shared" si="869"/>
        <v>0</v>
      </c>
      <c r="K870" s="1">
        <f t="shared" si="869"/>
        <v>0</v>
      </c>
      <c r="L870" s="1">
        <f t="shared" si="869"/>
        <v>0</v>
      </c>
      <c r="M870" s="1">
        <f t="shared" si="869"/>
        <v>0</v>
      </c>
      <c r="N870" s="1">
        <f t="shared" si="869"/>
        <v>0</v>
      </c>
      <c r="O870" s="1">
        <f t="shared" si="869"/>
        <v>0</v>
      </c>
      <c r="P870" s="1">
        <f t="shared" si="869"/>
        <v>0</v>
      </c>
      <c r="Q870" s="1">
        <f t="shared" si="869"/>
        <v>0</v>
      </c>
      <c r="R870" s="1">
        <f t="shared" si="869"/>
        <v>0</v>
      </c>
      <c r="S870" s="1">
        <f t="shared" si="869"/>
        <v>0</v>
      </c>
      <c r="T870" s="1">
        <f t="shared" si="869"/>
        <v>0</v>
      </c>
      <c r="U870" s="1">
        <f t="shared" si="869"/>
        <v>0</v>
      </c>
    </row>
    <row r="871">
      <c r="A871" s="3">
        <f>IFERROR(__xludf.DUMMYFUNCTION("""COMPUTED_VALUE"""),44790.0)</f>
        <v>44790</v>
      </c>
      <c r="B871" s="1">
        <f t="shared" ref="B871:U871" si="870">IF($A871&gt;0,Megyeinapi!B871/'megyelakosság'!B$2*100000," ")</f>
        <v>196.9256501</v>
      </c>
      <c r="C871" s="1">
        <f t="shared" si="870"/>
        <v>236.418469</v>
      </c>
      <c r="D871" s="1">
        <f t="shared" si="870"/>
        <v>277.4231414</v>
      </c>
      <c r="E871" s="1">
        <f t="shared" si="870"/>
        <v>159.0107116</v>
      </c>
      <c r="F871" s="1">
        <f t="shared" si="870"/>
        <v>121.7564004</v>
      </c>
      <c r="G871" s="1">
        <f t="shared" si="870"/>
        <v>252.5531466</v>
      </c>
      <c r="H871" s="1">
        <f t="shared" si="870"/>
        <v>151.9339326</v>
      </c>
      <c r="I871" s="1">
        <f t="shared" si="870"/>
        <v>163.1648916</v>
      </c>
      <c r="J871" s="1">
        <f t="shared" si="870"/>
        <v>173.5244254</v>
      </c>
      <c r="K871" s="1">
        <f t="shared" si="870"/>
        <v>184.3767147</v>
      </c>
      <c r="L871" s="1">
        <f t="shared" si="870"/>
        <v>197.5988335</v>
      </c>
      <c r="M871" s="1">
        <f t="shared" si="870"/>
        <v>113.9553813</v>
      </c>
      <c r="N871" s="1">
        <f t="shared" si="870"/>
        <v>187.6741169</v>
      </c>
      <c r="O871" s="1">
        <f t="shared" si="870"/>
        <v>132.4491058</v>
      </c>
      <c r="P871" s="1">
        <f t="shared" si="870"/>
        <v>187.6979497</v>
      </c>
      <c r="Q871" s="1">
        <f t="shared" si="870"/>
        <v>216.7466869</v>
      </c>
      <c r="R871" s="1">
        <f t="shared" si="870"/>
        <v>220.4033149</v>
      </c>
      <c r="S871" s="1">
        <f t="shared" si="870"/>
        <v>97.97864931</v>
      </c>
      <c r="T871" s="1">
        <f t="shared" si="870"/>
        <v>132.4903197</v>
      </c>
      <c r="U871" s="1">
        <f t="shared" si="870"/>
        <v>154.5248082</v>
      </c>
    </row>
    <row r="872">
      <c r="A872" s="3">
        <f>IFERROR(__xludf.DUMMYFUNCTION("""COMPUTED_VALUE"""),44791.0)</f>
        <v>44791</v>
      </c>
      <c r="B872" s="1">
        <f t="shared" ref="B872:U872" si="871">IF($A872&gt;0,Megyeinapi!B872/'megyelakosság'!B$2*100000," ")</f>
        <v>0</v>
      </c>
      <c r="C872" s="1">
        <f t="shared" si="871"/>
        <v>0</v>
      </c>
      <c r="D872" s="1">
        <f t="shared" si="871"/>
        <v>0</v>
      </c>
      <c r="E872" s="1">
        <f t="shared" si="871"/>
        <v>0</v>
      </c>
      <c r="F872" s="1">
        <f t="shared" si="871"/>
        <v>0</v>
      </c>
      <c r="G872" s="1">
        <f t="shared" si="871"/>
        <v>0</v>
      </c>
      <c r="H872" s="1">
        <f t="shared" si="871"/>
        <v>0</v>
      </c>
      <c r="I872" s="1">
        <f t="shared" si="871"/>
        <v>0</v>
      </c>
      <c r="J872" s="1">
        <f t="shared" si="871"/>
        <v>0</v>
      </c>
      <c r="K872" s="1">
        <f t="shared" si="871"/>
        <v>0</v>
      </c>
      <c r="L872" s="1">
        <f t="shared" si="871"/>
        <v>0</v>
      </c>
      <c r="M872" s="1">
        <f t="shared" si="871"/>
        <v>0</v>
      </c>
      <c r="N872" s="1">
        <f t="shared" si="871"/>
        <v>0</v>
      </c>
      <c r="O872" s="1">
        <f t="shared" si="871"/>
        <v>0</v>
      </c>
      <c r="P872" s="1">
        <f t="shared" si="871"/>
        <v>0</v>
      </c>
      <c r="Q872" s="1">
        <f t="shared" si="871"/>
        <v>0</v>
      </c>
      <c r="R872" s="1">
        <f t="shared" si="871"/>
        <v>0</v>
      </c>
      <c r="S872" s="1">
        <f t="shared" si="871"/>
        <v>0</v>
      </c>
      <c r="T872" s="1">
        <f t="shared" si="871"/>
        <v>0</v>
      </c>
      <c r="U872" s="1">
        <f t="shared" si="871"/>
        <v>0</v>
      </c>
    </row>
    <row r="873">
      <c r="A873" s="3">
        <f>IFERROR(__xludf.DUMMYFUNCTION("""COMPUTED_VALUE"""),44792.0)</f>
        <v>44792</v>
      </c>
      <c r="B873" s="1">
        <f t="shared" ref="B873:U873" si="872">IF($A873&gt;0,Megyeinapi!B873/'megyelakosság'!B$2*100000," ")</f>
        <v>0</v>
      </c>
      <c r="C873" s="1">
        <f t="shared" si="872"/>
        <v>0</v>
      </c>
      <c r="D873" s="1">
        <f t="shared" si="872"/>
        <v>0</v>
      </c>
      <c r="E873" s="1">
        <f t="shared" si="872"/>
        <v>0</v>
      </c>
      <c r="F873" s="1">
        <f t="shared" si="872"/>
        <v>0</v>
      </c>
      <c r="G873" s="1">
        <f t="shared" si="872"/>
        <v>0</v>
      </c>
      <c r="H873" s="1">
        <f t="shared" si="872"/>
        <v>0</v>
      </c>
      <c r="I873" s="1">
        <f t="shared" si="872"/>
        <v>0</v>
      </c>
      <c r="J873" s="1">
        <f t="shared" si="872"/>
        <v>0</v>
      </c>
      <c r="K873" s="1">
        <f t="shared" si="872"/>
        <v>0</v>
      </c>
      <c r="L873" s="1">
        <f t="shared" si="872"/>
        <v>0</v>
      </c>
      <c r="M873" s="1">
        <f t="shared" si="872"/>
        <v>0</v>
      </c>
      <c r="N873" s="1">
        <f t="shared" si="872"/>
        <v>0</v>
      </c>
      <c r="O873" s="1">
        <f t="shared" si="872"/>
        <v>0</v>
      </c>
      <c r="P873" s="1">
        <f t="shared" si="872"/>
        <v>0</v>
      </c>
      <c r="Q873" s="1">
        <f t="shared" si="872"/>
        <v>0</v>
      </c>
      <c r="R873" s="1">
        <f t="shared" si="872"/>
        <v>0</v>
      </c>
      <c r="S873" s="1">
        <f t="shared" si="872"/>
        <v>0</v>
      </c>
      <c r="T873" s="1">
        <f t="shared" si="872"/>
        <v>0</v>
      </c>
      <c r="U873" s="1">
        <f t="shared" si="872"/>
        <v>0</v>
      </c>
    </row>
    <row r="874">
      <c r="A874" s="3">
        <f>IFERROR(__xludf.DUMMYFUNCTION("""COMPUTED_VALUE"""),44793.0)</f>
        <v>44793</v>
      </c>
      <c r="B874" s="1">
        <f t="shared" ref="B874:U874" si="873">IF($A874&gt;0,Megyeinapi!B874/'megyelakosság'!B$2*100000," ")</f>
        <v>0</v>
      </c>
      <c r="C874" s="1">
        <f t="shared" si="873"/>
        <v>0</v>
      </c>
      <c r="D874" s="1">
        <f t="shared" si="873"/>
        <v>0</v>
      </c>
      <c r="E874" s="1">
        <f t="shared" si="873"/>
        <v>0</v>
      </c>
      <c r="F874" s="1">
        <f t="shared" si="873"/>
        <v>0</v>
      </c>
      <c r="G874" s="1">
        <f t="shared" si="873"/>
        <v>0</v>
      </c>
      <c r="H874" s="1">
        <f t="shared" si="873"/>
        <v>0</v>
      </c>
      <c r="I874" s="1">
        <f t="shared" si="873"/>
        <v>0</v>
      </c>
      <c r="J874" s="1">
        <f t="shared" si="873"/>
        <v>0</v>
      </c>
      <c r="K874" s="1">
        <f t="shared" si="873"/>
        <v>0</v>
      </c>
      <c r="L874" s="1">
        <f t="shared" si="873"/>
        <v>0</v>
      </c>
      <c r="M874" s="1">
        <f t="shared" si="873"/>
        <v>0</v>
      </c>
      <c r="N874" s="1">
        <f t="shared" si="873"/>
        <v>0</v>
      </c>
      <c r="O874" s="1">
        <f t="shared" si="873"/>
        <v>0</v>
      </c>
      <c r="P874" s="1">
        <f t="shared" si="873"/>
        <v>0</v>
      </c>
      <c r="Q874" s="1">
        <f t="shared" si="873"/>
        <v>0</v>
      </c>
      <c r="R874" s="1">
        <f t="shared" si="873"/>
        <v>0</v>
      </c>
      <c r="S874" s="1">
        <f t="shared" si="873"/>
        <v>0</v>
      </c>
      <c r="T874" s="1">
        <f t="shared" si="873"/>
        <v>0</v>
      </c>
      <c r="U874" s="1">
        <f t="shared" si="873"/>
        <v>0</v>
      </c>
    </row>
    <row r="875">
      <c r="A875" s="3">
        <f>IFERROR(__xludf.DUMMYFUNCTION("""COMPUTED_VALUE"""),44794.0)</f>
        <v>44794</v>
      </c>
      <c r="B875" s="1">
        <f t="shared" ref="B875:U875" si="874">IF($A875&gt;0,Megyeinapi!B875/'megyelakosság'!B$2*100000," ")</f>
        <v>0</v>
      </c>
      <c r="C875" s="1">
        <f t="shared" si="874"/>
        <v>0</v>
      </c>
      <c r="D875" s="1">
        <f t="shared" si="874"/>
        <v>0</v>
      </c>
      <c r="E875" s="1">
        <f t="shared" si="874"/>
        <v>0</v>
      </c>
      <c r="F875" s="1">
        <f t="shared" si="874"/>
        <v>0</v>
      </c>
      <c r="G875" s="1">
        <f t="shared" si="874"/>
        <v>0</v>
      </c>
      <c r="H875" s="1">
        <f t="shared" si="874"/>
        <v>0</v>
      </c>
      <c r="I875" s="1">
        <f t="shared" si="874"/>
        <v>0</v>
      </c>
      <c r="J875" s="1">
        <f t="shared" si="874"/>
        <v>0</v>
      </c>
      <c r="K875" s="1">
        <f t="shared" si="874"/>
        <v>0</v>
      </c>
      <c r="L875" s="1">
        <f t="shared" si="874"/>
        <v>0</v>
      </c>
      <c r="M875" s="1">
        <f t="shared" si="874"/>
        <v>0</v>
      </c>
      <c r="N875" s="1">
        <f t="shared" si="874"/>
        <v>0</v>
      </c>
      <c r="O875" s="1">
        <f t="shared" si="874"/>
        <v>0</v>
      </c>
      <c r="P875" s="1">
        <f t="shared" si="874"/>
        <v>0</v>
      </c>
      <c r="Q875" s="1">
        <f t="shared" si="874"/>
        <v>0</v>
      </c>
      <c r="R875" s="1">
        <f t="shared" si="874"/>
        <v>0</v>
      </c>
      <c r="S875" s="1">
        <f t="shared" si="874"/>
        <v>0</v>
      </c>
      <c r="T875" s="1">
        <f t="shared" si="874"/>
        <v>0</v>
      </c>
      <c r="U875" s="1">
        <f t="shared" si="874"/>
        <v>0</v>
      </c>
    </row>
    <row r="876">
      <c r="A876" s="3">
        <f>IFERROR(__xludf.DUMMYFUNCTION("""COMPUTED_VALUE"""),44795.0)</f>
        <v>44795</v>
      </c>
      <c r="B876" s="1">
        <f t="shared" ref="B876:U876" si="875">IF($A876&gt;0,Megyeinapi!B876/'megyelakosság'!B$2*100000," ")</f>
        <v>0</v>
      </c>
      <c r="C876" s="1">
        <f t="shared" si="875"/>
        <v>0</v>
      </c>
      <c r="D876" s="1">
        <f t="shared" si="875"/>
        <v>0</v>
      </c>
      <c r="E876" s="1">
        <f t="shared" si="875"/>
        <v>0</v>
      </c>
      <c r="F876" s="1">
        <f t="shared" si="875"/>
        <v>0</v>
      </c>
      <c r="G876" s="1">
        <f t="shared" si="875"/>
        <v>0</v>
      </c>
      <c r="H876" s="1">
        <f t="shared" si="875"/>
        <v>0</v>
      </c>
      <c r="I876" s="1">
        <f t="shared" si="875"/>
        <v>0</v>
      </c>
      <c r="J876" s="1">
        <f t="shared" si="875"/>
        <v>0</v>
      </c>
      <c r="K876" s="1">
        <f t="shared" si="875"/>
        <v>0</v>
      </c>
      <c r="L876" s="1">
        <f t="shared" si="875"/>
        <v>0</v>
      </c>
      <c r="M876" s="1">
        <f t="shared" si="875"/>
        <v>0</v>
      </c>
      <c r="N876" s="1">
        <f t="shared" si="875"/>
        <v>0</v>
      </c>
      <c r="O876" s="1">
        <f t="shared" si="875"/>
        <v>0</v>
      </c>
      <c r="P876" s="1">
        <f t="shared" si="875"/>
        <v>0</v>
      </c>
      <c r="Q876" s="1">
        <f t="shared" si="875"/>
        <v>0</v>
      </c>
      <c r="R876" s="1">
        <f t="shared" si="875"/>
        <v>0</v>
      </c>
      <c r="S876" s="1">
        <f t="shared" si="875"/>
        <v>0</v>
      </c>
      <c r="T876" s="1">
        <f t="shared" si="875"/>
        <v>0</v>
      </c>
      <c r="U876" s="1">
        <f t="shared" si="875"/>
        <v>0</v>
      </c>
    </row>
    <row r="877">
      <c r="A877" s="3">
        <f>IFERROR(__xludf.DUMMYFUNCTION("""COMPUTED_VALUE"""),44796.0)</f>
        <v>44796</v>
      </c>
      <c r="B877" s="1">
        <f t="shared" ref="B877:U877" si="876">IF($A877&gt;0,Megyeinapi!B877/'megyelakosság'!B$2*100000," ")</f>
        <v>0</v>
      </c>
      <c r="C877" s="1">
        <f t="shared" si="876"/>
        <v>0</v>
      </c>
      <c r="D877" s="1">
        <f t="shared" si="876"/>
        <v>0</v>
      </c>
      <c r="E877" s="1">
        <f t="shared" si="876"/>
        <v>0</v>
      </c>
      <c r="F877" s="1">
        <f t="shared" si="876"/>
        <v>0</v>
      </c>
      <c r="G877" s="1">
        <f t="shared" si="876"/>
        <v>0</v>
      </c>
      <c r="H877" s="1">
        <f t="shared" si="876"/>
        <v>0</v>
      </c>
      <c r="I877" s="1">
        <f t="shared" si="876"/>
        <v>0</v>
      </c>
      <c r="J877" s="1">
        <f t="shared" si="876"/>
        <v>0</v>
      </c>
      <c r="K877" s="1">
        <f t="shared" si="876"/>
        <v>0</v>
      </c>
      <c r="L877" s="1">
        <f t="shared" si="876"/>
        <v>0</v>
      </c>
      <c r="M877" s="1">
        <f t="shared" si="876"/>
        <v>0</v>
      </c>
      <c r="N877" s="1">
        <f t="shared" si="876"/>
        <v>0</v>
      </c>
      <c r="O877" s="1">
        <f t="shared" si="876"/>
        <v>0</v>
      </c>
      <c r="P877" s="1">
        <f t="shared" si="876"/>
        <v>0</v>
      </c>
      <c r="Q877" s="1">
        <f t="shared" si="876"/>
        <v>0</v>
      </c>
      <c r="R877" s="1">
        <f t="shared" si="876"/>
        <v>0</v>
      </c>
      <c r="S877" s="1">
        <f t="shared" si="876"/>
        <v>0</v>
      </c>
      <c r="T877" s="1">
        <f t="shared" si="876"/>
        <v>0</v>
      </c>
      <c r="U877" s="1">
        <f t="shared" si="876"/>
        <v>0</v>
      </c>
    </row>
    <row r="878">
      <c r="A878" s="3">
        <f>IFERROR(__xludf.DUMMYFUNCTION("""COMPUTED_VALUE"""),44797.0)</f>
        <v>44797</v>
      </c>
      <c r="B878" s="1">
        <f t="shared" ref="B878:U878" si="877">IF($A878&gt;0,Megyeinapi!B878/'megyelakosság'!B$2*100000," ")</f>
        <v>178.0096372</v>
      </c>
      <c r="C878" s="1">
        <f t="shared" si="877"/>
        <v>234.1907332</v>
      </c>
      <c r="D878" s="1">
        <f t="shared" si="877"/>
        <v>216.9164584</v>
      </c>
      <c r="E878" s="1">
        <f t="shared" si="877"/>
        <v>163.2489043</v>
      </c>
      <c r="F878" s="1">
        <f t="shared" si="877"/>
        <v>109.5293381</v>
      </c>
      <c r="G878" s="1">
        <f t="shared" si="877"/>
        <v>213.1387887</v>
      </c>
      <c r="H878" s="1">
        <f t="shared" si="877"/>
        <v>130.4338478</v>
      </c>
      <c r="I878" s="1">
        <f t="shared" si="877"/>
        <v>136.7457058</v>
      </c>
      <c r="J878" s="1">
        <f t="shared" si="877"/>
        <v>141.4394933</v>
      </c>
      <c r="K878" s="1">
        <f t="shared" si="877"/>
        <v>177.9013772</v>
      </c>
      <c r="L878" s="1">
        <f t="shared" si="877"/>
        <v>165.71047</v>
      </c>
      <c r="M878" s="1">
        <f t="shared" si="877"/>
        <v>97.01157827</v>
      </c>
      <c r="N878" s="1">
        <f t="shared" si="877"/>
        <v>215.8518172</v>
      </c>
      <c r="O878" s="1">
        <f t="shared" si="877"/>
        <v>115.4882191</v>
      </c>
      <c r="P878" s="1">
        <f t="shared" si="877"/>
        <v>165.3608935</v>
      </c>
      <c r="Q878" s="1">
        <f t="shared" si="877"/>
        <v>217.6573872</v>
      </c>
      <c r="R878" s="1">
        <f t="shared" si="877"/>
        <v>185.1387845</v>
      </c>
      <c r="S878" s="1">
        <f t="shared" si="877"/>
        <v>107.4223745</v>
      </c>
      <c r="T878" s="1">
        <f t="shared" si="877"/>
        <v>135.7146416</v>
      </c>
      <c r="U878" s="1">
        <f t="shared" si="877"/>
        <v>147.4159187</v>
      </c>
    </row>
    <row r="879">
      <c r="A879" s="3">
        <f>IFERROR(__xludf.DUMMYFUNCTION("""COMPUTED_VALUE"""),44798.0)</f>
        <v>44798</v>
      </c>
      <c r="B879" s="1">
        <f t="shared" ref="B879:U879" si="878">IF($A879&gt;0,Megyeinapi!B879/'megyelakosság'!B$2*100000," ")</f>
        <v>0</v>
      </c>
      <c r="C879" s="1">
        <f t="shared" si="878"/>
        <v>0</v>
      </c>
      <c r="D879" s="1">
        <f t="shared" si="878"/>
        <v>0</v>
      </c>
      <c r="E879" s="1">
        <f t="shared" si="878"/>
        <v>0</v>
      </c>
      <c r="F879" s="1">
        <f t="shared" si="878"/>
        <v>0</v>
      </c>
      <c r="G879" s="1">
        <f t="shared" si="878"/>
        <v>0</v>
      </c>
      <c r="H879" s="1">
        <f t="shared" si="878"/>
        <v>0</v>
      </c>
      <c r="I879" s="1">
        <f t="shared" si="878"/>
        <v>0</v>
      </c>
      <c r="J879" s="1">
        <f t="shared" si="878"/>
        <v>0</v>
      </c>
      <c r="K879" s="1">
        <f t="shared" si="878"/>
        <v>0</v>
      </c>
      <c r="L879" s="1">
        <f t="shared" si="878"/>
        <v>0</v>
      </c>
      <c r="M879" s="1">
        <f t="shared" si="878"/>
        <v>0</v>
      </c>
      <c r="N879" s="1">
        <f t="shared" si="878"/>
        <v>0</v>
      </c>
      <c r="O879" s="1">
        <f t="shared" si="878"/>
        <v>0</v>
      </c>
      <c r="P879" s="1">
        <f t="shared" si="878"/>
        <v>0</v>
      </c>
      <c r="Q879" s="1">
        <f t="shared" si="878"/>
        <v>0</v>
      </c>
      <c r="R879" s="1">
        <f t="shared" si="878"/>
        <v>0</v>
      </c>
      <c r="S879" s="1">
        <f t="shared" si="878"/>
        <v>0</v>
      </c>
      <c r="T879" s="1">
        <f t="shared" si="878"/>
        <v>0</v>
      </c>
      <c r="U879" s="1">
        <f t="shared" si="878"/>
        <v>0</v>
      </c>
    </row>
    <row r="880">
      <c r="A880" s="3">
        <f>IFERROR(__xludf.DUMMYFUNCTION("""COMPUTED_VALUE"""),44799.0)</f>
        <v>44799</v>
      </c>
      <c r="B880" s="1">
        <f t="shared" ref="B880:U880" si="879">IF($A880&gt;0,Megyeinapi!B880/'megyelakosság'!B$2*100000," ")</f>
        <v>0</v>
      </c>
      <c r="C880" s="1">
        <f t="shared" si="879"/>
        <v>0</v>
      </c>
      <c r="D880" s="1">
        <f t="shared" si="879"/>
        <v>0</v>
      </c>
      <c r="E880" s="1">
        <f t="shared" si="879"/>
        <v>0</v>
      </c>
      <c r="F880" s="1">
        <f t="shared" si="879"/>
        <v>0</v>
      </c>
      <c r="G880" s="1">
        <f t="shared" si="879"/>
        <v>0</v>
      </c>
      <c r="H880" s="1">
        <f t="shared" si="879"/>
        <v>0</v>
      </c>
      <c r="I880" s="1">
        <f t="shared" si="879"/>
        <v>0</v>
      </c>
      <c r="J880" s="1">
        <f t="shared" si="879"/>
        <v>0</v>
      </c>
      <c r="K880" s="1">
        <f t="shared" si="879"/>
        <v>0</v>
      </c>
      <c r="L880" s="1">
        <f t="shared" si="879"/>
        <v>0</v>
      </c>
      <c r="M880" s="1">
        <f t="shared" si="879"/>
        <v>0</v>
      </c>
      <c r="N880" s="1">
        <f t="shared" si="879"/>
        <v>0</v>
      </c>
      <c r="O880" s="1">
        <f t="shared" si="879"/>
        <v>0</v>
      </c>
      <c r="P880" s="1">
        <f t="shared" si="879"/>
        <v>0</v>
      </c>
      <c r="Q880" s="1">
        <f t="shared" si="879"/>
        <v>0</v>
      </c>
      <c r="R880" s="1">
        <f t="shared" si="879"/>
        <v>0</v>
      </c>
      <c r="S880" s="1">
        <f t="shared" si="879"/>
        <v>0</v>
      </c>
      <c r="T880" s="1">
        <f t="shared" si="879"/>
        <v>0</v>
      </c>
      <c r="U880" s="1">
        <f t="shared" si="879"/>
        <v>0</v>
      </c>
    </row>
    <row r="881">
      <c r="A881" s="3">
        <f>IFERROR(__xludf.DUMMYFUNCTION("""COMPUTED_VALUE"""),44800.0)</f>
        <v>44800</v>
      </c>
      <c r="B881" s="1">
        <f t="shared" ref="B881:U881" si="880">IF($A881&gt;0,Megyeinapi!B881/'megyelakosság'!B$2*100000," ")</f>
        <v>0</v>
      </c>
      <c r="C881" s="1">
        <f t="shared" si="880"/>
        <v>0</v>
      </c>
      <c r="D881" s="1">
        <f t="shared" si="880"/>
        <v>0</v>
      </c>
      <c r="E881" s="1">
        <f t="shared" si="880"/>
        <v>0</v>
      </c>
      <c r="F881" s="1">
        <f t="shared" si="880"/>
        <v>0</v>
      </c>
      <c r="G881" s="1">
        <f t="shared" si="880"/>
        <v>0</v>
      </c>
      <c r="H881" s="1">
        <f t="shared" si="880"/>
        <v>0</v>
      </c>
      <c r="I881" s="1">
        <f t="shared" si="880"/>
        <v>0</v>
      </c>
      <c r="J881" s="1">
        <f t="shared" si="880"/>
        <v>0</v>
      </c>
      <c r="K881" s="1">
        <f t="shared" si="880"/>
        <v>0</v>
      </c>
      <c r="L881" s="1">
        <f t="shared" si="880"/>
        <v>0</v>
      </c>
      <c r="M881" s="1">
        <f t="shared" si="880"/>
        <v>0</v>
      </c>
      <c r="N881" s="1">
        <f t="shared" si="880"/>
        <v>0</v>
      </c>
      <c r="O881" s="1">
        <f t="shared" si="880"/>
        <v>0</v>
      </c>
      <c r="P881" s="1">
        <f t="shared" si="880"/>
        <v>0</v>
      </c>
      <c r="Q881" s="1">
        <f t="shared" si="880"/>
        <v>0</v>
      </c>
      <c r="R881" s="1">
        <f t="shared" si="880"/>
        <v>0</v>
      </c>
      <c r="S881" s="1">
        <f t="shared" si="880"/>
        <v>0</v>
      </c>
      <c r="T881" s="1">
        <f t="shared" si="880"/>
        <v>0</v>
      </c>
      <c r="U881" s="1">
        <f t="shared" si="880"/>
        <v>0</v>
      </c>
    </row>
    <row r="882">
      <c r="A882" s="3">
        <f>IFERROR(__xludf.DUMMYFUNCTION("""COMPUTED_VALUE"""),44801.0)</f>
        <v>44801</v>
      </c>
      <c r="B882" s="1">
        <f t="shared" ref="B882:U882" si="881">IF($A882&gt;0,Megyeinapi!B882/'megyelakosság'!B$2*100000," ")</f>
        <v>0</v>
      </c>
      <c r="C882" s="1">
        <f t="shared" si="881"/>
        <v>0</v>
      </c>
      <c r="D882" s="1">
        <f t="shared" si="881"/>
        <v>0</v>
      </c>
      <c r="E882" s="1">
        <f t="shared" si="881"/>
        <v>0</v>
      </c>
      <c r="F882" s="1">
        <f t="shared" si="881"/>
        <v>0</v>
      </c>
      <c r="G882" s="1">
        <f t="shared" si="881"/>
        <v>0</v>
      </c>
      <c r="H882" s="1">
        <f t="shared" si="881"/>
        <v>0</v>
      </c>
      <c r="I882" s="1">
        <f t="shared" si="881"/>
        <v>0</v>
      </c>
      <c r="J882" s="1">
        <f t="shared" si="881"/>
        <v>0</v>
      </c>
      <c r="K882" s="1">
        <f t="shared" si="881"/>
        <v>0</v>
      </c>
      <c r="L882" s="1">
        <f t="shared" si="881"/>
        <v>0</v>
      </c>
      <c r="M882" s="1">
        <f t="shared" si="881"/>
        <v>0</v>
      </c>
      <c r="N882" s="1">
        <f t="shared" si="881"/>
        <v>0</v>
      </c>
      <c r="O882" s="1">
        <f t="shared" si="881"/>
        <v>0</v>
      </c>
      <c r="P882" s="1">
        <f t="shared" si="881"/>
        <v>0</v>
      </c>
      <c r="Q882" s="1">
        <f t="shared" si="881"/>
        <v>0</v>
      </c>
      <c r="R882" s="1">
        <f t="shared" si="881"/>
        <v>0</v>
      </c>
      <c r="S882" s="1">
        <f t="shared" si="881"/>
        <v>0</v>
      </c>
      <c r="T882" s="1">
        <f t="shared" si="881"/>
        <v>0</v>
      </c>
      <c r="U882" s="1">
        <f t="shared" si="881"/>
        <v>0</v>
      </c>
    </row>
    <row r="883">
      <c r="A883" s="3">
        <f>IFERROR(__xludf.DUMMYFUNCTION("""COMPUTED_VALUE"""),44802.0)</f>
        <v>44802</v>
      </c>
      <c r="B883" s="1">
        <f t="shared" ref="B883:U883" si="882">IF($A883&gt;0,Megyeinapi!B883/'megyelakosság'!B$2*100000," ")</f>
        <v>0</v>
      </c>
      <c r="C883" s="1">
        <f t="shared" si="882"/>
        <v>0</v>
      </c>
      <c r="D883" s="1">
        <f t="shared" si="882"/>
        <v>0</v>
      </c>
      <c r="E883" s="1">
        <f t="shared" si="882"/>
        <v>0</v>
      </c>
      <c r="F883" s="1">
        <f t="shared" si="882"/>
        <v>0</v>
      </c>
      <c r="G883" s="1">
        <f t="shared" si="882"/>
        <v>0</v>
      </c>
      <c r="H883" s="1">
        <f t="shared" si="882"/>
        <v>0</v>
      </c>
      <c r="I883" s="1">
        <f t="shared" si="882"/>
        <v>0</v>
      </c>
      <c r="J883" s="1">
        <f t="shared" si="882"/>
        <v>0</v>
      </c>
      <c r="K883" s="1">
        <f t="shared" si="882"/>
        <v>0</v>
      </c>
      <c r="L883" s="1">
        <f t="shared" si="882"/>
        <v>0</v>
      </c>
      <c r="M883" s="1">
        <f t="shared" si="882"/>
        <v>0</v>
      </c>
      <c r="N883" s="1">
        <f t="shared" si="882"/>
        <v>0</v>
      </c>
      <c r="O883" s="1">
        <f t="shared" si="882"/>
        <v>0</v>
      </c>
      <c r="P883" s="1">
        <f t="shared" si="882"/>
        <v>0</v>
      </c>
      <c r="Q883" s="1">
        <f t="shared" si="882"/>
        <v>0</v>
      </c>
      <c r="R883" s="1">
        <f t="shared" si="882"/>
        <v>0</v>
      </c>
      <c r="S883" s="1">
        <f t="shared" si="882"/>
        <v>0</v>
      </c>
      <c r="T883" s="1">
        <f t="shared" si="882"/>
        <v>0</v>
      </c>
      <c r="U883" s="1">
        <f t="shared" si="882"/>
        <v>0</v>
      </c>
    </row>
    <row r="884">
      <c r="A884" s="3">
        <f>IFERROR(__xludf.DUMMYFUNCTION("""COMPUTED_VALUE"""),44803.0)</f>
        <v>44803</v>
      </c>
      <c r="B884" s="1">
        <f t="shared" ref="B884:U884" si="883">IF($A884&gt;0,Megyeinapi!B884/'megyelakosság'!B$2*100000," ")</f>
        <v>0</v>
      </c>
      <c r="C884" s="1">
        <f t="shared" si="883"/>
        <v>0</v>
      </c>
      <c r="D884" s="1">
        <f t="shared" si="883"/>
        <v>0</v>
      </c>
      <c r="E884" s="1">
        <f t="shared" si="883"/>
        <v>0</v>
      </c>
      <c r="F884" s="1">
        <f t="shared" si="883"/>
        <v>0</v>
      </c>
      <c r="G884" s="1">
        <f t="shared" si="883"/>
        <v>0</v>
      </c>
      <c r="H884" s="1">
        <f t="shared" si="883"/>
        <v>0</v>
      </c>
      <c r="I884" s="1">
        <f t="shared" si="883"/>
        <v>0</v>
      </c>
      <c r="J884" s="1">
        <f t="shared" si="883"/>
        <v>0</v>
      </c>
      <c r="K884" s="1">
        <f t="shared" si="883"/>
        <v>0</v>
      </c>
      <c r="L884" s="1">
        <f t="shared" si="883"/>
        <v>0</v>
      </c>
      <c r="M884" s="1">
        <f t="shared" si="883"/>
        <v>0</v>
      </c>
      <c r="N884" s="1">
        <f t="shared" si="883"/>
        <v>0</v>
      </c>
      <c r="O884" s="1">
        <f t="shared" si="883"/>
        <v>0</v>
      </c>
      <c r="P884" s="1">
        <f t="shared" si="883"/>
        <v>0</v>
      </c>
      <c r="Q884" s="1">
        <f t="shared" si="883"/>
        <v>0</v>
      </c>
      <c r="R884" s="1">
        <f t="shared" si="883"/>
        <v>0</v>
      </c>
      <c r="S884" s="1">
        <f t="shared" si="883"/>
        <v>0</v>
      </c>
      <c r="T884" s="1">
        <f t="shared" si="883"/>
        <v>0</v>
      </c>
      <c r="U884" s="1">
        <f t="shared" si="883"/>
        <v>0</v>
      </c>
    </row>
    <row r="885">
      <c r="A885" s="3">
        <f>IFERROR(__xludf.DUMMYFUNCTION("""COMPUTED_VALUE"""),44804.0)</f>
        <v>44804</v>
      </c>
      <c r="B885" s="1">
        <f t="shared" ref="B885:U885" si="884">IF($A885&gt;0,Megyeinapi!B885/'megyelakosság'!B$2*100000," ")</f>
        <v>152.9210306</v>
      </c>
      <c r="C885" s="1">
        <f t="shared" si="884"/>
        <v>221.6597189</v>
      </c>
      <c r="D885" s="1">
        <f t="shared" si="884"/>
        <v>175.1668472</v>
      </c>
      <c r="E885" s="1">
        <f t="shared" si="884"/>
        <v>127.3027514</v>
      </c>
      <c r="F885" s="1">
        <f t="shared" si="884"/>
        <v>84.84667035</v>
      </c>
      <c r="G885" s="1">
        <f t="shared" si="884"/>
        <v>163.9336031</v>
      </c>
      <c r="H885" s="1">
        <f t="shared" si="884"/>
        <v>100.5726189</v>
      </c>
      <c r="I885" s="1">
        <f t="shared" si="884"/>
        <v>116.6671246</v>
      </c>
      <c r="J885" s="1">
        <f t="shared" si="884"/>
        <v>108.2154513</v>
      </c>
      <c r="K885" s="1">
        <f t="shared" si="884"/>
        <v>138.3677378</v>
      </c>
      <c r="L885" s="1">
        <f t="shared" si="884"/>
        <v>136.8201578</v>
      </c>
      <c r="M885" s="1">
        <f t="shared" si="884"/>
        <v>95.68265254</v>
      </c>
      <c r="N885" s="1">
        <f t="shared" si="884"/>
        <v>165.3446186</v>
      </c>
      <c r="O885" s="1">
        <f t="shared" si="884"/>
        <v>103.5385035</v>
      </c>
      <c r="P885" s="1">
        <f t="shared" si="884"/>
        <v>152.0253376</v>
      </c>
      <c r="Q885" s="1">
        <f t="shared" si="884"/>
        <v>166.6581668</v>
      </c>
      <c r="R885" s="1">
        <f t="shared" si="884"/>
        <v>149.8742541</v>
      </c>
      <c r="S885" s="1">
        <f t="shared" si="884"/>
        <v>86.56748132</v>
      </c>
      <c r="T885" s="1">
        <f t="shared" si="884"/>
        <v>106.1095038</v>
      </c>
      <c r="U885" s="1">
        <f t="shared" si="884"/>
        <v>148.1642228</v>
      </c>
    </row>
    <row r="886">
      <c r="A886" s="3">
        <f>IFERROR(__xludf.DUMMYFUNCTION("""COMPUTED_VALUE"""),44805.0)</f>
        <v>44805</v>
      </c>
      <c r="B886" s="1">
        <f t="shared" ref="B886:U886" si="885">IF($A886&gt;0,Megyeinapi!B886/'megyelakosság'!B$2*100000," ")</f>
        <v>0</v>
      </c>
      <c r="C886" s="1">
        <f t="shared" si="885"/>
        <v>0</v>
      </c>
      <c r="D886" s="1">
        <f t="shared" si="885"/>
        <v>0</v>
      </c>
      <c r="E886" s="1">
        <f t="shared" si="885"/>
        <v>0</v>
      </c>
      <c r="F886" s="1">
        <f t="shared" si="885"/>
        <v>0</v>
      </c>
      <c r="G886" s="1">
        <f t="shared" si="885"/>
        <v>0</v>
      </c>
      <c r="H886" s="1">
        <f t="shared" si="885"/>
        <v>0</v>
      </c>
      <c r="I886" s="1">
        <f t="shared" si="885"/>
        <v>0</v>
      </c>
      <c r="J886" s="1">
        <f t="shared" si="885"/>
        <v>0</v>
      </c>
      <c r="K886" s="1">
        <f t="shared" si="885"/>
        <v>0</v>
      </c>
      <c r="L886" s="1">
        <f t="shared" si="885"/>
        <v>0</v>
      </c>
      <c r="M886" s="1">
        <f t="shared" si="885"/>
        <v>0</v>
      </c>
      <c r="N886" s="1">
        <f t="shared" si="885"/>
        <v>0</v>
      </c>
      <c r="O886" s="1">
        <f t="shared" si="885"/>
        <v>0</v>
      </c>
      <c r="P886" s="1">
        <f t="shared" si="885"/>
        <v>0</v>
      </c>
      <c r="Q886" s="1">
        <f t="shared" si="885"/>
        <v>0</v>
      </c>
      <c r="R886" s="1">
        <f t="shared" si="885"/>
        <v>0</v>
      </c>
      <c r="S886" s="1">
        <f t="shared" si="885"/>
        <v>0</v>
      </c>
      <c r="T886" s="1">
        <f t="shared" si="885"/>
        <v>0</v>
      </c>
      <c r="U886" s="1">
        <f t="shared" si="885"/>
        <v>0</v>
      </c>
    </row>
    <row r="887">
      <c r="A887" s="3">
        <f>IFERROR(__xludf.DUMMYFUNCTION("""COMPUTED_VALUE"""),44806.0)</f>
        <v>44806</v>
      </c>
      <c r="B887" s="1">
        <f t="shared" ref="B887:U887" si="886">IF($A887&gt;0,Megyeinapi!B887/'megyelakosság'!B$2*100000," ")</f>
        <v>0</v>
      </c>
      <c r="C887" s="1">
        <f t="shared" si="886"/>
        <v>0</v>
      </c>
      <c r="D887" s="1">
        <f t="shared" si="886"/>
        <v>0</v>
      </c>
      <c r="E887" s="1">
        <f t="shared" si="886"/>
        <v>0</v>
      </c>
      <c r="F887" s="1">
        <f t="shared" si="886"/>
        <v>0</v>
      </c>
      <c r="G887" s="1">
        <f t="shared" si="886"/>
        <v>0</v>
      </c>
      <c r="H887" s="1">
        <f t="shared" si="886"/>
        <v>0</v>
      </c>
      <c r="I887" s="1">
        <f t="shared" si="886"/>
        <v>0</v>
      </c>
      <c r="J887" s="1">
        <f t="shared" si="886"/>
        <v>0</v>
      </c>
      <c r="K887" s="1">
        <f t="shared" si="886"/>
        <v>0</v>
      </c>
      <c r="L887" s="1">
        <f t="shared" si="886"/>
        <v>0</v>
      </c>
      <c r="M887" s="1">
        <f t="shared" si="886"/>
        <v>0</v>
      </c>
      <c r="N887" s="1">
        <f t="shared" si="886"/>
        <v>0</v>
      </c>
      <c r="O887" s="1">
        <f t="shared" si="886"/>
        <v>0</v>
      </c>
      <c r="P887" s="1">
        <f t="shared" si="886"/>
        <v>0</v>
      </c>
      <c r="Q887" s="1">
        <f t="shared" si="886"/>
        <v>0</v>
      </c>
      <c r="R887" s="1">
        <f t="shared" si="886"/>
        <v>0</v>
      </c>
      <c r="S887" s="1">
        <f t="shared" si="886"/>
        <v>0</v>
      </c>
      <c r="T887" s="1">
        <f t="shared" si="886"/>
        <v>0</v>
      </c>
      <c r="U887" s="1">
        <f t="shared" si="886"/>
        <v>0</v>
      </c>
    </row>
    <row r="888">
      <c r="A888" s="3">
        <f>IFERROR(__xludf.DUMMYFUNCTION("""COMPUTED_VALUE"""),44807.0)</f>
        <v>44807</v>
      </c>
      <c r="B888" s="1">
        <f t="shared" ref="B888:U888" si="887">IF($A888&gt;0,Megyeinapi!B888/'megyelakosság'!B$2*100000," ")</f>
        <v>0</v>
      </c>
      <c r="C888" s="1">
        <f t="shared" si="887"/>
        <v>0</v>
      </c>
      <c r="D888" s="1">
        <f t="shared" si="887"/>
        <v>0</v>
      </c>
      <c r="E888" s="1">
        <f t="shared" si="887"/>
        <v>0</v>
      </c>
      <c r="F888" s="1">
        <f t="shared" si="887"/>
        <v>0</v>
      </c>
      <c r="G888" s="1">
        <f t="shared" si="887"/>
        <v>0</v>
      </c>
      <c r="H888" s="1">
        <f t="shared" si="887"/>
        <v>0</v>
      </c>
      <c r="I888" s="1">
        <f t="shared" si="887"/>
        <v>0</v>
      </c>
      <c r="J888" s="1">
        <f t="shared" si="887"/>
        <v>0</v>
      </c>
      <c r="K888" s="1">
        <f t="shared" si="887"/>
        <v>0</v>
      </c>
      <c r="L888" s="1">
        <f t="shared" si="887"/>
        <v>0</v>
      </c>
      <c r="M888" s="1">
        <f t="shared" si="887"/>
        <v>0</v>
      </c>
      <c r="N888" s="1">
        <f t="shared" si="887"/>
        <v>0</v>
      </c>
      <c r="O888" s="1">
        <f t="shared" si="887"/>
        <v>0</v>
      </c>
      <c r="P888" s="1">
        <f t="shared" si="887"/>
        <v>0</v>
      </c>
      <c r="Q888" s="1">
        <f t="shared" si="887"/>
        <v>0</v>
      </c>
      <c r="R888" s="1">
        <f t="shared" si="887"/>
        <v>0</v>
      </c>
      <c r="S888" s="1">
        <f t="shared" si="887"/>
        <v>0</v>
      </c>
      <c r="T888" s="1">
        <f t="shared" si="887"/>
        <v>0</v>
      </c>
      <c r="U888" s="1">
        <f t="shared" si="887"/>
        <v>0</v>
      </c>
    </row>
    <row r="889">
      <c r="A889" s="3">
        <f>IFERROR(__xludf.DUMMYFUNCTION("""COMPUTED_VALUE"""),44808.0)</f>
        <v>44808</v>
      </c>
      <c r="B889" s="1">
        <f t="shared" ref="B889:U889" si="888">IF($A889&gt;0,Megyeinapi!B889/'megyelakosság'!B$2*100000," ")</f>
        <v>0</v>
      </c>
      <c r="C889" s="1">
        <f t="shared" si="888"/>
        <v>0</v>
      </c>
      <c r="D889" s="1">
        <f t="shared" si="888"/>
        <v>0</v>
      </c>
      <c r="E889" s="1">
        <f t="shared" si="888"/>
        <v>0</v>
      </c>
      <c r="F889" s="1">
        <f t="shared" si="888"/>
        <v>0</v>
      </c>
      <c r="G889" s="1">
        <f t="shared" si="888"/>
        <v>0</v>
      </c>
      <c r="H889" s="1">
        <f t="shared" si="888"/>
        <v>0</v>
      </c>
      <c r="I889" s="1">
        <f t="shared" si="888"/>
        <v>0</v>
      </c>
      <c r="J889" s="1">
        <f t="shared" si="888"/>
        <v>0</v>
      </c>
      <c r="K889" s="1">
        <f t="shared" si="888"/>
        <v>0</v>
      </c>
      <c r="L889" s="1">
        <f t="shared" si="888"/>
        <v>0</v>
      </c>
      <c r="M889" s="1">
        <f t="shared" si="888"/>
        <v>0</v>
      </c>
      <c r="N889" s="1">
        <f t="shared" si="888"/>
        <v>0</v>
      </c>
      <c r="O889" s="1">
        <f t="shared" si="888"/>
        <v>0</v>
      </c>
      <c r="P889" s="1">
        <f t="shared" si="888"/>
        <v>0</v>
      </c>
      <c r="Q889" s="1">
        <f t="shared" si="888"/>
        <v>0</v>
      </c>
      <c r="R889" s="1">
        <f t="shared" si="888"/>
        <v>0</v>
      </c>
      <c r="S889" s="1">
        <f t="shared" si="888"/>
        <v>0</v>
      </c>
      <c r="T889" s="1">
        <f t="shared" si="888"/>
        <v>0</v>
      </c>
      <c r="U889" s="1">
        <f t="shared" si="888"/>
        <v>0</v>
      </c>
    </row>
    <row r="890">
      <c r="A890" s="3">
        <f>IFERROR(__xludf.DUMMYFUNCTION("""COMPUTED_VALUE"""),44809.0)</f>
        <v>44809</v>
      </c>
      <c r="B890" s="1">
        <f t="shared" ref="B890:U890" si="889">IF($A890&gt;0,Megyeinapi!B890/'megyelakosság'!B$2*100000," ")</f>
        <v>0</v>
      </c>
      <c r="C890" s="1">
        <f t="shared" si="889"/>
        <v>0</v>
      </c>
      <c r="D890" s="1">
        <f t="shared" si="889"/>
        <v>0</v>
      </c>
      <c r="E890" s="1">
        <f t="shared" si="889"/>
        <v>0</v>
      </c>
      <c r="F890" s="1">
        <f t="shared" si="889"/>
        <v>0</v>
      </c>
      <c r="G890" s="1">
        <f t="shared" si="889"/>
        <v>0</v>
      </c>
      <c r="H890" s="1">
        <f t="shared" si="889"/>
        <v>0</v>
      </c>
      <c r="I890" s="1">
        <f t="shared" si="889"/>
        <v>0</v>
      </c>
      <c r="J890" s="1">
        <f t="shared" si="889"/>
        <v>0</v>
      </c>
      <c r="K890" s="1">
        <f t="shared" si="889"/>
        <v>0</v>
      </c>
      <c r="L890" s="1">
        <f t="shared" si="889"/>
        <v>0</v>
      </c>
      <c r="M890" s="1">
        <f t="shared" si="889"/>
        <v>0</v>
      </c>
      <c r="N890" s="1">
        <f t="shared" si="889"/>
        <v>0</v>
      </c>
      <c r="O890" s="1">
        <f t="shared" si="889"/>
        <v>0</v>
      </c>
      <c r="P890" s="1">
        <f t="shared" si="889"/>
        <v>0</v>
      </c>
      <c r="Q890" s="1">
        <f t="shared" si="889"/>
        <v>0</v>
      </c>
      <c r="R890" s="1">
        <f t="shared" si="889"/>
        <v>0</v>
      </c>
      <c r="S890" s="1">
        <f t="shared" si="889"/>
        <v>0</v>
      </c>
      <c r="T890" s="1">
        <f t="shared" si="889"/>
        <v>0</v>
      </c>
      <c r="U890" s="1">
        <f t="shared" si="889"/>
        <v>0</v>
      </c>
    </row>
    <row r="891">
      <c r="A891" s="3">
        <f>IFERROR(__xludf.DUMMYFUNCTION("""COMPUTED_VALUE"""),44810.0)</f>
        <v>44810</v>
      </c>
      <c r="B891" s="1">
        <f t="shared" ref="B891:U891" si="890">IF($A891&gt;0,Megyeinapi!B891/'megyelakosság'!B$2*100000," ")</f>
        <v>0</v>
      </c>
      <c r="C891" s="1">
        <f t="shared" si="890"/>
        <v>0</v>
      </c>
      <c r="D891" s="1">
        <f t="shared" si="890"/>
        <v>0</v>
      </c>
      <c r="E891" s="1">
        <f t="shared" si="890"/>
        <v>0</v>
      </c>
      <c r="F891" s="1">
        <f t="shared" si="890"/>
        <v>0</v>
      </c>
      <c r="G891" s="1">
        <f t="shared" si="890"/>
        <v>0</v>
      </c>
      <c r="H891" s="1">
        <f t="shared" si="890"/>
        <v>0</v>
      </c>
      <c r="I891" s="1">
        <f t="shared" si="890"/>
        <v>0</v>
      </c>
      <c r="J891" s="1">
        <f t="shared" si="890"/>
        <v>0</v>
      </c>
      <c r="K891" s="1">
        <f t="shared" si="890"/>
        <v>0</v>
      </c>
      <c r="L891" s="1">
        <f t="shared" si="890"/>
        <v>0</v>
      </c>
      <c r="M891" s="1">
        <f t="shared" si="890"/>
        <v>0</v>
      </c>
      <c r="N891" s="1">
        <f t="shared" si="890"/>
        <v>0</v>
      </c>
      <c r="O891" s="1">
        <f t="shared" si="890"/>
        <v>0</v>
      </c>
      <c r="P891" s="1">
        <f t="shared" si="890"/>
        <v>0</v>
      </c>
      <c r="Q891" s="1">
        <f t="shared" si="890"/>
        <v>0</v>
      </c>
      <c r="R891" s="1">
        <f t="shared" si="890"/>
        <v>0</v>
      </c>
      <c r="S891" s="1">
        <f t="shared" si="890"/>
        <v>0</v>
      </c>
      <c r="T891" s="1">
        <f t="shared" si="890"/>
        <v>0</v>
      </c>
      <c r="U891" s="1">
        <f t="shared" si="890"/>
        <v>0</v>
      </c>
    </row>
    <row r="892">
      <c r="A892" s="3">
        <f>IFERROR(__xludf.DUMMYFUNCTION("""COMPUTED_VALUE"""),44811.0)</f>
        <v>44811</v>
      </c>
      <c r="B892" s="1">
        <f t="shared" ref="B892:U892" si="891">IF($A892&gt;0,Megyeinapi!B892/'megyelakosság'!B$2*100000," ")</f>
        <v>125.0448011</v>
      </c>
      <c r="C892" s="1">
        <f t="shared" si="891"/>
        <v>211.6349075</v>
      </c>
      <c r="D892" s="1">
        <f t="shared" si="891"/>
        <v>137.6527037</v>
      </c>
      <c r="E892" s="1">
        <f t="shared" si="891"/>
        <v>107.2105785</v>
      </c>
      <c r="F892" s="1">
        <f t="shared" si="891"/>
        <v>69.53427463</v>
      </c>
      <c r="G892" s="1">
        <f t="shared" si="891"/>
        <v>168.9545404</v>
      </c>
      <c r="H892" s="1">
        <f t="shared" si="891"/>
        <v>78.35586463</v>
      </c>
      <c r="I892" s="1">
        <f t="shared" si="891"/>
        <v>104.6199759</v>
      </c>
      <c r="J892" s="1">
        <f t="shared" si="891"/>
        <v>86.38250935</v>
      </c>
      <c r="K892" s="1">
        <f t="shared" si="891"/>
        <v>109.73993</v>
      </c>
      <c r="L892" s="1">
        <f t="shared" si="891"/>
        <v>107.3847454</v>
      </c>
      <c r="M892" s="1">
        <f t="shared" si="891"/>
        <v>79.73554378</v>
      </c>
      <c r="N892" s="1">
        <f t="shared" si="891"/>
        <v>122.8122408</v>
      </c>
      <c r="O892" s="1">
        <f t="shared" si="891"/>
        <v>85.2670029</v>
      </c>
      <c r="P892" s="1">
        <f t="shared" si="891"/>
        <v>146.0243374</v>
      </c>
      <c r="Q892" s="1">
        <f t="shared" si="891"/>
        <v>138.7907356</v>
      </c>
      <c r="R892" s="1">
        <f t="shared" si="891"/>
        <v>113.6817098</v>
      </c>
      <c r="S892" s="1">
        <f t="shared" si="891"/>
        <v>82.6325958</v>
      </c>
      <c r="T892" s="1">
        <f t="shared" si="891"/>
        <v>96.14341784</v>
      </c>
      <c r="U892" s="1">
        <f t="shared" si="891"/>
        <v>123.4701857</v>
      </c>
    </row>
    <row r="893">
      <c r="A893" s="3">
        <f>IFERROR(__xludf.DUMMYFUNCTION("""COMPUTED_VALUE"""),44812.0)</f>
        <v>44812</v>
      </c>
      <c r="B893" s="1">
        <f t="shared" ref="B893:U893" si="892">IF($A893&gt;0,Megyeinapi!B893/'megyelakosság'!B$2*100000," ")</f>
        <v>0</v>
      </c>
      <c r="C893" s="1">
        <f t="shared" si="892"/>
        <v>0</v>
      </c>
      <c r="D893" s="1">
        <f t="shared" si="892"/>
        <v>0</v>
      </c>
      <c r="E893" s="1">
        <f t="shared" si="892"/>
        <v>0</v>
      </c>
      <c r="F893" s="1">
        <f t="shared" si="892"/>
        <v>0</v>
      </c>
      <c r="G893" s="1">
        <f t="shared" si="892"/>
        <v>0</v>
      </c>
      <c r="H893" s="1">
        <f t="shared" si="892"/>
        <v>0</v>
      </c>
      <c r="I893" s="1">
        <f t="shared" si="892"/>
        <v>0</v>
      </c>
      <c r="J893" s="1">
        <f t="shared" si="892"/>
        <v>0</v>
      </c>
      <c r="K893" s="1">
        <f t="shared" si="892"/>
        <v>0</v>
      </c>
      <c r="L893" s="1">
        <f t="shared" si="892"/>
        <v>0</v>
      </c>
      <c r="M893" s="1">
        <f t="shared" si="892"/>
        <v>0</v>
      </c>
      <c r="N893" s="1">
        <f t="shared" si="892"/>
        <v>0</v>
      </c>
      <c r="O893" s="1">
        <f t="shared" si="892"/>
        <v>0</v>
      </c>
      <c r="P893" s="1">
        <f t="shared" si="892"/>
        <v>0</v>
      </c>
      <c r="Q893" s="1">
        <f t="shared" si="892"/>
        <v>0</v>
      </c>
      <c r="R893" s="1">
        <f t="shared" si="892"/>
        <v>0</v>
      </c>
      <c r="S893" s="1">
        <f t="shared" si="892"/>
        <v>0</v>
      </c>
      <c r="T893" s="1">
        <f t="shared" si="892"/>
        <v>0</v>
      </c>
      <c r="U893" s="1">
        <f t="shared" si="892"/>
        <v>0</v>
      </c>
    </row>
    <row r="894">
      <c r="A894" s="3">
        <f>IFERROR(__xludf.DUMMYFUNCTION("""COMPUTED_VALUE"""),44813.0)</f>
        <v>44813</v>
      </c>
      <c r="B894" s="1">
        <f t="shared" ref="B894:U894" si="893">IF($A894&gt;0,Megyeinapi!B894/'megyelakosság'!B$2*100000," ")</f>
        <v>0</v>
      </c>
      <c r="C894" s="1">
        <f t="shared" si="893"/>
        <v>0</v>
      </c>
      <c r="D894" s="1">
        <f t="shared" si="893"/>
        <v>0</v>
      </c>
      <c r="E894" s="1">
        <f t="shared" si="893"/>
        <v>0</v>
      </c>
      <c r="F894" s="1">
        <f t="shared" si="893"/>
        <v>0</v>
      </c>
      <c r="G894" s="1">
        <f t="shared" si="893"/>
        <v>0</v>
      </c>
      <c r="H894" s="1">
        <f t="shared" si="893"/>
        <v>0</v>
      </c>
      <c r="I894" s="1">
        <f t="shared" si="893"/>
        <v>0</v>
      </c>
      <c r="J894" s="1">
        <f t="shared" si="893"/>
        <v>0</v>
      </c>
      <c r="K894" s="1">
        <f t="shared" si="893"/>
        <v>0</v>
      </c>
      <c r="L894" s="1">
        <f t="shared" si="893"/>
        <v>0</v>
      </c>
      <c r="M894" s="1">
        <f t="shared" si="893"/>
        <v>0</v>
      </c>
      <c r="N894" s="1">
        <f t="shared" si="893"/>
        <v>0</v>
      </c>
      <c r="O894" s="1">
        <f t="shared" si="893"/>
        <v>0</v>
      </c>
      <c r="P894" s="1">
        <f t="shared" si="893"/>
        <v>0</v>
      </c>
      <c r="Q894" s="1">
        <f t="shared" si="893"/>
        <v>0</v>
      </c>
      <c r="R894" s="1">
        <f t="shared" si="893"/>
        <v>0</v>
      </c>
      <c r="S894" s="1">
        <f t="shared" si="893"/>
        <v>0</v>
      </c>
      <c r="T894" s="1">
        <f t="shared" si="893"/>
        <v>0</v>
      </c>
      <c r="U894" s="1">
        <f t="shared" si="893"/>
        <v>0</v>
      </c>
    </row>
    <row r="895">
      <c r="A895" s="3">
        <f>IFERROR(__xludf.DUMMYFUNCTION("""COMPUTED_VALUE"""),44814.0)</f>
        <v>44814</v>
      </c>
      <c r="B895" s="1">
        <f t="shared" ref="B895:U895" si="894">IF($A895&gt;0,Megyeinapi!B895/'megyelakosság'!B$2*100000," ")</f>
        <v>0</v>
      </c>
      <c r="C895" s="1">
        <f t="shared" si="894"/>
        <v>0</v>
      </c>
      <c r="D895" s="1">
        <f t="shared" si="894"/>
        <v>0</v>
      </c>
      <c r="E895" s="1">
        <f t="shared" si="894"/>
        <v>0</v>
      </c>
      <c r="F895" s="1">
        <f t="shared" si="894"/>
        <v>0</v>
      </c>
      <c r="G895" s="1">
        <f t="shared" si="894"/>
        <v>0</v>
      </c>
      <c r="H895" s="1">
        <f t="shared" si="894"/>
        <v>0</v>
      </c>
      <c r="I895" s="1">
        <f t="shared" si="894"/>
        <v>0</v>
      </c>
      <c r="J895" s="1">
        <f t="shared" si="894"/>
        <v>0</v>
      </c>
      <c r="K895" s="1">
        <f t="shared" si="894"/>
        <v>0</v>
      </c>
      <c r="L895" s="1">
        <f t="shared" si="894"/>
        <v>0</v>
      </c>
      <c r="M895" s="1">
        <f t="shared" si="894"/>
        <v>0</v>
      </c>
      <c r="N895" s="1">
        <f t="shared" si="894"/>
        <v>0</v>
      </c>
      <c r="O895" s="1">
        <f t="shared" si="894"/>
        <v>0</v>
      </c>
      <c r="P895" s="1">
        <f t="shared" si="894"/>
        <v>0</v>
      </c>
      <c r="Q895" s="1">
        <f t="shared" si="894"/>
        <v>0</v>
      </c>
      <c r="R895" s="1">
        <f t="shared" si="894"/>
        <v>0</v>
      </c>
      <c r="S895" s="1">
        <f t="shared" si="894"/>
        <v>0</v>
      </c>
      <c r="T895" s="1">
        <f t="shared" si="894"/>
        <v>0</v>
      </c>
      <c r="U895" s="1">
        <f t="shared" si="894"/>
        <v>0</v>
      </c>
    </row>
    <row r="896">
      <c r="A896" s="3">
        <f>IFERROR(__xludf.DUMMYFUNCTION("""COMPUTED_VALUE"""),44815.0)</f>
        <v>44815</v>
      </c>
      <c r="B896" s="1">
        <f t="shared" ref="B896:U896" si="895">IF($A896&gt;0,Megyeinapi!B896/'megyelakosság'!B$2*100000," ")</f>
        <v>0</v>
      </c>
      <c r="C896" s="1">
        <f t="shared" si="895"/>
        <v>0</v>
      </c>
      <c r="D896" s="1">
        <f t="shared" si="895"/>
        <v>0</v>
      </c>
      <c r="E896" s="1">
        <f t="shared" si="895"/>
        <v>0</v>
      </c>
      <c r="F896" s="1">
        <f t="shared" si="895"/>
        <v>0</v>
      </c>
      <c r="G896" s="1">
        <f t="shared" si="895"/>
        <v>0</v>
      </c>
      <c r="H896" s="1">
        <f t="shared" si="895"/>
        <v>0</v>
      </c>
      <c r="I896" s="1">
        <f t="shared" si="895"/>
        <v>0</v>
      </c>
      <c r="J896" s="1">
        <f t="shared" si="895"/>
        <v>0</v>
      </c>
      <c r="K896" s="1">
        <f t="shared" si="895"/>
        <v>0</v>
      </c>
      <c r="L896" s="1">
        <f t="shared" si="895"/>
        <v>0</v>
      </c>
      <c r="M896" s="1">
        <f t="shared" si="895"/>
        <v>0</v>
      </c>
      <c r="N896" s="1">
        <f t="shared" si="895"/>
        <v>0</v>
      </c>
      <c r="O896" s="1">
        <f t="shared" si="895"/>
        <v>0</v>
      </c>
      <c r="P896" s="1">
        <f t="shared" si="895"/>
        <v>0</v>
      </c>
      <c r="Q896" s="1">
        <f t="shared" si="895"/>
        <v>0</v>
      </c>
      <c r="R896" s="1">
        <f t="shared" si="895"/>
        <v>0</v>
      </c>
      <c r="S896" s="1">
        <f t="shared" si="895"/>
        <v>0</v>
      </c>
      <c r="T896" s="1">
        <f t="shared" si="895"/>
        <v>0</v>
      </c>
      <c r="U896" s="1">
        <f t="shared" si="895"/>
        <v>0</v>
      </c>
    </row>
    <row r="897">
      <c r="A897" s="3">
        <f>IFERROR(__xludf.DUMMYFUNCTION("""COMPUTED_VALUE"""),44816.0)</f>
        <v>44816</v>
      </c>
      <c r="B897" s="1">
        <f t="shared" ref="B897:U897" si="896">IF($A897&gt;0,Megyeinapi!B897/'megyelakosság'!B$2*100000," ")</f>
        <v>0</v>
      </c>
      <c r="C897" s="1">
        <f t="shared" si="896"/>
        <v>0</v>
      </c>
      <c r="D897" s="1">
        <f t="shared" si="896"/>
        <v>0</v>
      </c>
      <c r="E897" s="1">
        <f t="shared" si="896"/>
        <v>0</v>
      </c>
      <c r="F897" s="1">
        <f t="shared" si="896"/>
        <v>0</v>
      </c>
      <c r="G897" s="1">
        <f t="shared" si="896"/>
        <v>0</v>
      </c>
      <c r="H897" s="1">
        <f t="shared" si="896"/>
        <v>0</v>
      </c>
      <c r="I897" s="1">
        <f t="shared" si="896"/>
        <v>0</v>
      </c>
      <c r="J897" s="1">
        <f t="shared" si="896"/>
        <v>0</v>
      </c>
      <c r="K897" s="1">
        <f t="shared" si="896"/>
        <v>0</v>
      </c>
      <c r="L897" s="1">
        <f t="shared" si="896"/>
        <v>0</v>
      </c>
      <c r="M897" s="1">
        <f t="shared" si="896"/>
        <v>0</v>
      </c>
      <c r="N897" s="1">
        <f t="shared" si="896"/>
        <v>0</v>
      </c>
      <c r="O897" s="1">
        <f t="shared" si="896"/>
        <v>0</v>
      </c>
      <c r="P897" s="1">
        <f t="shared" si="896"/>
        <v>0</v>
      </c>
      <c r="Q897" s="1">
        <f t="shared" si="896"/>
        <v>0</v>
      </c>
      <c r="R897" s="1">
        <f t="shared" si="896"/>
        <v>0</v>
      </c>
      <c r="S897" s="1">
        <f t="shared" si="896"/>
        <v>0</v>
      </c>
      <c r="T897" s="1">
        <f t="shared" si="896"/>
        <v>0</v>
      </c>
      <c r="U897" s="1">
        <f t="shared" si="896"/>
        <v>0</v>
      </c>
    </row>
    <row r="898">
      <c r="A898" s="3">
        <f>IFERROR(__xludf.DUMMYFUNCTION("""COMPUTED_VALUE"""),44817.0)</f>
        <v>44817</v>
      </c>
      <c r="B898" s="1">
        <f t="shared" ref="B898:U898" si="897">IF($A898&gt;0,Megyeinapi!B898/'megyelakosság'!B$2*100000," ")</f>
        <v>0</v>
      </c>
      <c r="C898" s="1">
        <f t="shared" si="897"/>
        <v>0</v>
      </c>
      <c r="D898" s="1">
        <f t="shared" si="897"/>
        <v>0</v>
      </c>
      <c r="E898" s="1">
        <f t="shared" si="897"/>
        <v>0</v>
      </c>
      <c r="F898" s="1">
        <f t="shared" si="897"/>
        <v>0</v>
      </c>
      <c r="G898" s="1">
        <f t="shared" si="897"/>
        <v>0</v>
      </c>
      <c r="H898" s="1">
        <f t="shared" si="897"/>
        <v>0</v>
      </c>
      <c r="I898" s="1">
        <f t="shared" si="897"/>
        <v>0</v>
      </c>
      <c r="J898" s="1">
        <f t="shared" si="897"/>
        <v>0</v>
      </c>
      <c r="K898" s="1">
        <f t="shared" si="897"/>
        <v>0</v>
      </c>
      <c r="L898" s="1">
        <f t="shared" si="897"/>
        <v>0</v>
      </c>
      <c r="M898" s="1">
        <f t="shared" si="897"/>
        <v>0</v>
      </c>
      <c r="N898" s="1">
        <f t="shared" si="897"/>
        <v>0</v>
      </c>
      <c r="O898" s="1">
        <f t="shared" si="897"/>
        <v>0</v>
      </c>
      <c r="P898" s="1">
        <f t="shared" si="897"/>
        <v>0</v>
      </c>
      <c r="Q898" s="1">
        <f t="shared" si="897"/>
        <v>0</v>
      </c>
      <c r="R898" s="1">
        <f t="shared" si="897"/>
        <v>0</v>
      </c>
      <c r="S898" s="1">
        <f t="shared" si="897"/>
        <v>0</v>
      </c>
      <c r="T898" s="1">
        <f t="shared" si="897"/>
        <v>0</v>
      </c>
      <c r="U898" s="1">
        <f t="shared" si="897"/>
        <v>0</v>
      </c>
    </row>
    <row r="899">
      <c r="A899" s="3">
        <f>IFERROR(__xludf.DUMMYFUNCTION("""COMPUTED_VALUE"""),44818.0)</f>
        <v>44818</v>
      </c>
      <c r="B899" s="1">
        <f t="shared" ref="B899:U899" si="898">IF($A899&gt;0,Megyeinapi!B899/'megyelakosság'!B$2*100000," ")</f>
        <v>143.3634662</v>
      </c>
      <c r="C899" s="1">
        <f t="shared" si="898"/>
        <v>236.418469</v>
      </c>
      <c r="D899" s="1">
        <f t="shared" si="898"/>
        <v>170.628846</v>
      </c>
      <c r="E899" s="1">
        <f t="shared" si="898"/>
        <v>118.5124258</v>
      </c>
      <c r="F899" s="1">
        <f t="shared" si="898"/>
        <v>66.16326213</v>
      </c>
      <c r="G899" s="1">
        <f t="shared" si="898"/>
        <v>179.4985088</v>
      </c>
      <c r="H899" s="1">
        <f t="shared" si="898"/>
        <v>85.28366973</v>
      </c>
      <c r="I899" s="1">
        <f t="shared" si="898"/>
        <v>101.8723805</v>
      </c>
      <c r="J899" s="1">
        <f t="shared" si="898"/>
        <v>114.8602597</v>
      </c>
      <c r="K899" s="1">
        <f t="shared" si="898"/>
        <v>120.9865688</v>
      </c>
      <c r="L899" s="1">
        <f t="shared" si="898"/>
        <v>131.0966054</v>
      </c>
      <c r="M899" s="1">
        <f t="shared" si="898"/>
        <v>82.06116381</v>
      </c>
      <c r="N899" s="1">
        <f t="shared" si="898"/>
        <v>115.9007294</v>
      </c>
      <c r="O899" s="1">
        <f t="shared" si="898"/>
        <v>90.43236384</v>
      </c>
      <c r="P899" s="1">
        <f t="shared" si="898"/>
        <v>161.6936156</v>
      </c>
      <c r="Q899" s="1">
        <f t="shared" si="898"/>
        <v>209.643224</v>
      </c>
      <c r="R899" s="1">
        <f t="shared" si="898"/>
        <v>153.122303</v>
      </c>
      <c r="S899" s="1">
        <f t="shared" si="898"/>
        <v>88.14143552</v>
      </c>
      <c r="T899" s="1">
        <f t="shared" si="898"/>
        <v>94.09157661</v>
      </c>
      <c r="U899" s="1">
        <f t="shared" si="898"/>
        <v>151.9057436</v>
      </c>
    </row>
    <row r="900">
      <c r="A900" s="3">
        <f>IFERROR(__xludf.DUMMYFUNCTION("""COMPUTED_VALUE"""),44819.0)</f>
        <v>44819</v>
      </c>
      <c r="B900" s="1">
        <f t="shared" ref="B900:U900" si="899">IF($A900&gt;0,Megyeinapi!B900/'megyelakosság'!B$2*100000," ")</f>
        <v>0</v>
      </c>
      <c r="C900" s="1">
        <f t="shared" si="899"/>
        <v>0</v>
      </c>
      <c r="D900" s="1">
        <f t="shared" si="899"/>
        <v>0</v>
      </c>
      <c r="E900" s="1">
        <f t="shared" si="899"/>
        <v>0</v>
      </c>
      <c r="F900" s="1">
        <f t="shared" si="899"/>
        <v>0</v>
      </c>
      <c r="G900" s="1">
        <f t="shared" si="899"/>
        <v>0</v>
      </c>
      <c r="H900" s="1">
        <f t="shared" si="899"/>
        <v>0</v>
      </c>
      <c r="I900" s="1">
        <f t="shared" si="899"/>
        <v>0</v>
      </c>
      <c r="J900" s="1">
        <f t="shared" si="899"/>
        <v>0</v>
      </c>
      <c r="K900" s="1">
        <f t="shared" si="899"/>
        <v>0</v>
      </c>
      <c r="L900" s="1">
        <f t="shared" si="899"/>
        <v>0</v>
      </c>
      <c r="M900" s="1">
        <f t="shared" si="899"/>
        <v>0</v>
      </c>
      <c r="N900" s="1">
        <f t="shared" si="899"/>
        <v>0</v>
      </c>
      <c r="O900" s="1">
        <f t="shared" si="899"/>
        <v>0</v>
      </c>
      <c r="P900" s="1">
        <f t="shared" si="899"/>
        <v>0</v>
      </c>
      <c r="Q900" s="1">
        <f t="shared" si="899"/>
        <v>0</v>
      </c>
      <c r="R900" s="1">
        <f t="shared" si="899"/>
        <v>0</v>
      </c>
      <c r="S900" s="1">
        <f t="shared" si="899"/>
        <v>0</v>
      </c>
      <c r="T900" s="1">
        <f t="shared" si="899"/>
        <v>0</v>
      </c>
      <c r="U900" s="1">
        <f t="shared" si="899"/>
        <v>0</v>
      </c>
    </row>
    <row r="901">
      <c r="A901" s="3">
        <f>IFERROR(__xludf.DUMMYFUNCTION("""COMPUTED_VALUE"""),44820.0)</f>
        <v>44820</v>
      </c>
      <c r="B901" s="1">
        <f t="shared" ref="B901:U901" si="900">IF($A901&gt;0,Megyeinapi!B901/'megyelakosság'!B$2*100000," ")</f>
        <v>0</v>
      </c>
      <c r="C901" s="1">
        <f t="shared" si="900"/>
        <v>0</v>
      </c>
      <c r="D901" s="1">
        <f t="shared" si="900"/>
        <v>0</v>
      </c>
      <c r="E901" s="1">
        <f t="shared" si="900"/>
        <v>0</v>
      </c>
      <c r="F901" s="1">
        <f t="shared" si="900"/>
        <v>0</v>
      </c>
      <c r="G901" s="1">
        <f t="shared" si="900"/>
        <v>0</v>
      </c>
      <c r="H901" s="1">
        <f t="shared" si="900"/>
        <v>0</v>
      </c>
      <c r="I901" s="1">
        <f t="shared" si="900"/>
        <v>0</v>
      </c>
      <c r="J901" s="1">
        <f t="shared" si="900"/>
        <v>0</v>
      </c>
      <c r="K901" s="1">
        <f t="shared" si="900"/>
        <v>0</v>
      </c>
      <c r="L901" s="1">
        <f t="shared" si="900"/>
        <v>0</v>
      </c>
      <c r="M901" s="1">
        <f t="shared" si="900"/>
        <v>0</v>
      </c>
      <c r="N901" s="1">
        <f t="shared" si="900"/>
        <v>0</v>
      </c>
      <c r="O901" s="1">
        <f t="shared" si="900"/>
        <v>0</v>
      </c>
      <c r="P901" s="1">
        <f t="shared" si="900"/>
        <v>0</v>
      </c>
      <c r="Q901" s="1">
        <f t="shared" si="900"/>
        <v>0</v>
      </c>
      <c r="R901" s="1">
        <f t="shared" si="900"/>
        <v>0</v>
      </c>
      <c r="S901" s="1">
        <f t="shared" si="900"/>
        <v>0</v>
      </c>
      <c r="T901" s="1">
        <f t="shared" si="900"/>
        <v>0</v>
      </c>
      <c r="U901" s="1">
        <f t="shared" si="900"/>
        <v>0</v>
      </c>
    </row>
    <row r="902">
      <c r="A902" s="3">
        <f>IFERROR(__xludf.DUMMYFUNCTION("""COMPUTED_VALUE"""),44821.0)</f>
        <v>44821</v>
      </c>
      <c r="B902" s="1">
        <f t="shared" ref="B902:U902" si="901">IF($A902&gt;0,Megyeinapi!B902/'megyelakosság'!B$2*100000," ")</f>
        <v>0</v>
      </c>
      <c r="C902" s="1">
        <f t="shared" si="901"/>
        <v>0</v>
      </c>
      <c r="D902" s="1">
        <f t="shared" si="901"/>
        <v>0</v>
      </c>
      <c r="E902" s="1">
        <f t="shared" si="901"/>
        <v>0</v>
      </c>
      <c r="F902" s="1">
        <f t="shared" si="901"/>
        <v>0</v>
      </c>
      <c r="G902" s="1">
        <f t="shared" si="901"/>
        <v>0</v>
      </c>
      <c r="H902" s="1">
        <f t="shared" si="901"/>
        <v>0</v>
      </c>
      <c r="I902" s="1">
        <f t="shared" si="901"/>
        <v>0</v>
      </c>
      <c r="J902" s="1">
        <f t="shared" si="901"/>
        <v>0</v>
      </c>
      <c r="K902" s="1">
        <f t="shared" si="901"/>
        <v>0</v>
      </c>
      <c r="L902" s="1">
        <f t="shared" si="901"/>
        <v>0</v>
      </c>
      <c r="M902" s="1">
        <f t="shared" si="901"/>
        <v>0</v>
      </c>
      <c r="N902" s="1">
        <f t="shared" si="901"/>
        <v>0</v>
      </c>
      <c r="O902" s="1">
        <f t="shared" si="901"/>
        <v>0</v>
      </c>
      <c r="P902" s="1">
        <f t="shared" si="901"/>
        <v>0</v>
      </c>
      <c r="Q902" s="1">
        <f t="shared" si="901"/>
        <v>0</v>
      </c>
      <c r="R902" s="1">
        <f t="shared" si="901"/>
        <v>0</v>
      </c>
      <c r="S902" s="1">
        <f t="shared" si="901"/>
        <v>0</v>
      </c>
      <c r="T902" s="1">
        <f t="shared" si="901"/>
        <v>0</v>
      </c>
      <c r="U902" s="1">
        <f t="shared" si="901"/>
        <v>0</v>
      </c>
    </row>
    <row r="903">
      <c r="A903" s="3">
        <f>IFERROR(__xludf.DUMMYFUNCTION("""COMPUTED_VALUE"""),44822.0)</f>
        <v>44822</v>
      </c>
      <c r="B903" s="1">
        <f t="shared" ref="B903:U903" si="902">IF($A903&gt;0,Megyeinapi!B903/'megyelakosság'!B$2*100000," ")</f>
        <v>0</v>
      </c>
      <c r="C903" s="1">
        <f t="shared" si="902"/>
        <v>0</v>
      </c>
      <c r="D903" s="1">
        <f t="shared" si="902"/>
        <v>0</v>
      </c>
      <c r="E903" s="1">
        <f t="shared" si="902"/>
        <v>0</v>
      </c>
      <c r="F903" s="1">
        <f t="shared" si="902"/>
        <v>0</v>
      </c>
      <c r="G903" s="1">
        <f t="shared" si="902"/>
        <v>0</v>
      </c>
      <c r="H903" s="1">
        <f t="shared" si="902"/>
        <v>0</v>
      </c>
      <c r="I903" s="1">
        <f t="shared" si="902"/>
        <v>0</v>
      </c>
      <c r="J903" s="1">
        <f t="shared" si="902"/>
        <v>0</v>
      </c>
      <c r="K903" s="1">
        <f t="shared" si="902"/>
        <v>0</v>
      </c>
      <c r="L903" s="1">
        <f t="shared" si="902"/>
        <v>0</v>
      </c>
      <c r="M903" s="1">
        <f t="shared" si="902"/>
        <v>0</v>
      </c>
      <c r="N903" s="1">
        <f t="shared" si="902"/>
        <v>0</v>
      </c>
      <c r="O903" s="1">
        <f t="shared" si="902"/>
        <v>0</v>
      </c>
      <c r="P903" s="1">
        <f t="shared" si="902"/>
        <v>0</v>
      </c>
      <c r="Q903" s="1">
        <f t="shared" si="902"/>
        <v>0</v>
      </c>
      <c r="R903" s="1">
        <f t="shared" si="902"/>
        <v>0</v>
      </c>
      <c r="S903" s="1">
        <f t="shared" si="902"/>
        <v>0</v>
      </c>
      <c r="T903" s="1">
        <f t="shared" si="902"/>
        <v>0</v>
      </c>
      <c r="U903" s="1">
        <f t="shared" si="902"/>
        <v>0</v>
      </c>
    </row>
    <row r="904">
      <c r="A904" s="3">
        <f>IFERROR(__xludf.DUMMYFUNCTION("""COMPUTED_VALUE"""),44823.0)</f>
        <v>44823</v>
      </c>
      <c r="B904" s="1">
        <f t="shared" ref="B904:U904" si="903">IF($A904&gt;0,Megyeinapi!B904/'megyelakosság'!B$2*100000," ")</f>
        <v>0</v>
      </c>
      <c r="C904" s="1">
        <f t="shared" si="903"/>
        <v>0</v>
      </c>
      <c r="D904" s="1">
        <f t="shared" si="903"/>
        <v>0</v>
      </c>
      <c r="E904" s="1">
        <f t="shared" si="903"/>
        <v>0</v>
      </c>
      <c r="F904" s="1">
        <f t="shared" si="903"/>
        <v>0</v>
      </c>
      <c r="G904" s="1">
        <f t="shared" si="903"/>
        <v>0</v>
      </c>
      <c r="H904" s="1">
        <f t="shared" si="903"/>
        <v>0</v>
      </c>
      <c r="I904" s="1">
        <f t="shared" si="903"/>
        <v>0</v>
      </c>
      <c r="J904" s="1">
        <f t="shared" si="903"/>
        <v>0</v>
      </c>
      <c r="K904" s="1">
        <f t="shared" si="903"/>
        <v>0</v>
      </c>
      <c r="L904" s="1">
        <f t="shared" si="903"/>
        <v>0</v>
      </c>
      <c r="M904" s="1">
        <f t="shared" si="903"/>
        <v>0</v>
      </c>
      <c r="N904" s="1">
        <f t="shared" si="903"/>
        <v>0</v>
      </c>
      <c r="O904" s="1">
        <f t="shared" si="903"/>
        <v>0</v>
      </c>
      <c r="P904" s="1">
        <f t="shared" si="903"/>
        <v>0</v>
      </c>
      <c r="Q904" s="1">
        <f t="shared" si="903"/>
        <v>0</v>
      </c>
      <c r="R904" s="1">
        <f t="shared" si="903"/>
        <v>0</v>
      </c>
      <c r="S904" s="1">
        <f t="shared" si="903"/>
        <v>0</v>
      </c>
      <c r="T904" s="1">
        <f t="shared" si="903"/>
        <v>0</v>
      </c>
      <c r="U904" s="1">
        <f t="shared" si="903"/>
        <v>0</v>
      </c>
    </row>
    <row r="905">
      <c r="A905" s="3">
        <f>IFERROR(__xludf.DUMMYFUNCTION("""COMPUTED_VALUE"""),44824.0)</f>
        <v>44824</v>
      </c>
      <c r="B905" s="1">
        <f t="shared" ref="B905:U905" si="904">IF($A905&gt;0,Megyeinapi!B905/'megyelakosság'!B$2*100000," ")</f>
        <v>0</v>
      </c>
      <c r="C905" s="1">
        <f t="shared" si="904"/>
        <v>0</v>
      </c>
      <c r="D905" s="1">
        <f t="shared" si="904"/>
        <v>0</v>
      </c>
      <c r="E905" s="1">
        <f t="shared" si="904"/>
        <v>0</v>
      </c>
      <c r="F905" s="1">
        <f t="shared" si="904"/>
        <v>0</v>
      </c>
      <c r="G905" s="1">
        <f t="shared" si="904"/>
        <v>0</v>
      </c>
      <c r="H905" s="1">
        <f t="shared" si="904"/>
        <v>0</v>
      </c>
      <c r="I905" s="1">
        <f t="shared" si="904"/>
        <v>0</v>
      </c>
      <c r="J905" s="1">
        <f t="shared" si="904"/>
        <v>0</v>
      </c>
      <c r="K905" s="1">
        <f t="shared" si="904"/>
        <v>0</v>
      </c>
      <c r="L905" s="1">
        <f t="shared" si="904"/>
        <v>0</v>
      </c>
      <c r="M905" s="1">
        <f t="shared" si="904"/>
        <v>0</v>
      </c>
      <c r="N905" s="1">
        <f t="shared" si="904"/>
        <v>0</v>
      </c>
      <c r="O905" s="1">
        <f t="shared" si="904"/>
        <v>0</v>
      </c>
      <c r="P905" s="1">
        <f t="shared" si="904"/>
        <v>0</v>
      </c>
      <c r="Q905" s="1">
        <f t="shared" si="904"/>
        <v>0</v>
      </c>
      <c r="R905" s="1">
        <f t="shared" si="904"/>
        <v>0</v>
      </c>
      <c r="S905" s="1">
        <f t="shared" si="904"/>
        <v>0</v>
      </c>
      <c r="T905" s="1">
        <f t="shared" si="904"/>
        <v>0</v>
      </c>
      <c r="U905" s="1">
        <f t="shared" si="904"/>
        <v>0</v>
      </c>
    </row>
    <row r="906">
      <c r="A906" s="3">
        <f>IFERROR(__xludf.DUMMYFUNCTION("""COMPUTED_VALUE"""),44825.0)</f>
        <v>44825</v>
      </c>
      <c r="B906" s="1">
        <f t="shared" ref="B906:U906" si="905">IF($A906&gt;0,Megyeinapi!B906/'megyelakosság'!B$2*100000," ")</f>
        <v>150.5316395</v>
      </c>
      <c r="C906" s="1">
        <f t="shared" si="905"/>
        <v>223.0520538</v>
      </c>
      <c r="D906" s="1">
        <f t="shared" si="905"/>
        <v>191.5036516</v>
      </c>
      <c r="E906" s="1">
        <f t="shared" si="905"/>
        <v>122.7506185</v>
      </c>
      <c r="F906" s="1">
        <f t="shared" si="905"/>
        <v>66.84889179</v>
      </c>
      <c r="G906" s="1">
        <f t="shared" si="905"/>
        <v>190.7956177</v>
      </c>
      <c r="H906" s="1">
        <f t="shared" si="905"/>
        <v>96.5114918</v>
      </c>
      <c r="I906" s="1">
        <f t="shared" si="905"/>
        <v>123.6417897</v>
      </c>
      <c r="J906" s="1">
        <f t="shared" si="905"/>
        <v>131.7570582</v>
      </c>
      <c r="K906" s="1">
        <f t="shared" si="905"/>
        <v>122.0089905</v>
      </c>
      <c r="L906" s="1">
        <f t="shared" si="905"/>
        <v>118.5593001</v>
      </c>
      <c r="M906" s="1">
        <f t="shared" si="905"/>
        <v>76.74546089</v>
      </c>
      <c r="N906" s="1">
        <f t="shared" si="905"/>
        <v>133.97699</v>
      </c>
      <c r="O906" s="1">
        <f t="shared" si="905"/>
        <v>93.90163611</v>
      </c>
      <c r="P906" s="1">
        <f t="shared" si="905"/>
        <v>190.0316719</v>
      </c>
      <c r="Q906" s="1">
        <f t="shared" si="905"/>
        <v>230.9536126</v>
      </c>
      <c r="R906" s="1">
        <f t="shared" si="905"/>
        <v>184.2107705</v>
      </c>
      <c r="S906" s="1">
        <f t="shared" si="905"/>
        <v>101.1265577</v>
      </c>
      <c r="T906" s="1">
        <f t="shared" si="905"/>
        <v>87.05669237</v>
      </c>
      <c r="U906" s="1">
        <f t="shared" si="905"/>
        <v>164.2527622</v>
      </c>
    </row>
    <row r="907">
      <c r="A907" s="3">
        <f>IFERROR(__xludf.DUMMYFUNCTION("""COMPUTED_VALUE"""),44826.0)</f>
        <v>44826</v>
      </c>
      <c r="B907" s="1">
        <f t="shared" ref="B907:U907" si="906">IF($A907&gt;0,Megyeinapi!B907/'megyelakosság'!B$2*100000," ")</f>
        <v>0</v>
      </c>
      <c r="C907" s="1">
        <f t="shared" si="906"/>
        <v>0</v>
      </c>
      <c r="D907" s="1">
        <f t="shared" si="906"/>
        <v>0</v>
      </c>
      <c r="E907" s="1">
        <f t="shared" si="906"/>
        <v>0</v>
      </c>
      <c r="F907" s="1">
        <f t="shared" si="906"/>
        <v>0</v>
      </c>
      <c r="G907" s="1">
        <f t="shared" si="906"/>
        <v>0</v>
      </c>
      <c r="H907" s="1">
        <f t="shared" si="906"/>
        <v>0</v>
      </c>
      <c r="I907" s="1">
        <f t="shared" si="906"/>
        <v>0</v>
      </c>
      <c r="J907" s="1">
        <f t="shared" si="906"/>
        <v>0</v>
      </c>
      <c r="K907" s="1">
        <f t="shared" si="906"/>
        <v>0</v>
      </c>
      <c r="L907" s="1">
        <f t="shared" si="906"/>
        <v>0</v>
      </c>
      <c r="M907" s="1">
        <f t="shared" si="906"/>
        <v>0</v>
      </c>
      <c r="N907" s="1">
        <f t="shared" si="906"/>
        <v>0</v>
      </c>
      <c r="O907" s="1">
        <f t="shared" si="906"/>
        <v>0</v>
      </c>
      <c r="P907" s="1">
        <f t="shared" si="906"/>
        <v>0</v>
      </c>
      <c r="Q907" s="1">
        <f t="shared" si="906"/>
        <v>0</v>
      </c>
      <c r="R907" s="1">
        <f t="shared" si="906"/>
        <v>0</v>
      </c>
      <c r="S907" s="1">
        <f t="shared" si="906"/>
        <v>0</v>
      </c>
      <c r="T907" s="1">
        <f t="shared" si="906"/>
        <v>0</v>
      </c>
      <c r="U907" s="1">
        <f t="shared" si="906"/>
        <v>0</v>
      </c>
    </row>
    <row r="908">
      <c r="A908" s="3">
        <f>IFERROR(__xludf.DUMMYFUNCTION("""COMPUTED_VALUE"""),44827.0)</f>
        <v>44827</v>
      </c>
      <c r="B908" s="1">
        <f t="shared" ref="B908:U908" si="907">IF($A908&gt;0,Megyeinapi!B908/'megyelakosság'!B$2*100000," ")</f>
        <v>0</v>
      </c>
      <c r="C908" s="1">
        <f t="shared" si="907"/>
        <v>0</v>
      </c>
      <c r="D908" s="1">
        <f t="shared" si="907"/>
        <v>0</v>
      </c>
      <c r="E908" s="1">
        <f t="shared" si="907"/>
        <v>0</v>
      </c>
      <c r="F908" s="1">
        <f t="shared" si="907"/>
        <v>0</v>
      </c>
      <c r="G908" s="1">
        <f t="shared" si="907"/>
        <v>0</v>
      </c>
      <c r="H908" s="1">
        <f t="shared" si="907"/>
        <v>0</v>
      </c>
      <c r="I908" s="1">
        <f t="shared" si="907"/>
        <v>0</v>
      </c>
      <c r="J908" s="1">
        <f t="shared" si="907"/>
        <v>0</v>
      </c>
      <c r="K908" s="1">
        <f t="shared" si="907"/>
        <v>0</v>
      </c>
      <c r="L908" s="1">
        <f t="shared" si="907"/>
        <v>0</v>
      </c>
      <c r="M908" s="1">
        <f t="shared" si="907"/>
        <v>0</v>
      </c>
      <c r="N908" s="1">
        <f t="shared" si="907"/>
        <v>0</v>
      </c>
      <c r="O908" s="1">
        <f t="shared" si="907"/>
        <v>0</v>
      </c>
      <c r="P908" s="1">
        <f t="shared" si="907"/>
        <v>0</v>
      </c>
      <c r="Q908" s="1">
        <f t="shared" si="907"/>
        <v>0</v>
      </c>
      <c r="R908" s="1">
        <f t="shared" si="907"/>
        <v>0</v>
      </c>
      <c r="S908" s="1">
        <f t="shared" si="907"/>
        <v>0</v>
      </c>
      <c r="T908" s="1">
        <f t="shared" si="907"/>
        <v>0</v>
      </c>
      <c r="U908" s="1">
        <f t="shared" si="907"/>
        <v>0</v>
      </c>
    </row>
    <row r="909">
      <c r="A909" s="3">
        <f>IFERROR(__xludf.DUMMYFUNCTION("""COMPUTED_VALUE"""),44828.0)</f>
        <v>44828</v>
      </c>
      <c r="B909" s="1">
        <f t="shared" ref="B909:U909" si="908">IF($A909&gt;0,Megyeinapi!B909/'megyelakosság'!B$2*100000," ")</f>
        <v>0</v>
      </c>
      <c r="C909" s="1">
        <f t="shared" si="908"/>
        <v>0</v>
      </c>
      <c r="D909" s="1">
        <f t="shared" si="908"/>
        <v>0</v>
      </c>
      <c r="E909" s="1">
        <f t="shared" si="908"/>
        <v>0</v>
      </c>
      <c r="F909" s="1">
        <f t="shared" si="908"/>
        <v>0</v>
      </c>
      <c r="G909" s="1">
        <f t="shared" si="908"/>
        <v>0</v>
      </c>
      <c r="H909" s="1">
        <f t="shared" si="908"/>
        <v>0</v>
      </c>
      <c r="I909" s="1">
        <f t="shared" si="908"/>
        <v>0</v>
      </c>
      <c r="J909" s="1">
        <f t="shared" si="908"/>
        <v>0</v>
      </c>
      <c r="K909" s="1">
        <f t="shared" si="908"/>
        <v>0</v>
      </c>
      <c r="L909" s="1">
        <f t="shared" si="908"/>
        <v>0</v>
      </c>
      <c r="M909" s="1">
        <f t="shared" si="908"/>
        <v>0</v>
      </c>
      <c r="N909" s="1">
        <f t="shared" si="908"/>
        <v>0</v>
      </c>
      <c r="O909" s="1">
        <f t="shared" si="908"/>
        <v>0</v>
      </c>
      <c r="P909" s="1">
        <f t="shared" si="908"/>
        <v>0</v>
      </c>
      <c r="Q909" s="1">
        <f t="shared" si="908"/>
        <v>0</v>
      </c>
      <c r="R909" s="1">
        <f t="shared" si="908"/>
        <v>0</v>
      </c>
      <c r="S909" s="1">
        <f t="shared" si="908"/>
        <v>0</v>
      </c>
      <c r="T909" s="1">
        <f t="shared" si="908"/>
        <v>0</v>
      </c>
      <c r="U909" s="1">
        <f t="shared" si="908"/>
        <v>0</v>
      </c>
    </row>
    <row r="910">
      <c r="A910" s="3">
        <f>IFERROR(__xludf.DUMMYFUNCTION("""COMPUTED_VALUE"""),44829.0)</f>
        <v>44829</v>
      </c>
      <c r="B910" s="1">
        <f t="shared" ref="B910:U910" si="909">IF($A910&gt;0,Megyeinapi!B910/'megyelakosság'!B$2*100000," ")</f>
        <v>0</v>
      </c>
      <c r="C910" s="1">
        <f t="shared" si="909"/>
        <v>0</v>
      </c>
      <c r="D910" s="1">
        <f t="shared" si="909"/>
        <v>0</v>
      </c>
      <c r="E910" s="1">
        <f t="shared" si="909"/>
        <v>0</v>
      </c>
      <c r="F910" s="1">
        <f t="shared" si="909"/>
        <v>0</v>
      </c>
      <c r="G910" s="1">
        <f t="shared" si="909"/>
        <v>0</v>
      </c>
      <c r="H910" s="1">
        <f t="shared" si="909"/>
        <v>0</v>
      </c>
      <c r="I910" s="1">
        <f t="shared" si="909"/>
        <v>0</v>
      </c>
      <c r="J910" s="1">
        <f t="shared" si="909"/>
        <v>0</v>
      </c>
      <c r="K910" s="1">
        <f t="shared" si="909"/>
        <v>0</v>
      </c>
      <c r="L910" s="1">
        <f t="shared" si="909"/>
        <v>0</v>
      </c>
      <c r="M910" s="1">
        <f t="shared" si="909"/>
        <v>0</v>
      </c>
      <c r="N910" s="1">
        <f t="shared" si="909"/>
        <v>0</v>
      </c>
      <c r="O910" s="1">
        <f t="shared" si="909"/>
        <v>0</v>
      </c>
      <c r="P910" s="1">
        <f t="shared" si="909"/>
        <v>0</v>
      </c>
      <c r="Q910" s="1">
        <f t="shared" si="909"/>
        <v>0</v>
      </c>
      <c r="R910" s="1">
        <f t="shared" si="909"/>
        <v>0</v>
      </c>
      <c r="S910" s="1">
        <f t="shared" si="909"/>
        <v>0</v>
      </c>
      <c r="T910" s="1">
        <f t="shared" si="909"/>
        <v>0</v>
      </c>
      <c r="U910" s="1">
        <f t="shared" si="909"/>
        <v>0</v>
      </c>
    </row>
    <row r="911">
      <c r="A911" s="3">
        <f>IFERROR(__xludf.DUMMYFUNCTION("""COMPUTED_VALUE"""),44830.0)</f>
        <v>44830</v>
      </c>
      <c r="B911" s="1">
        <f t="shared" ref="B911:U911" si="910">IF($A911&gt;0,Megyeinapi!B911/'megyelakosság'!B$2*100000," ")</f>
        <v>0</v>
      </c>
      <c r="C911" s="1">
        <f t="shared" si="910"/>
        <v>0</v>
      </c>
      <c r="D911" s="1">
        <f t="shared" si="910"/>
        <v>0</v>
      </c>
      <c r="E911" s="1">
        <f t="shared" si="910"/>
        <v>0</v>
      </c>
      <c r="F911" s="1">
        <f t="shared" si="910"/>
        <v>0</v>
      </c>
      <c r="G911" s="1">
        <f t="shared" si="910"/>
        <v>0</v>
      </c>
      <c r="H911" s="1">
        <f t="shared" si="910"/>
        <v>0</v>
      </c>
      <c r="I911" s="1">
        <f t="shared" si="910"/>
        <v>0</v>
      </c>
      <c r="J911" s="1">
        <f t="shared" si="910"/>
        <v>0</v>
      </c>
      <c r="K911" s="1">
        <f t="shared" si="910"/>
        <v>0</v>
      </c>
      <c r="L911" s="1">
        <f t="shared" si="910"/>
        <v>0</v>
      </c>
      <c r="M911" s="1">
        <f t="shared" si="910"/>
        <v>0</v>
      </c>
      <c r="N911" s="1">
        <f t="shared" si="910"/>
        <v>0</v>
      </c>
      <c r="O911" s="1">
        <f t="shared" si="910"/>
        <v>0</v>
      </c>
      <c r="P911" s="1">
        <f t="shared" si="910"/>
        <v>0</v>
      </c>
      <c r="Q911" s="1">
        <f t="shared" si="910"/>
        <v>0</v>
      </c>
      <c r="R911" s="1">
        <f t="shared" si="910"/>
        <v>0</v>
      </c>
      <c r="S911" s="1">
        <f t="shared" si="910"/>
        <v>0</v>
      </c>
      <c r="T911" s="1">
        <f t="shared" si="910"/>
        <v>0</v>
      </c>
      <c r="U911" s="1">
        <f t="shared" si="910"/>
        <v>0</v>
      </c>
    </row>
    <row r="912">
      <c r="A912" s="3">
        <f>IFERROR(__xludf.DUMMYFUNCTION("""COMPUTED_VALUE"""),44831.0)</f>
        <v>44831</v>
      </c>
      <c r="B912" s="1">
        <f t="shared" ref="B912:U912" si="911">IF($A912&gt;0,Megyeinapi!B912/'megyelakosság'!B$2*100000," ")</f>
        <v>0</v>
      </c>
      <c r="C912" s="1">
        <f t="shared" si="911"/>
        <v>0</v>
      </c>
      <c r="D912" s="1">
        <f t="shared" si="911"/>
        <v>0</v>
      </c>
      <c r="E912" s="1">
        <f t="shared" si="911"/>
        <v>0</v>
      </c>
      <c r="F912" s="1">
        <f t="shared" si="911"/>
        <v>0</v>
      </c>
      <c r="G912" s="1">
        <f t="shared" si="911"/>
        <v>0</v>
      </c>
      <c r="H912" s="1">
        <f t="shared" si="911"/>
        <v>0</v>
      </c>
      <c r="I912" s="1">
        <f t="shared" si="911"/>
        <v>0</v>
      </c>
      <c r="J912" s="1">
        <f t="shared" si="911"/>
        <v>0</v>
      </c>
      <c r="K912" s="1">
        <f t="shared" si="911"/>
        <v>0</v>
      </c>
      <c r="L912" s="1">
        <f t="shared" si="911"/>
        <v>0</v>
      </c>
      <c r="M912" s="1">
        <f t="shared" si="911"/>
        <v>0</v>
      </c>
      <c r="N912" s="1">
        <f t="shared" si="911"/>
        <v>0</v>
      </c>
      <c r="O912" s="1">
        <f t="shared" si="911"/>
        <v>0</v>
      </c>
      <c r="P912" s="1">
        <f t="shared" si="911"/>
        <v>0</v>
      </c>
      <c r="Q912" s="1">
        <f t="shared" si="911"/>
        <v>0</v>
      </c>
      <c r="R912" s="1">
        <f t="shared" si="911"/>
        <v>0</v>
      </c>
      <c r="S912" s="1">
        <f t="shared" si="911"/>
        <v>0</v>
      </c>
      <c r="T912" s="1">
        <f t="shared" si="911"/>
        <v>0</v>
      </c>
      <c r="U912" s="1">
        <f t="shared" si="911"/>
        <v>0</v>
      </c>
    </row>
    <row r="913">
      <c r="A913" s="3">
        <f>IFERROR(__xludf.DUMMYFUNCTION("""COMPUTED_VALUE"""),44832.0)</f>
        <v>44832</v>
      </c>
      <c r="B913" s="1">
        <f t="shared" ref="B913:U913" si="912">IF($A913&gt;0,Megyeinapi!B913/'megyelakosság'!B$2*100000," ")</f>
        <v>129.0271196</v>
      </c>
      <c r="C913" s="1">
        <f t="shared" si="912"/>
        <v>199.6608272</v>
      </c>
      <c r="D913" s="1">
        <f t="shared" si="912"/>
        <v>151.2667074</v>
      </c>
      <c r="E913" s="1">
        <f t="shared" si="912"/>
        <v>129.814273</v>
      </c>
      <c r="F913" s="1">
        <f t="shared" si="912"/>
        <v>73.13383034</v>
      </c>
      <c r="G913" s="1">
        <f t="shared" si="912"/>
        <v>171.4650091</v>
      </c>
      <c r="H913" s="1">
        <f t="shared" si="912"/>
        <v>85.52255956</v>
      </c>
      <c r="I913" s="1">
        <f t="shared" si="912"/>
        <v>112.2287014</v>
      </c>
      <c r="J913" s="1">
        <f t="shared" si="912"/>
        <v>113.531298</v>
      </c>
      <c r="K913" s="1">
        <f t="shared" si="912"/>
        <v>133.9372438</v>
      </c>
      <c r="L913" s="1">
        <f t="shared" si="912"/>
        <v>97.57294122</v>
      </c>
      <c r="M913" s="1">
        <f t="shared" si="912"/>
        <v>81.72893237</v>
      </c>
      <c r="N913" s="1">
        <f t="shared" si="912"/>
        <v>88.7863386</v>
      </c>
      <c r="O913" s="1">
        <f t="shared" si="912"/>
        <v>85.11281302</v>
      </c>
      <c r="P913" s="1">
        <f t="shared" si="912"/>
        <v>175.0291715</v>
      </c>
      <c r="Q913" s="1">
        <f t="shared" si="912"/>
        <v>180.1365322</v>
      </c>
      <c r="R913" s="1">
        <f t="shared" si="912"/>
        <v>193.0269031</v>
      </c>
      <c r="S913" s="1">
        <f t="shared" si="912"/>
        <v>118.8335425</v>
      </c>
      <c r="T913" s="1">
        <f t="shared" si="912"/>
        <v>107.5751047</v>
      </c>
      <c r="U913" s="1">
        <f t="shared" si="912"/>
        <v>143.3002458</v>
      </c>
    </row>
    <row r="914">
      <c r="A914" s="3">
        <f>IFERROR(__xludf.DUMMYFUNCTION("""COMPUTED_VALUE"""),44833.0)</f>
        <v>44833</v>
      </c>
      <c r="B914" s="1">
        <f t="shared" ref="B914:U914" si="913">IF($A914&gt;0,Megyeinapi!B914/'megyelakosság'!B$2*100000," ")</f>
        <v>0</v>
      </c>
      <c r="C914" s="1">
        <f t="shared" si="913"/>
        <v>0</v>
      </c>
      <c r="D914" s="1">
        <f t="shared" si="913"/>
        <v>0</v>
      </c>
      <c r="E914" s="1">
        <f t="shared" si="913"/>
        <v>0</v>
      </c>
      <c r="F914" s="1">
        <f t="shared" si="913"/>
        <v>0</v>
      </c>
      <c r="G914" s="1">
        <f t="shared" si="913"/>
        <v>0</v>
      </c>
      <c r="H914" s="1">
        <f t="shared" si="913"/>
        <v>0</v>
      </c>
      <c r="I914" s="1">
        <f t="shared" si="913"/>
        <v>0</v>
      </c>
      <c r="J914" s="1">
        <f t="shared" si="913"/>
        <v>0</v>
      </c>
      <c r="K914" s="1">
        <f t="shared" si="913"/>
        <v>0</v>
      </c>
      <c r="L914" s="1">
        <f t="shared" si="913"/>
        <v>0</v>
      </c>
      <c r="M914" s="1">
        <f t="shared" si="913"/>
        <v>0</v>
      </c>
      <c r="N914" s="1">
        <f t="shared" si="913"/>
        <v>0</v>
      </c>
      <c r="O914" s="1">
        <f t="shared" si="913"/>
        <v>0</v>
      </c>
      <c r="P914" s="1">
        <f t="shared" si="913"/>
        <v>0</v>
      </c>
      <c r="Q914" s="1">
        <f t="shared" si="913"/>
        <v>0</v>
      </c>
      <c r="R914" s="1">
        <f t="shared" si="913"/>
        <v>0</v>
      </c>
      <c r="S914" s="1">
        <f t="shared" si="913"/>
        <v>0</v>
      </c>
      <c r="T914" s="1">
        <f t="shared" si="913"/>
        <v>0</v>
      </c>
      <c r="U914" s="1">
        <f t="shared" si="913"/>
        <v>0</v>
      </c>
    </row>
    <row r="915">
      <c r="A915" s="3">
        <f>IFERROR(__xludf.DUMMYFUNCTION("""COMPUTED_VALUE"""),44834.0)</f>
        <v>44834</v>
      </c>
      <c r="B915" s="1">
        <f t="shared" ref="B915:U915" si="914">IF($A915&gt;0,Megyeinapi!B915/'megyelakosság'!B$2*100000," ")</f>
        <v>0</v>
      </c>
      <c r="C915" s="1">
        <f t="shared" si="914"/>
        <v>0</v>
      </c>
      <c r="D915" s="1">
        <f t="shared" si="914"/>
        <v>0</v>
      </c>
      <c r="E915" s="1">
        <f t="shared" si="914"/>
        <v>0</v>
      </c>
      <c r="F915" s="1">
        <f t="shared" si="914"/>
        <v>0</v>
      </c>
      <c r="G915" s="1">
        <f t="shared" si="914"/>
        <v>0</v>
      </c>
      <c r="H915" s="1">
        <f t="shared" si="914"/>
        <v>0</v>
      </c>
      <c r="I915" s="1">
        <f t="shared" si="914"/>
        <v>0</v>
      </c>
      <c r="J915" s="1">
        <f t="shared" si="914"/>
        <v>0</v>
      </c>
      <c r="K915" s="1">
        <f t="shared" si="914"/>
        <v>0</v>
      </c>
      <c r="L915" s="1">
        <f t="shared" si="914"/>
        <v>0</v>
      </c>
      <c r="M915" s="1">
        <f t="shared" si="914"/>
        <v>0</v>
      </c>
      <c r="N915" s="1">
        <f t="shared" si="914"/>
        <v>0</v>
      </c>
      <c r="O915" s="1">
        <f t="shared" si="914"/>
        <v>0</v>
      </c>
      <c r="P915" s="1">
        <f t="shared" si="914"/>
        <v>0</v>
      </c>
      <c r="Q915" s="1">
        <f t="shared" si="914"/>
        <v>0</v>
      </c>
      <c r="R915" s="1">
        <f t="shared" si="914"/>
        <v>0</v>
      </c>
      <c r="S915" s="1">
        <f t="shared" si="914"/>
        <v>0</v>
      </c>
      <c r="T915" s="1">
        <f t="shared" si="914"/>
        <v>0</v>
      </c>
      <c r="U915" s="1">
        <f t="shared" si="914"/>
        <v>0</v>
      </c>
    </row>
    <row r="916">
      <c r="A916" s="3">
        <f>IFERROR(__xludf.DUMMYFUNCTION("""COMPUTED_VALUE"""),44835.0)</f>
        <v>44835</v>
      </c>
      <c r="B916" s="1">
        <f t="shared" ref="B916:U916" si="915">IF($A916&gt;0,Megyeinapi!B916/'megyelakosság'!B$2*100000," ")</f>
        <v>0</v>
      </c>
      <c r="C916" s="1">
        <f t="shared" si="915"/>
        <v>0</v>
      </c>
      <c r="D916" s="1">
        <f t="shared" si="915"/>
        <v>0</v>
      </c>
      <c r="E916" s="1">
        <f t="shared" si="915"/>
        <v>0</v>
      </c>
      <c r="F916" s="1">
        <f t="shared" si="915"/>
        <v>0</v>
      </c>
      <c r="G916" s="1">
        <f t="shared" si="915"/>
        <v>0</v>
      </c>
      <c r="H916" s="1">
        <f t="shared" si="915"/>
        <v>0</v>
      </c>
      <c r="I916" s="1">
        <f t="shared" si="915"/>
        <v>0</v>
      </c>
      <c r="J916" s="1">
        <f t="shared" si="915"/>
        <v>0</v>
      </c>
      <c r="K916" s="1">
        <f t="shared" si="915"/>
        <v>0</v>
      </c>
      <c r="L916" s="1">
        <f t="shared" si="915"/>
        <v>0</v>
      </c>
      <c r="M916" s="1">
        <f t="shared" si="915"/>
        <v>0</v>
      </c>
      <c r="N916" s="1">
        <f t="shared" si="915"/>
        <v>0</v>
      </c>
      <c r="O916" s="1">
        <f t="shared" si="915"/>
        <v>0</v>
      </c>
      <c r="P916" s="1">
        <f t="shared" si="915"/>
        <v>0</v>
      </c>
      <c r="Q916" s="1">
        <f t="shared" si="915"/>
        <v>0</v>
      </c>
      <c r="R916" s="1">
        <f t="shared" si="915"/>
        <v>0</v>
      </c>
      <c r="S916" s="1">
        <f t="shared" si="915"/>
        <v>0</v>
      </c>
      <c r="T916" s="1">
        <f t="shared" si="915"/>
        <v>0</v>
      </c>
      <c r="U916" s="1">
        <f t="shared" si="915"/>
        <v>0</v>
      </c>
    </row>
    <row r="917">
      <c r="A917" s="3">
        <f>IFERROR(__xludf.DUMMYFUNCTION("""COMPUTED_VALUE"""),44836.0)</f>
        <v>44836</v>
      </c>
      <c r="B917" s="1">
        <f t="shared" ref="B917:U917" si="916">IF($A917&gt;0,Megyeinapi!B917/'megyelakosság'!B$2*100000," ")</f>
        <v>0</v>
      </c>
      <c r="C917" s="1">
        <f t="shared" si="916"/>
        <v>0</v>
      </c>
      <c r="D917" s="1">
        <f t="shared" si="916"/>
        <v>0</v>
      </c>
      <c r="E917" s="1">
        <f t="shared" si="916"/>
        <v>0</v>
      </c>
      <c r="F917" s="1">
        <f t="shared" si="916"/>
        <v>0</v>
      </c>
      <c r="G917" s="1">
        <f t="shared" si="916"/>
        <v>0</v>
      </c>
      <c r="H917" s="1">
        <f t="shared" si="916"/>
        <v>0</v>
      </c>
      <c r="I917" s="1">
        <f t="shared" si="916"/>
        <v>0</v>
      </c>
      <c r="J917" s="1">
        <f t="shared" si="916"/>
        <v>0</v>
      </c>
      <c r="K917" s="1">
        <f t="shared" si="916"/>
        <v>0</v>
      </c>
      <c r="L917" s="1">
        <f t="shared" si="916"/>
        <v>0</v>
      </c>
      <c r="M917" s="1">
        <f t="shared" si="916"/>
        <v>0</v>
      </c>
      <c r="N917" s="1">
        <f t="shared" si="916"/>
        <v>0</v>
      </c>
      <c r="O917" s="1">
        <f t="shared" si="916"/>
        <v>0</v>
      </c>
      <c r="P917" s="1">
        <f t="shared" si="916"/>
        <v>0</v>
      </c>
      <c r="Q917" s="1">
        <f t="shared" si="916"/>
        <v>0</v>
      </c>
      <c r="R917" s="1">
        <f t="shared" si="916"/>
        <v>0</v>
      </c>
      <c r="S917" s="1">
        <f t="shared" si="916"/>
        <v>0</v>
      </c>
      <c r="T917" s="1">
        <f t="shared" si="916"/>
        <v>0</v>
      </c>
      <c r="U917" s="1">
        <f t="shared" si="916"/>
        <v>0</v>
      </c>
    </row>
    <row r="918">
      <c r="A918" s="3">
        <f>IFERROR(__xludf.DUMMYFUNCTION("""COMPUTED_VALUE"""),44837.0)</f>
        <v>44837</v>
      </c>
      <c r="B918" s="1">
        <f t="shared" ref="B918:U918" si="917">IF($A918&gt;0,Megyeinapi!B918/'megyelakosság'!B$2*100000," ")</f>
        <v>0</v>
      </c>
      <c r="C918" s="1">
        <f t="shared" si="917"/>
        <v>0</v>
      </c>
      <c r="D918" s="1">
        <f t="shared" si="917"/>
        <v>0</v>
      </c>
      <c r="E918" s="1">
        <f t="shared" si="917"/>
        <v>0</v>
      </c>
      <c r="F918" s="1">
        <f t="shared" si="917"/>
        <v>0</v>
      </c>
      <c r="G918" s="1">
        <f t="shared" si="917"/>
        <v>0</v>
      </c>
      <c r="H918" s="1">
        <f t="shared" si="917"/>
        <v>0</v>
      </c>
      <c r="I918" s="1">
        <f t="shared" si="917"/>
        <v>0</v>
      </c>
      <c r="J918" s="1">
        <f t="shared" si="917"/>
        <v>0</v>
      </c>
      <c r="K918" s="1">
        <f t="shared" si="917"/>
        <v>0</v>
      </c>
      <c r="L918" s="1">
        <f t="shared" si="917"/>
        <v>0</v>
      </c>
      <c r="M918" s="1">
        <f t="shared" si="917"/>
        <v>0</v>
      </c>
      <c r="N918" s="1">
        <f t="shared" si="917"/>
        <v>0</v>
      </c>
      <c r="O918" s="1">
        <f t="shared" si="917"/>
        <v>0</v>
      </c>
      <c r="P918" s="1">
        <f t="shared" si="917"/>
        <v>0</v>
      </c>
      <c r="Q918" s="1">
        <f t="shared" si="917"/>
        <v>0</v>
      </c>
      <c r="R918" s="1">
        <f t="shared" si="917"/>
        <v>0</v>
      </c>
      <c r="S918" s="1">
        <f t="shared" si="917"/>
        <v>0</v>
      </c>
      <c r="T918" s="1">
        <f t="shared" si="917"/>
        <v>0</v>
      </c>
      <c r="U918" s="1">
        <f t="shared" si="917"/>
        <v>0</v>
      </c>
    </row>
    <row r="919">
      <c r="A919" s="3">
        <f>IFERROR(__xludf.DUMMYFUNCTION("""COMPUTED_VALUE"""),44838.0)</f>
        <v>44838</v>
      </c>
      <c r="B919" s="1">
        <f t="shared" ref="B919:U919" si="918">IF($A919&gt;0,Megyeinapi!B919/'megyelakosság'!B$2*100000," ")</f>
        <v>0</v>
      </c>
      <c r="C919" s="1">
        <f t="shared" si="918"/>
        <v>0</v>
      </c>
      <c r="D919" s="1">
        <f t="shared" si="918"/>
        <v>0</v>
      </c>
      <c r="E919" s="1">
        <f t="shared" si="918"/>
        <v>0</v>
      </c>
      <c r="F919" s="1">
        <f t="shared" si="918"/>
        <v>0</v>
      </c>
      <c r="G919" s="1">
        <f t="shared" si="918"/>
        <v>0</v>
      </c>
      <c r="H919" s="1">
        <f t="shared" si="918"/>
        <v>0</v>
      </c>
      <c r="I919" s="1">
        <f t="shared" si="918"/>
        <v>0</v>
      </c>
      <c r="J919" s="1">
        <f t="shared" si="918"/>
        <v>0</v>
      </c>
      <c r="K919" s="1">
        <f t="shared" si="918"/>
        <v>0</v>
      </c>
      <c r="L919" s="1">
        <f t="shared" si="918"/>
        <v>0</v>
      </c>
      <c r="M919" s="1">
        <f t="shared" si="918"/>
        <v>0</v>
      </c>
      <c r="N919" s="1">
        <f t="shared" si="918"/>
        <v>0</v>
      </c>
      <c r="O919" s="1">
        <f t="shared" si="918"/>
        <v>0</v>
      </c>
      <c r="P919" s="1">
        <f t="shared" si="918"/>
        <v>0</v>
      </c>
      <c r="Q919" s="1">
        <f t="shared" si="918"/>
        <v>0</v>
      </c>
      <c r="R919" s="1">
        <f t="shared" si="918"/>
        <v>0</v>
      </c>
      <c r="S919" s="1">
        <f t="shared" si="918"/>
        <v>0</v>
      </c>
      <c r="T919" s="1">
        <f t="shared" si="918"/>
        <v>0</v>
      </c>
      <c r="U919" s="1">
        <f t="shared" si="918"/>
        <v>0</v>
      </c>
    </row>
    <row r="920">
      <c r="A920" s="3">
        <f>IFERROR(__xludf.DUMMYFUNCTION("""COMPUTED_VALUE"""),44839.0)</f>
        <v>44839</v>
      </c>
      <c r="B920" s="1">
        <f t="shared" ref="B920:U920" si="919">IF($A920&gt;0,Megyeinapi!B920/'megyelakosság'!B$2*100000," ")</f>
        <v>150.1334077</v>
      </c>
      <c r="C920" s="1">
        <f t="shared" si="919"/>
        <v>270.669908</v>
      </c>
      <c r="D920" s="1">
        <f t="shared" si="919"/>
        <v>160.6452433</v>
      </c>
      <c r="E920" s="1">
        <f t="shared" si="919"/>
        <v>142.2149109</v>
      </c>
      <c r="F920" s="1">
        <f t="shared" si="919"/>
        <v>102.7873131</v>
      </c>
      <c r="G920" s="1">
        <f t="shared" si="919"/>
        <v>186.527821</v>
      </c>
      <c r="H920" s="1">
        <f t="shared" si="919"/>
        <v>100.0948393</v>
      </c>
      <c r="I920" s="1">
        <f t="shared" si="919"/>
        <v>178.3823427</v>
      </c>
      <c r="J920" s="1">
        <f t="shared" si="919"/>
        <v>131.9469099</v>
      </c>
      <c r="K920" s="1">
        <f t="shared" si="919"/>
        <v>135.6412799</v>
      </c>
      <c r="L920" s="1">
        <f t="shared" si="919"/>
        <v>128.9162045</v>
      </c>
      <c r="M920" s="1">
        <f t="shared" si="919"/>
        <v>115.284307</v>
      </c>
      <c r="N920" s="1">
        <f t="shared" si="919"/>
        <v>112.7108011</v>
      </c>
      <c r="O920" s="1">
        <f t="shared" si="919"/>
        <v>101.7653199</v>
      </c>
      <c r="P920" s="1">
        <f t="shared" si="919"/>
        <v>197.0328388</v>
      </c>
      <c r="Q920" s="1">
        <f t="shared" si="919"/>
        <v>165.5653264</v>
      </c>
      <c r="R920" s="1">
        <f t="shared" si="919"/>
        <v>237.1075661</v>
      </c>
      <c r="S920" s="1">
        <f t="shared" si="919"/>
        <v>133.3926189</v>
      </c>
      <c r="T920" s="1">
        <f t="shared" si="919"/>
        <v>146.266968</v>
      </c>
      <c r="U920" s="1">
        <f t="shared" si="919"/>
        <v>188.1984952</v>
      </c>
    </row>
    <row r="921">
      <c r="A921" s="3">
        <f>IFERROR(__xludf.DUMMYFUNCTION("""COMPUTED_VALUE"""),44840.0)</f>
        <v>44840</v>
      </c>
      <c r="B921" s="1">
        <f t="shared" ref="B921:U921" si="920">IF($A921&gt;0,Megyeinapi!B921/'megyelakosság'!B$2*100000," ")</f>
        <v>0</v>
      </c>
      <c r="C921" s="1">
        <f t="shared" si="920"/>
        <v>0</v>
      </c>
      <c r="D921" s="1">
        <f t="shared" si="920"/>
        <v>0</v>
      </c>
      <c r="E921" s="1">
        <f t="shared" si="920"/>
        <v>0</v>
      </c>
      <c r="F921" s="1">
        <f t="shared" si="920"/>
        <v>0</v>
      </c>
      <c r="G921" s="1">
        <f t="shared" si="920"/>
        <v>0</v>
      </c>
      <c r="H921" s="1">
        <f t="shared" si="920"/>
        <v>0</v>
      </c>
      <c r="I921" s="1">
        <f t="shared" si="920"/>
        <v>0</v>
      </c>
      <c r="J921" s="1">
        <f t="shared" si="920"/>
        <v>0</v>
      </c>
      <c r="K921" s="1">
        <f t="shared" si="920"/>
        <v>0</v>
      </c>
      <c r="L921" s="1">
        <f t="shared" si="920"/>
        <v>0</v>
      </c>
      <c r="M921" s="1">
        <f t="shared" si="920"/>
        <v>0</v>
      </c>
      <c r="N921" s="1">
        <f t="shared" si="920"/>
        <v>0</v>
      </c>
      <c r="O921" s="1">
        <f t="shared" si="920"/>
        <v>0</v>
      </c>
      <c r="P921" s="1">
        <f t="shared" si="920"/>
        <v>0</v>
      </c>
      <c r="Q921" s="1">
        <f t="shared" si="920"/>
        <v>0</v>
      </c>
      <c r="R921" s="1">
        <f t="shared" si="920"/>
        <v>0</v>
      </c>
      <c r="S921" s="1">
        <f t="shared" si="920"/>
        <v>0</v>
      </c>
      <c r="T921" s="1">
        <f t="shared" si="920"/>
        <v>0</v>
      </c>
      <c r="U921" s="1">
        <f t="shared" si="920"/>
        <v>0</v>
      </c>
    </row>
    <row r="922">
      <c r="A922" s="3">
        <f>IFERROR(__xludf.DUMMYFUNCTION("""COMPUTED_VALUE"""),44841.0)</f>
        <v>44841</v>
      </c>
      <c r="B922" s="1">
        <f t="shared" ref="B922:U922" si="921">IF($A922&gt;0,Megyeinapi!B922/'megyelakosság'!B$2*100000," ")</f>
        <v>0</v>
      </c>
      <c r="C922" s="1">
        <f t="shared" si="921"/>
        <v>0</v>
      </c>
      <c r="D922" s="1">
        <f t="shared" si="921"/>
        <v>0</v>
      </c>
      <c r="E922" s="1">
        <f t="shared" si="921"/>
        <v>0</v>
      </c>
      <c r="F922" s="1">
        <f t="shared" si="921"/>
        <v>0</v>
      </c>
      <c r="G922" s="1">
        <f t="shared" si="921"/>
        <v>0</v>
      </c>
      <c r="H922" s="1">
        <f t="shared" si="921"/>
        <v>0</v>
      </c>
      <c r="I922" s="1">
        <f t="shared" si="921"/>
        <v>0</v>
      </c>
      <c r="J922" s="1">
        <f t="shared" si="921"/>
        <v>0</v>
      </c>
      <c r="K922" s="1">
        <f t="shared" si="921"/>
        <v>0</v>
      </c>
      <c r="L922" s="1">
        <f t="shared" si="921"/>
        <v>0</v>
      </c>
      <c r="M922" s="1">
        <f t="shared" si="921"/>
        <v>0</v>
      </c>
      <c r="N922" s="1">
        <f t="shared" si="921"/>
        <v>0</v>
      </c>
      <c r="O922" s="1">
        <f t="shared" si="921"/>
        <v>0</v>
      </c>
      <c r="P922" s="1">
        <f t="shared" si="921"/>
        <v>0</v>
      </c>
      <c r="Q922" s="1">
        <f t="shared" si="921"/>
        <v>0</v>
      </c>
      <c r="R922" s="1">
        <f t="shared" si="921"/>
        <v>0</v>
      </c>
      <c r="S922" s="1">
        <f t="shared" si="921"/>
        <v>0</v>
      </c>
      <c r="T922" s="1">
        <f t="shared" si="921"/>
        <v>0</v>
      </c>
      <c r="U922" s="1">
        <f t="shared" si="921"/>
        <v>0</v>
      </c>
    </row>
    <row r="923">
      <c r="A923" s="3">
        <f>IFERROR(__xludf.DUMMYFUNCTION("""COMPUTED_VALUE"""),44842.0)</f>
        <v>44842</v>
      </c>
      <c r="B923" s="1">
        <f t="shared" ref="B923:U923" si="922">IF($A923&gt;0,Megyeinapi!B923/'megyelakosság'!B$2*100000," ")</f>
        <v>0</v>
      </c>
      <c r="C923" s="1">
        <f t="shared" si="922"/>
        <v>0</v>
      </c>
      <c r="D923" s="1">
        <f t="shared" si="922"/>
        <v>0</v>
      </c>
      <c r="E923" s="1">
        <f t="shared" si="922"/>
        <v>0</v>
      </c>
      <c r="F923" s="1">
        <f t="shared" si="922"/>
        <v>0</v>
      </c>
      <c r="G923" s="1">
        <f t="shared" si="922"/>
        <v>0</v>
      </c>
      <c r="H923" s="1">
        <f t="shared" si="922"/>
        <v>0</v>
      </c>
      <c r="I923" s="1">
        <f t="shared" si="922"/>
        <v>0</v>
      </c>
      <c r="J923" s="1">
        <f t="shared" si="922"/>
        <v>0</v>
      </c>
      <c r="K923" s="1">
        <f t="shared" si="922"/>
        <v>0</v>
      </c>
      <c r="L923" s="1">
        <f t="shared" si="922"/>
        <v>0</v>
      </c>
      <c r="M923" s="1">
        <f t="shared" si="922"/>
        <v>0</v>
      </c>
      <c r="N923" s="1">
        <f t="shared" si="922"/>
        <v>0</v>
      </c>
      <c r="O923" s="1">
        <f t="shared" si="922"/>
        <v>0</v>
      </c>
      <c r="P923" s="1">
        <f t="shared" si="922"/>
        <v>0</v>
      </c>
      <c r="Q923" s="1">
        <f t="shared" si="922"/>
        <v>0</v>
      </c>
      <c r="R923" s="1">
        <f t="shared" si="922"/>
        <v>0</v>
      </c>
      <c r="S923" s="1">
        <f t="shared" si="922"/>
        <v>0</v>
      </c>
      <c r="T923" s="1">
        <f t="shared" si="922"/>
        <v>0</v>
      </c>
      <c r="U923" s="1">
        <f t="shared" si="922"/>
        <v>0</v>
      </c>
    </row>
    <row r="924">
      <c r="A924" s="3">
        <f>IFERROR(__xludf.DUMMYFUNCTION("""COMPUTED_VALUE"""),44843.0)</f>
        <v>44843</v>
      </c>
      <c r="B924" s="1">
        <f t="shared" ref="B924:U924" si="923">IF($A924&gt;0,Megyeinapi!B924/'megyelakosság'!B$2*100000," ")</f>
        <v>0</v>
      </c>
      <c r="C924" s="1">
        <f t="shared" si="923"/>
        <v>0</v>
      </c>
      <c r="D924" s="1">
        <f t="shared" si="923"/>
        <v>0</v>
      </c>
      <c r="E924" s="1">
        <f t="shared" si="923"/>
        <v>0</v>
      </c>
      <c r="F924" s="1">
        <f t="shared" si="923"/>
        <v>0</v>
      </c>
      <c r="G924" s="1">
        <f t="shared" si="923"/>
        <v>0</v>
      </c>
      <c r="H924" s="1">
        <f t="shared" si="923"/>
        <v>0</v>
      </c>
      <c r="I924" s="1">
        <f t="shared" si="923"/>
        <v>0</v>
      </c>
      <c r="J924" s="1">
        <f t="shared" si="923"/>
        <v>0</v>
      </c>
      <c r="K924" s="1">
        <f t="shared" si="923"/>
        <v>0</v>
      </c>
      <c r="L924" s="1">
        <f t="shared" si="923"/>
        <v>0</v>
      </c>
      <c r="M924" s="1">
        <f t="shared" si="923"/>
        <v>0</v>
      </c>
      <c r="N924" s="1">
        <f t="shared" si="923"/>
        <v>0</v>
      </c>
      <c r="O924" s="1">
        <f t="shared" si="923"/>
        <v>0</v>
      </c>
      <c r="P924" s="1">
        <f t="shared" si="923"/>
        <v>0</v>
      </c>
      <c r="Q924" s="1">
        <f t="shared" si="923"/>
        <v>0</v>
      </c>
      <c r="R924" s="1">
        <f t="shared" si="923"/>
        <v>0</v>
      </c>
      <c r="S924" s="1">
        <f t="shared" si="923"/>
        <v>0</v>
      </c>
      <c r="T924" s="1">
        <f t="shared" si="923"/>
        <v>0</v>
      </c>
      <c r="U924" s="1">
        <f t="shared" si="923"/>
        <v>0</v>
      </c>
    </row>
    <row r="925">
      <c r="A925" s="3">
        <f>IFERROR(__xludf.DUMMYFUNCTION("""COMPUTED_VALUE"""),44844.0)</f>
        <v>44844</v>
      </c>
      <c r="B925" s="1">
        <f t="shared" ref="B925:U925" si="924">IF($A925&gt;0,Megyeinapi!B925/'megyelakosság'!B$2*100000," ")</f>
        <v>0</v>
      </c>
      <c r="C925" s="1">
        <f t="shared" si="924"/>
        <v>0</v>
      </c>
      <c r="D925" s="1">
        <f t="shared" si="924"/>
        <v>0</v>
      </c>
      <c r="E925" s="1">
        <f t="shared" si="924"/>
        <v>0</v>
      </c>
      <c r="F925" s="1">
        <f t="shared" si="924"/>
        <v>0</v>
      </c>
      <c r="G925" s="1">
        <f t="shared" si="924"/>
        <v>0</v>
      </c>
      <c r="H925" s="1">
        <f t="shared" si="924"/>
        <v>0</v>
      </c>
      <c r="I925" s="1">
        <f t="shared" si="924"/>
        <v>0</v>
      </c>
      <c r="J925" s="1">
        <f t="shared" si="924"/>
        <v>0</v>
      </c>
      <c r="K925" s="1">
        <f t="shared" si="924"/>
        <v>0</v>
      </c>
      <c r="L925" s="1">
        <f t="shared" si="924"/>
        <v>0</v>
      </c>
      <c r="M925" s="1">
        <f t="shared" si="924"/>
        <v>0</v>
      </c>
      <c r="N925" s="1">
        <f t="shared" si="924"/>
        <v>0</v>
      </c>
      <c r="O925" s="1">
        <f t="shared" si="924"/>
        <v>0</v>
      </c>
      <c r="P925" s="1">
        <f t="shared" si="924"/>
        <v>0</v>
      </c>
      <c r="Q925" s="1">
        <f t="shared" si="924"/>
        <v>0</v>
      </c>
      <c r="R925" s="1">
        <f t="shared" si="924"/>
        <v>0</v>
      </c>
      <c r="S925" s="1">
        <f t="shared" si="924"/>
        <v>0</v>
      </c>
      <c r="T925" s="1">
        <f t="shared" si="924"/>
        <v>0</v>
      </c>
      <c r="U925" s="1">
        <f t="shared" si="924"/>
        <v>0</v>
      </c>
    </row>
    <row r="926">
      <c r="A926" s="3">
        <f>IFERROR(__xludf.DUMMYFUNCTION("""COMPUTED_VALUE"""),44845.0)</f>
        <v>44845</v>
      </c>
      <c r="B926" s="1">
        <f t="shared" ref="B926:U926" si="925">IF($A926&gt;0,Megyeinapi!B926/'megyelakosság'!B$2*100000," ")</f>
        <v>0</v>
      </c>
      <c r="C926" s="1">
        <f t="shared" si="925"/>
        <v>0</v>
      </c>
      <c r="D926" s="1">
        <f t="shared" si="925"/>
        <v>0</v>
      </c>
      <c r="E926" s="1">
        <f t="shared" si="925"/>
        <v>0</v>
      </c>
      <c r="F926" s="1">
        <f t="shared" si="925"/>
        <v>0</v>
      </c>
      <c r="G926" s="1">
        <f t="shared" si="925"/>
        <v>0</v>
      </c>
      <c r="H926" s="1">
        <f t="shared" si="925"/>
        <v>0</v>
      </c>
      <c r="I926" s="1">
        <f t="shared" si="925"/>
        <v>0</v>
      </c>
      <c r="J926" s="1">
        <f t="shared" si="925"/>
        <v>0</v>
      </c>
      <c r="K926" s="1">
        <f t="shared" si="925"/>
        <v>0</v>
      </c>
      <c r="L926" s="1">
        <f t="shared" si="925"/>
        <v>0</v>
      </c>
      <c r="M926" s="1">
        <f t="shared" si="925"/>
        <v>0</v>
      </c>
      <c r="N926" s="1">
        <f t="shared" si="925"/>
        <v>0</v>
      </c>
      <c r="O926" s="1">
        <f t="shared" si="925"/>
        <v>0</v>
      </c>
      <c r="P926" s="1">
        <f t="shared" si="925"/>
        <v>0</v>
      </c>
      <c r="Q926" s="1">
        <f t="shared" si="925"/>
        <v>0</v>
      </c>
      <c r="R926" s="1">
        <f t="shared" si="925"/>
        <v>0</v>
      </c>
      <c r="S926" s="1">
        <f t="shared" si="925"/>
        <v>0</v>
      </c>
      <c r="T926" s="1">
        <f t="shared" si="925"/>
        <v>0</v>
      </c>
      <c r="U926" s="1">
        <f t="shared" si="925"/>
        <v>0</v>
      </c>
    </row>
    <row r="927">
      <c r="A927" s="3">
        <f>IFERROR(__xludf.DUMMYFUNCTION("""COMPUTED_VALUE"""),44846.0)</f>
        <v>44846</v>
      </c>
      <c r="B927" s="1">
        <f t="shared" ref="B927:U927" si="926">IF($A927&gt;0,Megyeinapi!B927/'megyelakosság'!B$2*100000," ")</f>
        <v>133.0094381</v>
      </c>
      <c r="C927" s="1">
        <f t="shared" si="926"/>
        <v>235.8615351</v>
      </c>
      <c r="D927" s="1">
        <f t="shared" si="926"/>
        <v>154.8971084</v>
      </c>
      <c r="E927" s="1">
        <f t="shared" si="926"/>
        <v>124.1633494</v>
      </c>
      <c r="F927" s="1">
        <f t="shared" si="926"/>
        <v>108.6151652</v>
      </c>
      <c r="G927" s="1">
        <f t="shared" si="926"/>
        <v>126.0255264</v>
      </c>
      <c r="H927" s="1">
        <f t="shared" si="926"/>
        <v>104.1559664</v>
      </c>
      <c r="I927" s="1">
        <f t="shared" si="926"/>
        <v>138.6478872</v>
      </c>
      <c r="J927" s="1">
        <f t="shared" si="926"/>
        <v>108.2154513</v>
      </c>
      <c r="K927" s="1">
        <f t="shared" si="926"/>
        <v>117.2376892</v>
      </c>
      <c r="L927" s="1">
        <f t="shared" si="926"/>
        <v>127.5534539</v>
      </c>
      <c r="M927" s="1">
        <f t="shared" si="926"/>
        <v>90.69918105</v>
      </c>
      <c r="N927" s="1">
        <f t="shared" si="926"/>
        <v>109.5208728</v>
      </c>
      <c r="O927" s="1">
        <f t="shared" si="926"/>
        <v>112.3273266</v>
      </c>
      <c r="P927" s="1">
        <f t="shared" si="926"/>
        <v>152.6921154</v>
      </c>
      <c r="Q927" s="1">
        <f t="shared" si="926"/>
        <v>140.0657161</v>
      </c>
      <c r="R927" s="1">
        <f t="shared" si="926"/>
        <v>173.53861</v>
      </c>
      <c r="S927" s="1">
        <f t="shared" si="926"/>
        <v>119.6205196</v>
      </c>
      <c r="T927" s="1">
        <f t="shared" si="926"/>
        <v>166.7853803</v>
      </c>
      <c r="U927" s="1">
        <f t="shared" si="926"/>
        <v>198.6747533</v>
      </c>
    </row>
    <row r="928">
      <c r="A928" s="3">
        <f>IFERROR(__xludf.DUMMYFUNCTION("""COMPUTED_VALUE"""),44847.0)</f>
        <v>44847</v>
      </c>
      <c r="B928" s="1">
        <f t="shared" ref="B928:U928" si="927">IF($A928&gt;0,Megyeinapi!B928/'megyelakosság'!B$2*100000," ")</f>
        <v>0</v>
      </c>
      <c r="C928" s="1">
        <f t="shared" si="927"/>
        <v>0</v>
      </c>
      <c r="D928" s="1">
        <f t="shared" si="927"/>
        <v>0</v>
      </c>
      <c r="E928" s="1">
        <f t="shared" si="927"/>
        <v>0</v>
      </c>
      <c r="F928" s="1">
        <f t="shared" si="927"/>
        <v>0</v>
      </c>
      <c r="G928" s="1">
        <f t="shared" si="927"/>
        <v>0</v>
      </c>
      <c r="H928" s="1">
        <f t="shared" si="927"/>
        <v>0</v>
      </c>
      <c r="I928" s="1">
        <f t="shared" si="927"/>
        <v>0</v>
      </c>
      <c r="J928" s="1">
        <f t="shared" si="927"/>
        <v>0</v>
      </c>
      <c r="K928" s="1">
        <f t="shared" si="927"/>
        <v>0</v>
      </c>
      <c r="L928" s="1">
        <f t="shared" si="927"/>
        <v>0</v>
      </c>
      <c r="M928" s="1">
        <f t="shared" si="927"/>
        <v>0</v>
      </c>
      <c r="N928" s="1">
        <f t="shared" si="927"/>
        <v>0</v>
      </c>
      <c r="O928" s="1">
        <f t="shared" si="927"/>
        <v>0</v>
      </c>
      <c r="P928" s="1">
        <f t="shared" si="927"/>
        <v>0</v>
      </c>
      <c r="Q928" s="1">
        <f t="shared" si="927"/>
        <v>0</v>
      </c>
      <c r="R928" s="1">
        <f t="shared" si="927"/>
        <v>0</v>
      </c>
      <c r="S928" s="1">
        <f t="shared" si="927"/>
        <v>0</v>
      </c>
      <c r="T928" s="1">
        <f t="shared" si="927"/>
        <v>0</v>
      </c>
      <c r="U928" s="1">
        <f t="shared" si="927"/>
        <v>0</v>
      </c>
    </row>
    <row r="929">
      <c r="A929" s="3">
        <f>IFERROR(__xludf.DUMMYFUNCTION("""COMPUTED_VALUE"""),44848.0)</f>
        <v>44848</v>
      </c>
      <c r="B929" s="1">
        <f t="shared" ref="B929:U929" si="928">IF($A929&gt;0,Megyeinapi!B929/'megyelakosság'!B$2*100000," ")</f>
        <v>0</v>
      </c>
      <c r="C929" s="1">
        <f t="shared" si="928"/>
        <v>0</v>
      </c>
      <c r="D929" s="1">
        <f t="shared" si="928"/>
        <v>0</v>
      </c>
      <c r="E929" s="1">
        <f t="shared" si="928"/>
        <v>0</v>
      </c>
      <c r="F929" s="1">
        <f t="shared" si="928"/>
        <v>0</v>
      </c>
      <c r="G929" s="1">
        <f t="shared" si="928"/>
        <v>0</v>
      </c>
      <c r="H929" s="1">
        <f t="shared" si="928"/>
        <v>0</v>
      </c>
      <c r="I929" s="1">
        <f t="shared" si="928"/>
        <v>0</v>
      </c>
      <c r="J929" s="1">
        <f t="shared" si="928"/>
        <v>0</v>
      </c>
      <c r="K929" s="1">
        <f t="shared" si="928"/>
        <v>0</v>
      </c>
      <c r="L929" s="1">
        <f t="shared" si="928"/>
        <v>0</v>
      </c>
      <c r="M929" s="1">
        <f t="shared" si="928"/>
        <v>0</v>
      </c>
      <c r="N929" s="1">
        <f t="shared" si="928"/>
        <v>0</v>
      </c>
      <c r="O929" s="1">
        <f t="shared" si="928"/>
        <v>0</v>
      </c>
      <c r="P929" s="1">
        <f t="shared" si="928"/>
        <v>0</v>
      </c>
      <c r="Q929" s="1">
        <f t="shared" si="928"/>
        <v>0</v>
      </c>
      <c r="R929" s="1">
        <f t="shared" si="928"/>
        <v>0</v>
      </c>
      <c r="S929" s="1">
        <f t="shared" si="928"/>
        <v>0</v>
      </c>
      <c r="T929" s="1">
        <f t="shared" si="928"/>
        <v>0</v>
      </c>
      <c r="U929" s="1">
        <f t="shared" si="928"/>
        <v>0</v>
      </c>
    </row>
    <row r="930">
      <c r="A930" s="3">
        <f>IFERROR(__xludf.DUMMYFUNCTION("""COMPUTED_VALUE"""),44849.0)</f>
        <v>44849</v>
      </c>
      <c r="B930" s="1">
        <f t="shared" ref="B930:U930" si="929">IF($A930&gt;0,Megyeinapi!B930/'megyelakosság'!B$2*100000," ")</f>
        <v>0</v>
      </c>
      <c r="C930" s="1">
        <f t="shared" si="929"/>
        <v>0</v>
      </c>
      <c r="D930" s="1">
        <f t="shared" si="929"/>
        <v>0</v>
      </c>
      <c r="E930" s="1">
        <f t="shared" si="929"/>
        <v>0</v>
      </c>
      <c r="F930" s="1">
        <f t="shared" si="929"/>
        <v>0</v>
      </c>
      <c r="G930" s="1">
        <f t="shared" si="929"/>
        <v>0</v>
      </c>
      <c r="H930" s="1">
        <f t="shared" si="929"/>
        <v>0</v>
      </c>
      <c r="I930" s="1">
        <f t="shared" si="929"/>
        <v>0</v>
      </c>
      <c r="J930" s="1">
        <f t="shared" si="929"/>
        <v>0</v>
      </c>
      <c r="K930" s="1">
        <f t="shared" si="929"/>
        <v>0</v>
      </c>
      <c r="L930" s="1">
        <f t="shared" si="929"/>
        <v>0</v>
      </c>
      <c r="M930" s="1">
        <f t="shared" si="929"/>
        <v>0</v>
      </c>
      <c r="N930" s="1">
        <f t="shared" si="929"/>
        <v>0</v>
      </c>
      <c r="O930" s="1">
        <f t="shared" si="929"/>
        <v>0</v>
      </c>
      <c r="P930" s="1">
        <f t="shared" si="929"/>
        <v>0</v>
      </c>
      <c r="Q930" s="1">
        <f t="shared" si="929"/>
        <v>0</v>
      </c>
      <c r="R930" s="1">
        <f t="shared" si="929"/>
        <v>0</v>
      </c>
      <c r="S930" s="1">
        <f t="shared" si="929"/>
        <v>0</v>
      </c>
      <c r="T930" s="1">
        <f t="shared" si="929"/>
        <v>0</v>
      </c>
      <c r="U930" s="1">
        <f t="shared" si="929"/>
        <v>0</v>
      </c>
    </row>
    <row r="931">
      <c r="A931" s="3">
        <f>IFERROR(__xludf.DUMMYFUNCTION("""COMPUTED_VALUE"""),44850.0)</f>
        <v>44850</v>
      </c>
      <c r="B931" s="1">
        <f t="shared" ref="B931:U931" si="930">IF($A931&gt;0,Megyeinapi!B931/'megyelakosság'!B$2*100000," ")</f>
        <v>0</v>
      </c>
      <c r="C931" s="1">
        <f t="shared" si="930"/>
        <v>0</v>
      </c>
      <c r="D931" s="1">
        <f t="shared" si="930"/>
        <v>0</v>
      </c>
      <c r="E931" s="1">
        <f t="shared" si="930"/>
        <v>0</v>
      </c>
      <c r="F931" s="1">
        <f t="shared" si="930"/>
        <v>0</v>
      </c>
      <c r="G931" s="1">
        <f t="shared" si="930"/>
        <v>0</v>
      </c>
      <c r="H931" s="1">
        <f t="shared" si="930"/>
        <v>0</v>
      </c>
      <c r="I931" s="1">
        <f t="shared" si="930"/>
        <v>0</v>
      </c>
      <c r="J931" s="1">
        <f t="shared" si="930"/>
        <v>0</v>
      </c>
      <c r="K931" s="1">
        <f t="shared" si="930"/>
        <v>0</v>
      </c>
      <c r="L931" s="1">
        <f t="shared" si="930"/>
        <v>0</v>
      </c>
      <c r="M931" s="1">
        <f t="shared" si="930"/>
        <v>0</v>
      </c>
      <c r="N931" s="1">
        <f t="shared" si="930"/>
        <v>0</v>
      </c>
      <c r="O931" s="1">
        <f t="shared" si="930"/>
        <v>0</v>
      </c>
      <c r="P931" s="1">
        <f t="shared" si="930"/>
        <v>0</v>
      </c>
      <c r="Q931" s="1">
        <f t="shared" si="930"/>
        <v>0</v>
      </c>
      <c r="R931" s="1">
        <f t="shared" si="930"/>
        <v>0</v>
      </c>
      <c r="S931" s="1">
        <f t="shared" si="930"/>
        <v>0</v>
      </c>
      <c r="T931" s="1">
        <f t="shared" si="930"/>
        <v>0</v>
      </c>
      <c r="U931" s="1">
        <f t="shared" si="930"/>
        <v>0</v>
      </c>
    </row>
    <row r="932">
      <c r="A932" s="3">
        <f>IFERROR(__xludf.DUMMYFUNCTION("""COMPUTED_VALUE"""),44851.0)</f>
        <v>44851</v>
      </c>
      <c r="B932" s="1">
        <f t="shared" ref="B932:U932" si="931">IF($A932&gt;0,Megyeinapi!B932/'megyelakosság'!B$2*100000," ")</f>
        <v>0</v>
      </c>
      <c r="C932" s="1">
        <f t="shared" si="931"/>
        <v>0</v>
      </c>
      <c r="D932" s="1">
        <f t="shared" si="931"/>
        <v>0</v>
      </c>
      <c r="E932" s="1">
        <f t="shared" si="931"/>
        <v>0</v>
      </c>
      <c r="F932" s="1">
        <f t="shared" si="931"/>
        <v>0</v>
      </c>
      <c r="G932" s="1">
        <f t="shared" si="931"/>
        <v>0</v>
      </c>
      <c r="H932" s="1">
        <f t="shared" si="931"/>
        <v>0</v>
      </c>
      <c r="I932" s="1">
        <f t="shared" si="931"/>
        <v>0</v>
      </c>
      <c r="J932" s="1">
        <f t="shared" si="931"/>
        <v>0</v>
      </c>
      <c r="K932" s="1">
        <f t="shared" si="931"/>
        <v>0</v>
      </c>
      <c r="L932" s="1">
        <f t="shared" si="931"/>
        <v>0</v>
      </c>
      <c r="M932" s="1">
        <f t="shared" si="931"/>
        <v>0</v>
      </c>
      <c r="N932" s="1">
        <f t="shared" si="931"/>
        <v>0</v>
      </c>
      <c r="O932" s="1">
        <f t="shared" si="931"/>
        <v>0</v>
      </c>
      <c r="P932" s="1">
        <f t="shared" si="931"/>
        <v>0</v>
      </c>
      <c r="Q932" s="1">
        <f t="shared" si="931"/>
        <v>0</v>
      </c>
      <c r="R932" s="1">
        <f t="shared" si="931"/>
        <v>0</v>
      </c>
      <c r="S932" s="1">
        <f t="shared" si="931"/>
        <v>0</v>
      </c>
      <c r="T932" s="1">
        <f t="shared" si="931"/>
        <v>0</v>
      </c>
      <c r="U932" s="1">
        <f t="shared" si="931"/>
        <v>0</v>
      </c>
    </row>
    <row r="933">
      <c r="A933" s="3">
        <f>IFERROR(__xludf.DUMMYFUNCTION("""COMPUTED_VALUE"""),44852.0)</f>
        <v>44852</v>
      </c>
      <c r="B933" s="1">
        <f t="shared" ref="B933:U933" si="932">IF($A933&gt;0,Megyeinapi!B933/'megyelakosság'!B$2*100000," ")</f>
        <v>0</v>
      </c>
      <c r="C933" s="1">
        <f t="shared" si="932"/>
        <v>0</v>
      </c>
      <c r="D933" s="1">
        <f t="shared" si="932"/>
        <v>0</v>
      </c>
      <c r="E933" s="1">
        <f t="shared" si="932"/>
        <v>0</v>
      </c>
      <c r="F933" s="1">
        <f t="shared" si="932"/>
        <v>0</v>
      </c>
      <c r="G933" s="1">
        <f t="shared" si="932"/>
        <v>0</v>
      </c>
      <c r="H933" s="1">
        <f t="shared" si="932"/>
        <v>0</v>
      </c>
      <c r="I933" s="1">
        <f t="shared" si="932"/>
        <v>0</v>
      </c>
      <c r="J933" s="1">
        <f t="shared" si="932"/>
        <v>0</v>
      </c>
      <c r="K933" s="1">
        <f t="shared" si="932"/>
        <v>0</v>
      </c>
      <c r="L933" s="1">
        <f t="shared" si="932"/>
        <v>0</v>
      </c>
      <c r="M933" s="1">
        <f t="shared" si="932"/>
        <v>0</v>
      </c>
      <c r="N933" s="1">
        <f t="shared" si="932"/>
        <v>0</v>
      </c>
      <c r="O933" s="1">
        <f t="shared" si="932"/>
        <v>0</v>
      </c>
      <c r="P933" s="1">
        <f t="shared" si="932"/>
        <v>0</v>
      </c>
      <c r="Q933" s="1">
        <f t="shared" si="932"/>
        <v>0</v>
      </c>
      <c r="R933" s="1">
        <f t="shared" si="932"/>
        <v>0</v>
      </c>
      <c r="S933" s="1">
        <f t="shared" si="932"/>
        <v>0</v>
      </c>
      <c r="T933" s="1">
        <f t="shared" si="932"/>
        <v>0</v>
      </c>
      <c r="U933" s="1">
        <f t="shared" si="932"/>
        <v>0</v>
      </c>
    </row>
    <row r="934">
      <c r="A934" s="3">
        <f>IFERROR(__xludf.DUMMYFUNCTION("""COMPUTED_VALUE"""),44853.0)</f>
        <v>44853</v>
      </c>
      <c r="B934" s="1">
        <f t="shared" ref="B934:U934" si="933">IF($A934&gt;0,Megyeinapi!B934/'megyelakosság'!B$2*100000," ")</f>
        <v>114.8898889</v>
      </c>
      <c r="C934" s="1">
        <f t="shared" si="933"/>
        <v>183.2312752</v>
      </c>
      <c r="D934" s="1">
        <f t="shared" si="933"/>
        <v>176.9820477</v>
      </c>
      <c r="E934" s="1">
        <f t="shared" si="933"/>
        <v>103.286326</v>
      </c>
      <c r="F934" s="1">
        <f t="shared" si="933"/>
        <v>103.9300292</v>
      </c>
      <c r="G934" s="1">
        <f t="shared" si="933"/>
        <v>131.7996044</v>
      </c>
      <c r="H934" s="1">
        <f t="shared" si="933"/>
        <v>94.60037315</v>
      </c>
      <c r="I934" s="1">
        <f t="shared" si="933"/>
        <v>163.5875986</v>
      </c>
      <c r="J934" s="1">
        <f t="shared" si="933"/>
        <v>106.8864896</v>
      </c>
      <c r="K934" s="1">
        <f t="shared" si="933"/>
        <v>105.9910504</v>
      </c>
      <c r="L934" s="1">
        <f t="shared" si="933"/>
        <v>99.48079203</v>
      </c>
      <c r="M934" s="1">
        <f t="shared" si="933"/>
        <v>90.36694962</v>
      </c>
      <c r="N934" s="1">
        <f t="shared" si="933"/>
        <v>86.65971971</v>
      </c>
      <c r="O934" s="1">
        <f t="shared" si="933"/>
        <v>106.4681112</v>
      </c>
      <c r="P934" s="1">
        <f t="shared" si="933"/>
        <v>149.3582264</v>
      </c>
      <c r="Q934" s="1">
        <f t="shared" si="933"/>
        <v>122.3981291</v>
      </c>
      <c r="R934" s="1">
        <f t="shared" si="933"/>
        <v>175.8586449</v>
      </c>
      <c r="S934" s="1">
        <f t="shared" si="933"/>
        <v>118.8335425</v>
      </c>
      <c r="T934" s="1">
        <f t="shared" si="933"/>
        <v>160.9229768</v>
      </c>
      <c r="U934" s="1">
        <f t="shared" si="933"/>
        <v>205.7836428</v>
      </c>
    </row>
    <row r="935">
      <c r="A935" s="3">
        <f>IFERROR(__xludf.DUMMYFUNCTION("""COMPUTED_VALUE"""),44854.0)</f>
        <v>44854</v>
      </c>
      <c r="B935" s="1">
        <f t="shared" ref="B935:U935" si="934">IF($A935&gt;0,Megyeinapi!B935/'megyelakosság'!B$2*100000," ")</f>
        <v>0</v>
      </c>
      <c r="C935" s="1">
        <f t="shared" si="934"/>
        <v>0</v>
      </c>
      <c r="D935" s="1">
        <f t="shared" si="934"/>
        <v>0</v>
      </c>
      <c r="E935" s="1">
        <f t="shared" si="934"/>
        <v>0</v>
      </c>
      <c r="F935" s="1">
        <f t="shared" si="934"/>
        <v>0</v>
      </c>
      <c r="G935" s="1">
        <f t="shared" si="934"/>
        <v>0</v>
      </c>
      <c r="H935" s="1">
        <f t="shared" si="934"/>
        <v>0</v>
      </c>
      <c r="I935" s="1">
        <f t="shared" si="934"/>
        <v>0</v>
      </c>
      <c r="J935" s="1">
        <f t="shared" si="934"/>
        <v>0</v>
      </c>
      <c r="K935" s="1">
        <f t="shared" si="934"/>
        <v>0</v>
      </c>
      <c r="L935" s="1">
        <f t="shared" si="934"/>
        <v>0</v>
      </c>
      <c r="M935" s="1">
        <f t="shared" si="934"/>
        <v>0</v>
      </c>
      <c r="N935" s="1">
        <f t="shared" si="934"/>
        <v>0</v>
      </c>
      <c r="O935" s="1">
        <f t="shared" si="934"/>
        <v>0</v>
      </c>
      <c r="P935" s="1">
        <f t="shared" si="934"/>
        <v>0</v>
      </c>
      <c r="Q935" s="1">
        <f t="shared" si="934"/>
        <v>0</v>
      </c>
      <c r="R935" s="1">
        <f t="shared" si="934"/>
        <v>0</v>
      </c>
      <c r="S935" s="1">
        <f t="shared" si="934"/>
        <v>0</v>
      </c>
      <c r="T935" s="1">
        <f t="shared" si="934"/>
        <v>0</v>
      </c>
      <c r="U935" s="1">
        <f t="shared" si="934"/>
        <v>0</v>
      </c>
    </row>
    <row r="936">
      <c r="A936" s="3">
        <f>IFERROR(__xludf.DUMMYFUNCTION("""COMPUTED_VALUE"""),44855.0)</f>
        <v>44855</v>
      </c>
      <c r="B936" s="1">
        <f t="shared" ref="B936:U936" si="935">IF($A936&gt;0,Megyeinapi!B936/'megyelakosság'!B$2*100000," ")</f>
        <v>0</v>
      </c>
      <c r="C936" s="1">
        <f t="shared" si="935"/>
        <v>0</v>
      </c>
      <c r="D936" s="1">
        <f t="shared" si="935"/>
        <v>0</v>
      </c>
      <c r="E936" s="1">
        <f t="shared" si="935"/>
        <v>0</v>
      </c>
      <c r="F936" s="1">
        <f t="shared" si="935"/>
        <v>0</v>
      </c>
      <c r="G936" s="1">
        <f t="shared" si="935"/>
        <v>0</v>
      </c>
      <c r="H936" s="1">
        <f t="shared" si="935"/>
        <v>0</v>
      </c>
      <c r="I936" s="1">
        <f t="shared" si="935"/>
        <v>0</v>
      </c>
      <c r="J936" s="1">
        <f t="shared" si="935"/>
        <v>0</v>
      </c>
      <c r="K936" s="1">
        <f t="shared" si="935"/>
        <v>0</v>
      </c>
      <c r="L936" s="1">
        <f t="shared" si="935"/>
        <v>0</v>
      </c>
      <c r="M936" s="1">
        <f t="shared" si="935"/>
        <v>0</v>
      </c>
      <c r="N936" s="1">
        <f t="shared" si="935"/>
        <v>0</v>
      </c>
      <c r="O936" s="1">
        <f t="shared" si="935"/>
        <v>0</v>
      </c>
      <c r="P936" s="1">
        <f t="shared" si="935"/>
        <v>0</v>
      </c>
      <c r="Q936" s="1">
        <f t="shared" si="935"/>
        <v>0</v>
      </c>
      <c r="R936" s="1">
        <f t="shared" si="935"/>
        <v>0</v>
      </c>
      <c r="S936" s="1">
        <f t="shared" si="935"/>
        <v>0</v>
      </c>
      <c r="T936" s="1">
        <f t="shared" si="935"/>
        <v>0</v>
      </c>
      <c r="U936" s="1">
        <f t="shared" si="935"/>
        <v>0</v>
      </c>
    </row>
    <row r="937">
      <c r="A937" s="3">
        <f>IFERROR(__xludf.DUMMYFUNCTION("""COMPUTED_VALUE"""),44856.0)</f>
        <v>44856</v>
      </c>
      <c r="B937" s="1">
        <f t="shared" ref="B937:U937" si="936">IF($A937&gt;0,Megyeinapi!B937/'megyelakosság'!B$2*100000," ")</f>
        <v>0</v>
      </c>
      <c r="C937" s="1">
        <f t="shared" si="936"/>
        <v>0</v>
      </c>
      <c r="D937" s="1">
        <f t="shared" si="936"/>
        <v>0</v>
      </c>
      <c r="E937" s="1">
        <f t="shared" si="936"/>
        <v>0</v>
      </c>
      <c r="F937" s="1">
        <f t="shared" si="936"/>
        <v>0</v>
      </c>
      <c r="G937" s="1">
        <f t="shared" si="936"/>
        <v>0</v>
      </c>
      <c r="H937" s="1">
        <f t="shared" si="936"/>
        <v>0</v>
      </c>
      <c r="I937" s="1">
        <f t="shared" si="936"/>
        <v>0</v>
      </c>
      <c r="J937" s="1">
        <f t="shared" si="936"/>
        <v>0</v>
      </c>
      <c r="K937" s="1">
        <f t="shared" si="936"/>
        <v>0</v>
      </c>
      <c r="L937" s="1">
        <f t="shared" si="936"/>
        <v>0</v>
      </c>
      <c r="M937" s="1">
        <f t="shared" si="936"/>
        <v>0</v>
      </c>
      <c r="N937" s="1">
        <f t="shared" si="936"/>
        <v>0</v>
      </c>
      <c r="O937" s="1">
        <f t="shared" si="936"/>
        <v>0</v>
      </c>
      <c r="P937" s="1">
        <f t="shared" si="936"/>
        <v>0</v>
      </c>
      <c r="Q937" s="1">
        <f t="shared" si="936"/>
        <v>0</v>
      </c>
      <c r="R937" s="1">
        <f t="shared" si="936"/>
        <v>0</v>
      </c>
      <c r="S937" s="1">
        <f t="shared" si="936"/>
        <v>0</v>
      </c>
      <c r="T937" s="1">
        <f t="shared" si="936"/>
        <v>0</v>
      </c>
      <c r="U937" s="1">
        <f t="shared" si="936"/>
        <v>0</v>
      </c>
    </row>
    <row r="938">
      <c r="A938" s="3">
        <f>IFERROR(__xludf.DUMMYFUNCTION("""COMPUTED_VALUE"""),44857.0)</f>
        <v>44857</v>
      </c>
      <c r="B938" s="1">
        <f t="shared" ref="B938:U938" si="937">IF($A938&gt;0,Megyeinapi!B938/'megyelakosság'!B$2*100000," ")</f>
        <v>0</v>
      </c>
      <c r="C938" s="1">
        <f t="shared" si="937"/>
        <v>0</v>
      </c>
      <c r="D938" s="1">
        <f t="shared" si="937"/>
        <v>0</v>
      </c>
      <c r="E938" s="1">
        <f t="shared" si="937"/>
        <v>0</v>
      </c>
      <c r="F938" s="1">
        <f t="shared" si="937"/>
        <v>0</v>
      </c>
      <c r="G938" s="1">
        <f t="shared" si="937"/>
        <v>0</v>
      </c>
      <c r="H938" s="1">
        <f t="shared" si="937"/>
        <v>0</v>
      </c>
      <c r="I938" s="1">
        <f t="shared" si="937"/>
        <v>0</v>
      </c>
      <c r="J938" s="1">
        <f t="shared" si="937"/>
        <v>0</v>
      </c>
      <c r="K938" s="1">
        <f t="shared" si="937"/>
        <v>0</v>
      </c>
      <c r="L938" s="1">
        <f t="shared" si="937"/>
        <v>0</v>
      </c>
      <c r="M938" s="1">
        <f t="shared" si="937"/>
        <v>0</v>
      </c>
      <c r="N938" s="1">
        <f t="shared" si="937"/>
        <v>0</v>
      </c>
      <c r="O938" s="1">
        <f t="shared" si="937"/>
        <v>0</v>
      </c>
      <c r="P938" s="1">
        <f t="shared" si="937"/>
        <v>0</v>
      </c>
      <c r="Q938" s="1">
        <f t="shared" si="937"/>
        <v>0</v>
      </c>
      <c r="R938" s="1">
        <f t="shared" si="937"/>
        <v>0</v>
      </c>
      <c r="S938" s="1">
        <f t="shared" si="937"/>
        <v>0</v>
      </c>
      <c r="T938" s="1">
        <f t="shared" si="937"/>
        <v>0</v>
      </c>
      <c r="U938" s="1">
        <f t="shared" si="937"/>
        <v>0</v>
      </c>
    </row>
    <row r="939">
      <c r="A939" s="3">
        <f>IFERROR(__xludf.DUMMYFUNCTION("""COMPUTED_VALUE"""),44858.0)</f>
        <v>44858</v>
      </c>
      <c r="B939" s="1">
        <f t="shared" ref="B939:U939" si="938">IF($A939&gt;0,Megyeinapi!B939/'megyelakosság'!B$2*100000," ")</f>
        <v>0</v>
      </c>
      <c r="C939" s="1">
        <f t="shared" si="938"/>
        <v>0</v>
      </c>
      <c r="D939" s="1">
        <f t="shared" si="938"/>
        <v>0</v>
      </c>
      <c r="E939" s="1">
        <f t="shared" si="938"/>
        <v>0</v>
      </c>
      <c r="F939" s="1">
        <f t="shared" si="938"/>
        <v>0</v>
      </c>
      <c r="G939" s="1">
        <f t="shared" si="938"/>
        <v>0</v>
      </c>
      <c r="H939" s="1">
        <f t="shared" si="938"/>
        <v>0</v>
      </c>
      <c r="I939" s="1">
        <f t="shared" si="938"/>
        <v>0</v>
      </c>
      <c r="J939" s="1">
        <f t="shared" si="938"/>
        <v>0</v>
      </c>
      <c r="K939" s="1">
        <f t="shared" si="938"/>
        <v>0</v>
      </c>
      <c r="L939" s="1">
        <f t="shared" si="938"/>
        <v>0</v>
      </c>
      <c r="M939" s="1">
        <f t="shared" si="938"/>
        <v>0</v>
      </c>
      <c r="N939" s="1">
        <f t="shared" si="938"/>
        <v>0</v>
      </c>
      <c r="O939" s="1">
        <f t="shared" si="938"/>
        <v>0</v>
      </c>
      <c r="P939" s="1">
        <f t="shared" si="938"/>
        <v>0</v>
      </c>
      <c r="Q939" s="1">
        <f t="shared" si="938"/>
        <v>0</v>
      </c>
      <c r="R939" s="1">
        <f t="shared" si="938"/>
        <v>0</v>
      </c>
      <c r="S939" s="1">
        <f t="shared" si="938"/>
        <v>0</v>
      </c>
      <c r="T939" s="1">
        <f t="shared" si="938"/>
        <v>0</v>
      </c>
      <c r="U939" s="1">
        <f t="shared" si="938"/>
        <v>0</v>
      </c>
    </row>
    <row r="940">
      <c r="A940" s="3">
        <f>IFERROR(__xludf.DUMMYFUNCTION("""COMPUTED_VALUE"""),44859.0)</f>
        <v>44859</v>
      </c>
      <c r="B940" s="1">
        <f t="shared" ref="B940:U940" si="939">IF($A940&gt;0,Megyeinapi!B940/'megyelakosság'!B$2*100000," ")</f>
        <v>0</v>
      </c>
      <c r="C940" s="1">
        <f t="shared" si="939"/>
        <v>0</v>
      </c>
      <c r="D940" s="1">
        <f t="shared" si="939"/>
        <v>0</v>
      </c>
      <c r="E940" s="1">
        <f t="shared" si="939"/>
        <v>0</v>
      </c>
      <c r="F940" s="1">
        <f t="shared" si="939"/>
        <v>0</v>
      </c>
      <c r="G940" s="1">
        <f t="shared" si="939"/>
        <v>0</v>
      </c>
      <c r="H940" s="1">
        <f t="shared" si="939"/>
        <v>0</v>
      </c>
      <c r="I940" s="1">
        <f t="shared" si="939"/>
        <v>0</v>
      </c>
      <c r="J940" s="1">
        <f t="shared" si="939"/>
        <v>0</v>
      </c>
      <c r="K940" s="1">
        <f t="shared" si="939"/>
        <v>0</v>
      </c>
      <c r="L940" s="1">
        <f t="shared" si="939"/>
        <v>0</v>
      </c>
      <c r="M940" s="1">
        <f t="shared" si="939"/>
        <v>0</v>
      </c>
      <c r="N940" s="1">
        <f t="shared" si="939"/>
        <v>0</v>
      </c>
      <c r="O940" s="1">
        <f t="shared" si="939"/>
        <v>0</v>
      </c>
      <c r="P940" s="1">
        <f t="shared" si="939"/>
        <v>0</v>
      </c>
      <c r="Q940" s="1">
        <f t="shared" si="939"/>
        <v>0</v>
      </c>
      <c r="R940" s="1">
        <f t="shared" si="939"/>
        <v>0</v>
      </c>
      <c r="S940" s="1">
        <f t="shared" si="939"/>
        <v>0</v>
      </c>
      <c r="T940" s="1">
        <f t="shared" si="939"/>
        <v>0</v>
      </c>
      <c r="U940" s="1">
        <f t="shared" si="939"/>
        <v>0</v>
      </c>
    </row>
    <row r="941">
      <c r="A941" s="3">
        <f>IFERROR(__xludf.DUMMYFUNCTION("""COMPUTED_VALUE"""),44860.0)</f>
        <v>44860</v>
      </c>
      <c r="B941" s="1">
        <f t="shared" ref="B941:U941" si="940">IF($A941&gt;0,Megyeinapi!B941/'megyelakosság'!B$2*100000," ")</f>
        <v>100.5535423</v>
      </c>
      <c r="C941" s="1">
        <f t="shared" si="940"/>
        <v>149.5367702</v>
      </c>
      <c r="D941" s="1">
        <f t="shared" si="940"/>
        <v>108.6094959</v>
      </c>
      <c r="E941" s="1">
        <f t="shared" si="940"/>
        <v>77.70019967</v>
      </c>
      <c r="F941" s="1">
        <f t="shared" si="940"/>
        <v>82.10415172</v>
      </c>
      <c r="G941" s="1">
        <f t="shared" si="940"/>
        <v>90.12582469</v>
      </c>
      <c r="H941" s="1">
        <f t="shared" si="940"/>
        <v>75.72807648</v>
      </c>
      <c r="I941" s="1">
        <f t="shared" si="940"/>
        <v>117.723892</v>
      </c>
      <c r="J941" s="1">
        <f t="shared" si="940"/>
        <v>76.8899259</v>
      </c>
      <c r="K941" s="1">
        <f t="shared" si="940"/>
        <v>81.11212217</v>
      </c>
      <c r="L941" s="1">
        <f t="shared" si="940"/>
        <v>65.68457775</v>
      </c>
      <c r="M941" s="1">
        <f t="shared" si="940"/>
        <v>68.77190651</v>
      </c>
      <c r="N941" s="1">
        <f t="shared" si="940"/>
        <v>77.62158943</v>
      </c>
      <c r="O941" s="1">
        <f t="shared" si="940"/>
        <v>84.88152821</v>
      </c>
      <c r="P941" s="1">
        <f t="shared" si="940"/>
        <v>115.0191699</v>
      </c>
      <c r="Q941" s="1">
        <f t="shared" si="940"/>
        <v>83.78443358</v>
      </c>
      <c r="R941" s="1">
        <f t="shared" si="940"/>
        <v>134.5620238</v>
      </c>
      <c r="S941" s="1">
        <f t="shared" si="940"/>
        <v>86.56748132</v>
      </c>
      <c r="T941" s="1">
        <f t="shared" si="940"/>
        <v>116.36871</v>
      </c>
      <c r="U941" s="1">
        <f t="shared" si="940"/>
        <v>152.2798957</v>
      </c>
    </row>
    <row r="942">
      <c r="A942" s="3">
        <f>IFERROR(__xludf.DUMMYFUNCTION("""COMPUTED_VALUE"""),44861.0)</f>
        <v>44861</v>
      </c>
      <c r="B942" s="1">
        <f t="shared" ref="B942:U942" si="941">IF($A942&gt;0,Megyeinapi!B942/'megyelakosság'!B$2*100000," ")</f>
        <v>0</v>
      </c>
      <c r="C942" s="1">
        <f t="shared" si="941"/>
        <v>0</v>
      </c>
      <c r="D942" s="1">
        <f t="shared" si="941"/>
        <v>0</v>
      </c>
      <c r="E942" s="1">
        <f t="shared" si="941"/>
        <v>0</v>
      </c>
      <c r="F942" s="1">
        <f t="shared" si="941"/>
        <v>0</v>
      </c>
      <c r="G942" s="1">
        <f t="shared" si="941"/>
        <v>0</v>
      </c>
      <c r="H942" s="1">
        <f t="shared" si="941"/>
        <v>0</v>
      </c>
      <c r="I942" s="1">
        <f t="shared" si="941"/>
        <v>0</v>
      </c>
      <c r="J942" s="1">
        <f t="shared" si="941"/>
        <v>0</v>
      </c>
      <c r="K942" s="1">
        <f t="shared" si="941"/>
        <v>0</v>
      </c>
      <c r="L942" s="1">
        <f t="shared" si="941"/>
        <v>0</v>
      </c>
      <c r="M942" s="1">
        <f t="shared" si="941"/>
        <v>0</v>
      </c>
      <c r="N942" s="1">
        <f t="shared" si="941"/>
        <v>0</v>
      </c>
      <c r="O942" s="1">
        <f t="shared" si="941"/>
        <v>0</v>
      </c>
      <c r="P942" s="1">
        <f t="shared" si="941"/>
        <v>0</v>
      </c>
      <c r="Q942" s="1">
        <f t="shared" si="941"/>
        <v>0</v>
      </c>
      <c r="R942" s="1">
        <f t="shared" si="941"/>
        <v>0</v>
      </c>
      <c r="S942" s="1">
        <f t="shared" si="941"/>
        <v>0</v>
      </c>
      <c r="T942" s="1">
        <f t="shared" si="941"/>
        <v>0</v>
      </c>
      <c r="U942" s="1">
        <f t="shared" si="941"/>
        <v>0</v>
      </c>
    </row>
    <row r="943">
      <c r="A943" s="3">
        <f>IFERROR(__xludf.DUMMYFUNCTION("""COMPUTED_VALUE"""),44862.0)</f>
        <v>44862</v>
      </c>
      <c r="B943" s="1">
        <f t="shared" ref="B943:U943" si="942">IF($A943&gt;0,Megyeinapi!B943/'megyelakosság'!B$2*100000," ")</f>
        <v>0</v>
      </c>
      <c r="C943" s="1">
        <f t="shared" si="942"/>
        <v>0</v>
      </c>
      <c r="D943" s="1">
        <f t="shared" si="942"/>
        <v>0</v>
      </c>
      <c r="E943" s="1">
        <f t="shared" si="942"/>
        <v>0</v>
      </c>
      <c r="F943" s="1">
        <f t="shared" si="942"/>
        <v>0</v>
      </c>
      <c r="G943" s="1">
        <f t="shared" si="942"/>
        <v>0</v>
      </c>
      <c r="H943" s="1">
        <f t="shared" si="942"/>
        <v>0</v>
      </c>
      <c r="I943" s="1">
        <f t="shared" si="942"/>
        <v>0</v>
      </c>
      <c r="J943" s="1">
        <f t="shared" si="942"/>
        <v>0</v>
      </c>
      <c r="K943" s="1">
        <f t="shared" si="942"/>
        <v>0</v>
      </c>
      <c r="L943" s="1">
        <f t="shared" si="942"/>
        <v>0</v>
      </c>
      <c r="M943" s="1">
        <f t="shared" si="942"/>
        <v>0</v>
      </c>
      <c r="N943" s="1">
        <f t="shared" si="942"/>
        <v>0</v>
      </c>
      <c r="O943" s="1">
        <f t="shared" si="942"/>
        <v>0</v>
      </c>
      <c r="P943" s="1">
        <f t="shared" si="942"/>
        <v>0</v>
      </c>
      <c r="Q943" s="1">
        <f t="shared" si="942"/>
        <v>0</v>
      </c>
      <c r="R943" s="1">
        <f t="shared" si="942"/>
        <v>0</v>
      </c>
      <c r="S943" s="1">
        <f t="shared" si="942"/>
        <v>0</v>
      </c>
      <c r="T943" s="1">
        <f t="shared" si="942"/>
        <v>0</v>
      </c>
      <c r="U943" s="1">
        <f t="shared" si="942"/>
        <v>0</v>
      </c>
    </row>
    <row r="944">
      <c r="A944" s="3">
        <f>IFERROR(__xludf.DUMMYFUNCTION("""COMPUTED_VALUE"""),44863.0)</f>
        <v>44863</v>
      </c>
      <c r="B944" s="1">
        <f t="shared" ref="B944:U944" si="943">IF($A944&gt;0,Megyeinapi!B944/'megyelakosság'!B$2*100000," ")</f>
        <v>0</v>
      </c>
      <c r="C944" s="1">
        <f t="shared" si="943"/>
        <v>0</v>
      </c>
      <c r="D944" s="1">
        <f t="shared" si="943"/>
        <v>0</v>
      </c>
      <c r="E944" s="1">
        <f t="shared" si="943"/>
        <v>0</v>
      </c>
      <c r="F944" s="1">
        <f t="shared" si="943"/>
        <v>0</v>
      </c>
      <c r="G944" s="1">
        <f t="shared" si="943"/>
        <v>0</v>
      </c>
      <c r="H944" s="1">
        <f t="shared" si="943"/>
        <v>0</v>
      </c>
      <c r="I944" s="1">
        <f t="shared" si="943"/>
        <v>0</v>
      </c>
      <c r="J944" s="1">
        <f t="shared" si="943"/>
        <v>0</v>
      </c>
      <c r="K944" s="1">
        <f t="shared" si="943"/>
        <v>0</v>
      </c>
      <c r="L944" s="1">
        <f t="shared" si="943"/>
        <v>0</v>
      </c>
      <c r="M944" s="1">
        <f t="shared" si="943"/>
        <v>0</v>
      </c>
      <c r="N944" s="1">
        <f t="shared" si="943"/>
        <v>0</v>
      </c>
      <c r="O944" s="1">
        <f t="shared" si="943"/>
        <v>0</v>
      </c>
      <c r="P944" s="1">
        <f t="shared" si="943"/>
        <v>0</v>
      </c>
      <c r="Q944" s="1">
        <f t="shared" si="943"/>
        <v>0</v>
      </c>
      <c r="R944" s="1">
        <f t="shared" si="943"/>
        <v>0</v>
      </c>
      <c r="S944" s="1">
        <f t="shared" si="943"/>
        <v>0</v>
      </c>
      <c r="T944" s="1">
        <f t="shared" si="943"/>
        <v>0</v>
      </c>
      <c r="U944" s="1">
        <f t="shared" si="943"/>
        <v>0</v>
      </c>
    </row>
    <row r="945">
      <c r="A945" s="3">
        <f>IFERROR(__xludf.DUMMYFUNCTION("""COMPUTED_VALUE"""),44864.0)</f>
        <v>44864</v>
      </c>
      <c r="B945" s="1">
        <f t="shared" ref="B945:U945" si="944">IF($A945&gt;0,Megyeinapi!B945/'megyelakosság'!B$2*100000," ")</f>
        <v>0</v>
      </c>
      <c r="C945" s="1">
        <f t="shared" si="944"/>
        <v>0</v>
      </c>
      <c r="D945" s="1">
        <f t="shared" si="944"/>
        <v>0</v>
      </c>
      <c r="E945" s="1">
        <f t="shared" si="944"/>
        <v>0</v>
      </c>
      <c r="F945" s="1">
        <f t="shared" si="944"/>
        <v>0</v>
      </c>
      <c r="G945" s="1">
        <f t="shared" si="944"/>
        <v>0</v>
      </c>
      <c r="H945" s="1">
        <f t="shared" si="944"/>
        <v>0</v>
      </c>
      <c r="I945" s="1">
        <f t="shared" si="944"/>
        <v>0</v>
      </c>
      <c r="J945" s="1">
        <f t="shared" si="944"/>
        <v>0</v>
      </c>
      <c r="K945" s="1">
        <f t="shared" si="944"/>
        <v>0</v>
      </c>
      <c r="L945" s="1">
        <f t="shared" si="944"/>
        <v>0</v>
      </c>
      <c r="M945" s="1">
        <f t="shared" si="944"/>
        <v>0</v>
      </c>
      <c r="N945" s="1">
        <f t="shared" si="944"/>
        <v>0</v>
      </c>
      <c r="O945" s="1">
        <f t="shared" si="944"/>
        <v>0</v>
      </c>
      <c r="P945" s="1">
        <f t="shared" si="944"/>
        <v>0</v>
      </c>
      <c r="Q945" s="1">
        <f t="shared" si="944"/>
        <v>0</v>
      </c>
      <c r="R945" s="1">
        <f t="shared" si="944"/>
        <v>0</v>
      </c>
      <c r="S945" s="1">
        <f t="shared" si="944"/>
        <v>0</v>
      </c>
      <c r="T945" s="1">
        <f t="shared" si="944"/>
        <v>0</v>
      </c>
      <c r="U945" s="1">
        <f t="shared" si="944"/>
        <v>0</v>
      </c>
    </row>
    <row r="946">
      <c r="A946" s="3">
        <f>IFERROR(__xludf.DUMMYFUNCTION("""COMPUTED_VALUE"""),44865.0)</f>
        <v>44865</v>
      </c>
      <c r="B946" s="1">
        <f t="shared" ref="B946:U946" si="945">IF($A946&gt;0,Megyeinapi!B946/'megyelakosság'!B$2*100000," ")</f>
        <v>0</v>
      </c>
      <c r="C946" s="1">
        <f t="shared" si="945"/>
        <v>0</v>
      </c>
      <c r="D946" s="1">
        <f t="shared" si="945"/>
        <v>0</v>
      </c>
      <c r="E946" s="1">
        <f t="shared" si="945"/>
        <v>0</v>
      </c>
      <c r="F946" s="1">
        <f t="shared" si="945"/>
        <v>0</v>
      </c>
      <c r="G946" s="1">
        <f t="shared" si="945"/>
        <v>0</v>
      </c>
      <c r="H946" s="1">
        <f t="shared" si="945"/>
        <v>0</v>
      </c>
      <c r="I946" s="1">
        <f t="shared" si="945"/>
        <v>0</v>
      </c>
      <c r="J946" s="1">
        <f t="shared" si="945"/>
        <v>0</v>
      </c>
      <c r="K946" s="1">
        <f t="shared" si="945"/>
        <v>0</v>
      </c>
      <c r="L946" s="1">
        <f t="shared" si="945"/>
        <v>0</v>
      </c>
      <c r="M946" s="1">
        <f t="shared" si="945"/>
        <v>0</v>
      </c>
      <c r="N946" s="1">
        <f t="shared" si="945"/>
        <v>0</v>
      </c>
      <c r="O946" s="1">
        <f t="shared" si="945"/>
        <v>0</v>
      </c>
      <c r="P946" s="1">
        <f t="shared" si="945"/>
        <v>0</v>
      </c>
      <c r="Q946" s="1">
        <f t="shared" si="945"/>
        <v>0</v>
      </c>
      <c r="R946" s="1">
        <f t="shared" si="945"/>
        <v>0</v>
      </c>
      <c r="S946" s="1">
        <f t="shared" si="945"/>
        <v>0</v>
      </c>
      <c r="T946" s="1">
        <f t="shared" si="945"/>
        <v>0</v>
      </c>
      <c r="U946" s="1">
        <f t="shared" si="945"/>
        <v>0</v>
      </c>
    </row>
    <row r="947">
      <c r="A947" s="3">
        <f>IFERROR(__xludf.DUMMYFUNCTION("""COMPUTED_VALUE"""),44866.0)</f>
        <v>44866</v>
      </c>
      <c r="B947" s="1">
        <f t="shared" ref="B947:U947" si="946">IF($A947&gt;0,Megyeinapi!B947/'megyelakosság'!B$2*100000," ")</f>
        <v>0</v>
      </c>
      <c r="C947" s="1">
        <f t="shared" si="946"/>
        <v>0</v>
      </c>
      <c r="D947" s="1">
        <f t="shared" si="946"/>
        <v>0</v>
      </c>
      <c r="E947" s="1">
        <f t="shared" si="946"/>
        <v>0</v>
      </c>
      <c r="F947" s="1">
        <f t="shared" si="946"/>
        <v>0</v>
      </c>
      <c r="G947" s="1">
        <f t="shared" si="946"/>
        <v>0</v>
      </c>
      <c r="H947" s="1">
        <f t="shared" si="946"/>
        <v>0</v>
      </c>
      <c r="I947" s="1">
        <f t="shared" si="946"/>
        <v>0</v>
      </c>
      <c r="J947" s="1">
        <f t="shared" si="946"/>
        <v>0</v>
      </c>
      <c r="K947" s="1">
        <f t="shared" si="946"/>
        <v>0</v>
      </c>
      <c r="L947" s="1">
        <f t="shared" si="946"/>
        <v>0</v>
      </c>
      <c r="M947" s="1">
        <f t="shared" si="946"/>
        <v>0</v>
      </c>
      <c r="N947" s="1">
        <f t="shared" si="946"/>
        <v>0</v>
      </c>
      <c r="O947" s="1">
        <f t="shared" si="946"/>
        <v>0</v>
      </c>
      <c r="P947" s="1">
        <f t="shared" si="946"/>
        <v>0</v>
      </c>
      <c r="Q947" s="1">
        <f t="shared" si="946"/>
        <v>0</v>
      </c>
      <c r="R947" s="1">
        <f t="shared" si="946"/>
        <v>0</v>
      </c>
      <c r="S947" s="1">
        <f t="shared" si="946"/>
        <v>0</v>
      </c>
      <c r="T947" s="1">
        <f t="shared" si="946"/>
        <v>0</v>
      </c>
      <c r="U947" s="1">
        <f t="shared" si="946"/>
        <v>0</v>
      </c>
    </row>
    <row r="948">
      <c r="A948" s="3">
        <f>IFERROR(__xludf.DUMMYFUNCTION("""COMPUTED_VALUE"""),44867.0)</f>
        <v>44867</v>
      </c>
      <c r="B948" s="1">
        <f t="shared" ref="B948:U948" si="947">IF($A948&gt;0,Megyeinapi!B948/'megyelakosság'!B$2*100000," ")</f>
        <v>0</v>
      </c>
      <c r="C948" s="1">
        <f t="shared" si="947"/>
        <v>0</v>
      </c>
      <c r="D948" s="1">
        <f t="shared" si="947"/>
        <v>0</v>
      </c>
      <c r="E948" s="1">
        <f t="shared" si="947"/>
        <v>0</v>
      </c>
      <c r="F948" s="1">
        <f t="shared" si="947"/>
        <v>0</v>
      </c>
      <c r="G948" s="1">
        <f t="shared" si="947"/>
        <v>0</v>
      </c>
      <c r="H948" s="1">
        <f t="shared" si="947"/>
        <v>0</v>
      </c>
      <c r="I948" s="1">
        <f t="shared" si="947"/>
        <v>0</v>
      </c>
      <c r="J948" s="1">
        <f t="shared" si="947"/>
        <v>0</v>
      </c>
      <c r="K948" s="1">
        <f t="shared" si="947"/>
        <v>0</v>
      </c>
      <c r="L948" s="1">
        <f t="shared" si="947"/>
        <v>0</v>
      </c>
      <c r="M948" s="1">
        <f t="shared" si="947"/>
        <v>0</v>
      </c>
      <c r="N948" s="1">
        <f t="shared" si="947"/>
        <v>0</v>
      </c>
      <c r="O948" s="1">
        <f t="shared" si="947"/>
        <v>0</v>
      </c>
      <c r="P948" s="1">
        <f t="shared" si="947"/>
        <v>0</v>
      </c>
      <c r="Q948" s="1">
        <f t="shared" si="947"/>
        <v>0</v>
      </c>
      <c r="R948" s="1">
        <f t="shared" si="947"/>
        <v>0</v>
      </c>
      <c r="S948" s="1">
        <f t="shared" si="947"/>
        <v>0</v>
      </c>
      <c r="T948" s="1">
        <f t="shared" si="947"/>
        <v>0</v>
      </c>
      <c r="U948" s="1">
        <f t="shared" si="947"/>
        <v>0</v>
      </c>
    </row>
    <row r="949">
      <c r="A949" s="3">
        <f>IFERROR(__xludf.DUMMYFUNCTION("""COMPUTED_VALUE"""),44868.0)</f>
        <v>44868</v>
      </c>
      <c r="B949" s="1">
        <f t="shared" ref="B949:U949" si="948">IF($A949&gt;0,Megyeinapi!B949/'megyelakosság'!B$2*100000," ")</f>
        <v>0</v>
      </c>
      <c r="C949" s="1">
        <f t="shared" si="948"/>
        <v>0</v>
      </c>
      <c r="D949" s="1">
        <f t="shared" si="948"/>
        <v>0</v>
      </c>
      <c r="E949" s="1">
        <f t="shared" si="948"/>
        <v>0</v>
      </c>
      <c r="F949" s="1">
        <f t="shared" si="948"/>
        <v>0</v>
      </c>
      <c r="G949" s="1">
        <f t="shared" si="948"/>
        <v>0</v>
      </c>
      <c r="H949" s="1">
        <f t="shared" si="948"/>
        <v>0</v>
      </c>
      <c r="I949" s="1">
        <f t="shared" si="948"/>
        <v>0</v>
      </c>
      <c r="J949" s="1">
        <f t="shared" si="948"/>
        <v>0</v>
      </c>
      <c r="K949" s="1">
        <f t="shared" si="948"/>
        <v>0</v>
      </c>
      <c r="L949" s="1">
        <f t="shared" si="948"/>
        <v>0</v>
      </c>
      <c r="M949" s="1">
        <f t="shared" si="948"/>
        <v>0</v>
      </c>
      <c r="N949" s="1">
        <f t="shared" si="948"/>
        <v>0</v>
      </c>
      <c r="O949" s="1">
        <f t="shared" si="948"/>
        <v>0</v>
      </c>
      <c r="P949" s="1">
        <f t="shared" si="948"/>
        <v>0</v>
      </c>
      <c r="Q949" s="1">
        <f t="shared" si="948"/>
        <v>0</v>
      </c>
      <c r="R949" s="1">
        <f t="shared" si="948"/>
        <v>0</v>
      </c>
      <c r="S949" s="1">
        <f t="shared" si="948"/>
        <v>0</v>
      </c>
      <c r="T949" s="1">
        <f t="shared" si="948"/>
        <v>0</v>
      </c>
      <c r="U949" s="1">
        <f t="shared" si="948"/>
        <v>0</v>
      </c>
    </row>
    <row r="950">
      <c r="A950" s="3">
        <f>IFERROR(__xludf.DUMMYFUNCTION("""COMPUTED_VALUE"""),44869.0)</f>
        <v>44869</v>
      </c>
      <c r="B950" s="1">
        <f t="shared" ref="B950:U950" si="949">IF($A950&gt;0,Megyeinapi!B950/'megyelakosság'!B$2*100000," ")</f>
        <v>0</v>
      </c>
      <c r="C950" s="1">
        <f t="shared" si="949"/>
        <v>0</v>
      </c>
      <c r="D950" s="1">
        <f t="shared" si="949"/>
        <v>0</v>
      </c>
      <c r="E950" s="1">
        <f t="shared" si="949"/>
        <v>0</v>
      </c>
      <c r="F950" s="1">
        <f t="shared" si="949"/>
        <v>0</v>
      </c>
      <c r="G950" s="1">
        <f t="shared" si="949"/>
        <v>0</v>
      </c>
      <c r="H950" s="1">
        <f t="shared" si="949"/>
        <v>0</v>
      </c>
      <c r="I950" s="1">
        <f t="shared" si="949"/>
        <v>0</v>
      </c>
      <c r="J950" s="1">
        <f t="shared" si="949"/>
        <v>0</v>
      </c>
      <c r="K950" s="1">
        <f t="shared" si="949"/>
        <v>0</v>
      </c>
      <c r="L950" s="1">
        <f t="shared" si="949"/>
        <v>0</v>
      </c>
      <c r="M950" s="1">
        <f t="shared" si="949"/>
        <v>0</v>
      </c>
      <c r="N950" s="1">
        <f t="shared" si="949"/>
        <v>0</v>
      </c>
      <c r="O950" s="1">
        <f t="shared" si="949"/>
        <v>0</v>
      </c>
      <c r="P950" s="1">
        <f t="shared" si="949"/>
        <v>0</v>
      </c>
      <c r="Q950" s="1">
        <f t="shared" si="949"/>
        <v>0</v>
      </c>
      <c r="R950" s="1">
        <f t="shared" si="949"/>
        <v>0</v>
      </c>
      <c r="S950" s="1">
        <f t="shared" si="949"/>
        <v>0</v>
      </c>
      <c r="T950" s="1">
        <f t="shared" si="949"/>
        <v>0</v>
      </c>
      <c r="U950" s="1">
        <f t="shared" si="949"/>
        <v>0</v>
      </c>
    </row>
    <row r="951">
      <c r="A951" s="3">
        <f>IFERROR(__xludf.DUMMYFUNCTION("""COMPUTED_VALUE"""),44870.0)</f>
        <v>44870</v>
      </c>
      <c r="B951" s="1">
        <f t="shared" ref="B951:U951" si="950">IF($A951&gt;0,Megyeinapi!B951/'megyelakosság'!B$2*100000," ")</f>
        <v>0</v>
      </c>
      <c r="C951" s="1">
        <f t="shared" si="950"/>
        <v>0</v>
      </c>
      <c r="D951" s="1">
        <f t="shared" si="950"/>
        <v>0</v>
      </c>
      <c r="E951" s="1">
        <f t="shared" si="950"/>
        <v>0</v>
      </c>
      <c r="F951" s="1">
        <f t="shared" si="950"/>
        <v>0</v>
      </c>
      <c r="G951" s="1">
        <f t="shared" si="950"/>
        <v>0</v>
      </c>
      <c r="H951" s="1">
        <f t="shared" si="950"/>
        <v>0</v>
      </c>
      <c r="I951" s="1">
        <f t="shared" si="950"/>
        <v>0</v>
      </c>
      <c r="J951" s="1">
        <f t="shared" si="950"/>
        <v>0</v>
      </c>
      <c r="K951" s="1">
        <f t="shared" si="950"/>
        <v>0</v>
      </c>
      <c r="L951" s="1">
        <f t="shared" si="950"/>
        <v>0</v>
      </c>
      <c r="M951" s="1">
        <f t="shared" si="950"/>
        <v>0</v>
      </c>
      <c r="N951" s="1">
        <f t="shared" si="950"/>
        <v>0</v>
      </c>
      <c r="O951" s="1">
        <f t="shared" si="950"/>
        <v>0</v>
      </c>
      <c r="P951" s="1">
        <f t="shared" si="950"/>
        <v>0</v>
      </c>
      <c r="Q951" s="1">
        <f t="shared" si="950"/>
        <v>0</v>
      </c>
      <c r="R951" s="1">
        <f t="shared" si="950"/>
        <v>0</v>
      </c>
      <c r="S951" s="1">
        <f t="shared" si="950"/>
        <v>0</v>
      </c>
      <c r="T951" s="1">
        <f t="shared" si="950"/>
        <v>0</v>
      </c>
      <c r="U951" s="1">
        <f t="shared" si="950"/>
        <v>0</v>
      </c>
    </row>
    <row r="952">
      <c r="A952" s="3">
        <f>IFERROR(__xludf.DUMMYFUNCTION("""COMPUTED_VALUE"""),44871.0)</f>
        <v>44871</v>
      </c>
      <c r="B952" s="1">
        <f t="shared" ref="B952:U952" si="951">IF($A952&gt;0,Megyeinapi!B952/'megyelakosság'!B$2*100000," ")</f>
        <v>0</v>
      </c>
      <c r="C952" s="1">
        <f t="shared" si="951"/>
        <v>0</v>
      </c>
      <c r="D952" s="1">
        <f t="shared" si="951"/>
        <v>0</v>
      </c>
      <c r="E952" s="1">
        <f t="shared" si="951"/>
        <v>0</v>
      </c>
      <c r="F952" s="1">
        <f t="shared" si="951"/>
        <v>0</v>
      </c>
      <c r="G952" s="1">
        <f t="shared" si="951"/>
        <v>0</v>
      </c>
      <c r="H952" s="1">
        <f t="shared" si="951"/>
        <v>0</v>
      </c>
      <c r="I952" s="1">
        <f t="shared" si="951"/>
        <v>0</v>
      </c>
      <c r="J952" s="1">
        <f t="shared" si="951"/>
        <v>0</v>
      </c>
      <c r="K952" s="1">
        <f t="shared" si="951"/>
        <v>0</v>
      </c>
      <c r="L952" s="1">
        <f t="shared" si="951"/>
        <v>0</v>
      </c>
      <c r="M952" s="1">
        <f t="shared" si="951"/>
        <v>0</v>
      </c>
      <c r="N952" s="1">
        <f t="shared" si="951"/>
        <v>0</v>
      </c>
      <c r="O952" s="1">
        <f t="shared" si="951"/>
        <v>0</v>
      </c>
      <c r="P952" s="1">
        <f t="shared" si="951"/>
        <v>0</v>
      </c>
      <c r="Q952" s="1">
        <f t="shared" si="951"/>
        <v>0</v>
      </c>
      <c r="R952" s="1">
        <f t="shared" si="951"/>
        <v>0</v>
      </c>
      <c r="S952" s="1">
        <f t="shared" si="951"/>
        <v>0</v>
      </c>
      <c r="T952" s="1">
        <f t="shared" si="951"/>
        <v>0</v>
      </c>
      <c r="U952" s="1">
        <f t="shared" si="951"/>
        <v>0</v>
      </c>
    </row>
    <row r="953">
      <c r="A953" s="3">
        <f>IFERROR(__xludf.DUMMYFUNCTION("""COMPUTED_VALUE"""),44872.0)</f>
        <v>44872</v>
      </c>
      <c r="B953" s="1">
        <f t="shared" ref="B953:U953" si="952">IF($A953&gt;0,Megyeinapi!B953/'megyelakosság'!B$2*100000," ")</f>
        <v>0</v>
      </c>
      <c r="C953" s="1">
        <f t="shared" si="952"/>
        <v>0</v>
      </c>
      <c r="D953" s="1">
        <f t="shared" si="952"/>
        <v>0</v>
      </c>
      <c r="E953" s="1">
        <f t="shared" si="952"/>
        <v>0</v>
      </c>
      <c r="F953" s="1">
        <f t="shared" si="952"/>
        <v>0</v>
      </c>
      <c r="G953" s="1">
        <f t="shared" si="952"/>
        <v>0</v>
      </c>
      <c r="H953" s="1">
        <f t="shared" si="952"/>
        <v>0</v>
      </c>
      <c r="I953" s="1">
        <f t="shared" si="952"/>
        <v>0</v>
      </c>
      <c r="J953" s="1">
        <f t="shared" si="952"/>
        <v>0</v>
      </c>
      <c r="K953" s="1">
        <f t="shared" si="952"/>
        <v>0</v>
      </c>
      <c r="L953" s="1">
        <f t="shared" si="952"/>
        <v>0</v>
      </c>
      <c r="M953" s="1">
        <f t="shared" si="952"/>
        <v>0</v>
      </c>
      <c r="N953" s="1">
        <f t="shared" si="952"/>
        <v>0</v>
      </c>
      <c r="O953" s="1">
        <f t="shared" si="952"/>
        <v>0</v>
      </c>
      <c r="P953" s="1">
        <f t="shared" si="952"/>
        <v>0</v>
      </c>
      <c r="Q953" s="1">
        <f t="shared" si="952"/>
        <v>0</v>
      </c>
      <c r="R953" s="1">
        <f t="shared" si="952"/>
        <v>0</v>
      </c>
      <c r="S953" s="1">
        <f t="shared" si="952"/>
        <v>0</v>
      </c>
      <c r="T953" s="1">
        <f t="shared" si="952"/>
        <v>0</v>
      </c>
      <c r="U953" s="1">
        <f t="shared" si="952"/>
        <v>0</v>
      </c>
    </row>
    <row r="954">
      <c r="A954" s="3">
        <f>IFERROR(__xludf.DUMMYFUNCTION("""COMPUTED_VALUE"""),44873.0)</f>
        <v>44873</v>
      </c>
      <c r="B954" s="1">
        <f t="shared" ref="B954:U954" si="953">IF($A954&gt;0,Megyeinapi!B954/'megyelakosság'!B$2*100000," ")</f>
        <v>0</v>
      </c>
      <c r="C954" s="1">
        <f t="shared" si="953"/>
        <v>0</v>
      </c>
      <c r="D954" s="1">
        <f t="shared" si="953"/>
        <v>0</v>
      </c>
      <c r="E954" s="1">
        <f t="shared" si="953"/>
        <v>0</v>
      </c>
      <c r="F954" s="1">
        <f t="shared" si="953"/>
        <v>0</v>
      </c>
      <c r="G954" s="1">
        <f t="shared" si="953"/>
        <v>0</v>
      </c>
      <c r="H954" s="1">
        <f t="shared" si="953"/>
        <v>0</v>
      </c>
      <c r="I954" s="1">
        <f t="shared" si="953"/>
        <v>0</v>
      </c>
      <c r="J954" s="1">
        <f t="shared" si="953"/>
        <v>0</v>
      </c>
      <c r="K954" s="1">
        <f t="shared" si="953"/>
        <v>0</v>
      </c>
      <c r="L954" s="1">
        <f t="shared" si="953"/>
        <v>0</v>
      </c>
      <c r="M954" s="1">
        <f t="shared" si="953"/>
        <v>0</v>
      </c>
      <c r="N954" s="1">
        <f t="shared" si="953"/>
        <v>0</v>
      </c>
      <c r="O954" s="1">
        <f t="shared" si="953"/>
        <v>0</v>
      </c>
      <c r="P954" s="1">
        <f t="shared" si="953"/>
        <v>0</v>
      </c>
      <c r="Q954" s="1">
        <f t="shared" si="953"/>
        <v>0</v>
      </c>
      <c r="R954" s="1">
        <f t="shared" si="953"/>
        <v>0</v>
      </c>
      <c r="S954" s="1">
        <f t="shared" si="953"/>
        <v>0</v>
      </c>
      <c r="T954" s="1">
        <f t="shared" si="953"/>
        <v>0</v>
      </c>
      <c r="U954" s="1">
        <f t="shared" si="953"/>
        <v>0</v>
      </c>
    </row>
    <row r="955">
      <c r="A955" s="3">
        <f>IFERROR(__xludf.DUMMYFUNCTION("""COMPUTED_VALUE"""),44874.0)</f>
        <v>44874</v>
      </c>
      <c r="B955" s="1">
        <f t="shared" ref="B955:U955" si="954">IF($A955&gt;0,Megyeinapi!B955/'megyelakosság'!B$2*100000," ")</f>
        <v>145.3546255</v>
      </c>
      <c r="C955" s="1">
        <f t="shared" si="954"/>
        <v>184.0666761</v>
      </c>
      <c r="D955" s="1">
        <f t="shared" si="954"/>
        <v>153.3844413</v>
      </c>
      <c r="E955" s="1">
        <f t="shared" si="954"/>
        <v>90.25780769</v>
      </c>
      <c r="F955" s="1">
        <f t="shared" si="954"/>
        <v>112.9574864</v>
      </c>
      <c r="G955" s="1">
        <f t="shared" si="954"/>
        <v>135.8163542</v>
      </c>
      <c r="H955" s="1">
        <f t="shared" si="954"/>
        <v>101.5281783</v>
      </c>
      <c r="I955" s="1">
        <f t="shared" si="954"/>
        <v>164.8557195</v>
      </c>
      <c r="J955" s="1">
        <f t="shared" si="954"/>
        <v>106.6966379</v>
      </c>
      <c r="K955" s="1">
        <f t="shared" si="954"/>
        <v>114.8520385</v>
      </c>
      <c r="L955" s="1">
        <f t="shared" si="954"/>
        <v>94.57488996</v>
      </c>
      <c r="M955" s="1">
        <f t="shared" si="954"/>
        <v>107.6429841</v>
      </c>
      <c r="N955" s="1">
        <f t="shared" si="954"/>
        <v>84.0014461</v>
      </c>
      <c r="O955" s="1">
        <f t="shared" si="954"/>
        <v>107.7787252</v>
      </c>
      <c r="P955" s="1">
        <f t="shared" si="954"/>
        <v>153.692282</v>
      </c>
      <c r="Q955" s="1">
        <f t="shared" si="954"/>
        <v>106.3698026</v>
      </c>
      <c r="R955" s="1">
        <f t="shared" si="954"/>
        <v>175.8586449</v>
      </c>
      <c r="S955" s="1">
        <f t="shared" si="954"/>
        <v>95.22422945</v>
      </c>
      <c r="T955" s="1">
        <f t="shared" si="954"/>
        <v>150.0775303</v>
      </c>
      <c r="U955" s="1">
        <f t="shared" si="954"/>
        <v>206.1577949</v>
      </c>
    </row>
    <row r="956">
      <c r="A956" s="3">
        <f>IFERROR(__xludf.DUMMYFUNCTION("""COMPUTED_VALUE"""),44875.0)</f>
        <v>44875</v>
      </c>
      <c r="B956" s="1">
        <f t="shared" ref="B956:U956" si="955">IF($A956&gt;0,Megyeinapi!B956/'megyelakosság'!B$2*100000," ")</f>
        <v>0</v>
      </c>
      <c r="C956" s="1">
        <f t="shared" si="955"/>
        <v>0</v>
      </c>
      <c r="D956" s="1">
        <f t="shared" si="955"/>
        <v>0</v>
      </c>
      <c r="E956" s="1">
        <f t="shared" si="955"/>
        <v>0</v>
      </c>
      <c r="F956" s="1">
        <f t="shared" si="955"/>
        <v>0</v>
      </c>
      <c r="G956" s="1">
        <f t="shared" si="955"/>
        <v>0</v>
      </c>
      <c r="H956" s="1">
        <f t="shared" si="955"/>
        <v>0</v>
      </c>
      <c r="I956" s="1">
        <f t="shared" si="955"/>
        <v>0</v>
      </c>
      <c r="J956" s="1">
        <f t="shared" si="955"/>
        <v>0</v>
      </c>
      <c r="K956" s="1">
        <f t="shared" si="955"/>
        <v>0</v>
      </c>
      <c r="L956" s="1">
        <f t="shared" si="955"/>
        <v>0</v>
      </c>
      <c r="M956" s="1">
        <f t="shared" si="955"/>
        <v>0</v>
      </c>
      <c r="N956" s="1">
        <f t="shared" si="955"/>
        <v>0</v>
      </c>
      <c r="O956" s="1">
        <f t="shared" si="955"/>
        <v>0</v>
      </c>
      <c r="P956" s="1">
        <f t="shared" si="955"/>
        <v>0</v>
      </c>
      <c r="Q956" s="1">
        <f t="shared" si="955"/>
        <v>0</v>
      </c>
      <c r="R956" s="1">
        <f t="shared" si="955"/>
        <v>0</v>
      </c>
      <c r="S956" s="1">
        <f t="shared" si="955"/>
        <v>0</v>
      </c>
      <c r="T956" s="1">
        <f t="shared" si="955"/>
        <v>0</v>
      </c>
      <c r="U956" s="1">
        <f t="shared" si="955"/>
        <v>0</v>
      </c>
    </row>
    <row r="957">
      <c r="A957" s="3">
        <f>IFERROR(__xludf.DUMMYFUNCTION("""COMPUTED_VALUE"""),44876.0)</f>
        <v>44876</v>
      </c>
      <c r="B957" s="1">
        <f t="shared" ref="B957:U957" si="956">IF($A957&gt;0,Megyeinapi!B957/'megyelakosság'!B$2*100000," ")</f>
        <v>0</v>
      </c>
      <c r="C957" s="1">
        <f t="shared" si="956"/>
        <v>0</v>
      </c>
      <c r="D957" s="1">
        <f t="shared" si="956"/>
        <v>0</v>
      </c>
      <c r="E957" s="1">
        <f t="shared" si="956"/>
        <v>0</v>
      </c>
      <c r="F957" s="1">
        <f t="shared" si="956"/>
        <v>0</v>
      </c>
      <c r="G957" s="1">
        <f t="shared" si="956"/>
        <v>0</v>
      </c>
      <c r="H957" s="1">
        <f t="shared" si="956"/>
        <v>0</v>
      </c>
      <c r="I957" s="1">
        <f t="shared" si="956"/>
        <v>0</v>
      </c>
      <c r="J957" s="1">
        <f t="shared" si="956"/>
        <v>0</v>
      </c>
      <c r="K957" s="1">
        <f t="shared" si="956"/>
        <v>0</v>
      </c>
      <c r="L957" s="1">
        <f t="shared" si="956"/>
        <v>0</v>
      </c>
      <c r="M957" s="1">
        <f t="shared" si="956"/>
        <v>0</v>
      </c>
      <c r="N957" s="1">
        <f t="shared" si="956"/>
        <v>0</v>
      </c>
      <c r="O957" s="1">
        <f t="shared" si="956"/>
        <v>0</v>
      </c>
      <c r="P957" s="1">
        <f t="shared" si="956"/>
        <v>0</v>
      </c>
      <c r="Q957" s="1">
        <f t="shared" si="956"/>
        <v>0</v>
      </c>
      <c r="R957" s="1">
        <f t="shared" si="956"/>
        <v>0</v>
      </c>
      <c r="S957" s="1">
        <f t="shared" si="956"/>
        <v>0</v>
      </c>
      <c r="T957" s="1">
        <f t="shared" si="956"/>
        <v>0</v>
      </c>
      <c r="U957" s="1">
        <f t="shared" si="956"/>
        <v>0</v>
      </c>
    </row>
    <row r="958">
      <c r="A958" s="3">
        <f>IFERROR(__xludf.DUMMYFUNCTION("""COMPUTED_VALUE"""),44877.0)</f>
        <v>44877</v>
      </c>
      <c r="B958" s="1">
        <f t="shared" ref="B958:U958" si="957">IF($A958&gt;0,Megyeinapi!B958/'megyelakosság'!B$2*100000," ")</f>
        <v>0</v>
      </c>
      <c r="C958" s="1">
        <f t="shared" si="957"/>
        <v>0</v>
      </c>
      <c r="D958" s="1">
        <f t="shared" si="957"/>
        <v>0</v>
      </c>
      <c r="E958" s="1">
        <f t="shared" si="957"/>
        <v>0</v>
      </c>
      <c r="F958" s="1">
        <f t="shared" si="957"/>
        <v>0</v>
      </c>
      <c r="G958" s="1">
        <f t="shared" si="957"/>
        <v>0</v>
      </c>
      <c r="H958" s="1">
        <f t="shared" si="957"/>
        <v>0</v>
      </c>
      <c r="I958" s="1">
        <f t="shared" si="957"/>
        <v>0</v>
      </c>
      <c r="J958" s="1">
        <f t="shared" si="957"/>
        <v>0</v>
      </c>
      <c r="K958" s="1">
        <f t="shared" si="957"/>
        <v>0</v>
      </c>
      <c r="L958" s="1">
        <f t="shared" si="957"/>
        <v>0</v>
      </c>
      <c r="M958" s="1">
        <f t="shared" si="957"/>
        <v>0</v>
      </c>
      <c r="N958" s="1">
        <f t="shared" si="957"/>
        <v>0</v>
      </c>
      <c r="O958" s="1">
        <f t="shared" si="957"/>
        <v>0</v>
      </c>
      <c r="P958" s="1">
        <f t="shared" si="957"/>
        <v>0</v>
      </c>
      <c r="Q958" s="1">
        <f t="shared" si="957"/>
        <v>0</v>
      </c>
      <c r="R958" s="1">
        <f t="shared" si="957"/>
        <v>0</v>
      </c>
      <c r="S958" s="1">
        <f t="shared" si="957"/>
        <v>0</v>
      </c>
      <c r="T958" s="1">
        <f t="shared" si="957"/>
        <v>0</v>
      </c>
      <c r="U958" s="1">
        <f t="shared" si="957"/>
        <v>0</v>
      </c>
    </row>
    <row r="959">
      <c r="A959" s="3">
        <f>IFERROR(__xludf.DUMMYFUNCTION("""COMPUTED_VALUE"""),44878.0)</f>
        <v>44878</v>
      </c>
      <c r="B959" s="1">
        <f t="shared" ref="B959:U959" si="958">IF($A959&gt;0,Megyeinapi!B959/'megyelakosság'!B$2*100000," ")</f>
        <v>0</v>
      </c>
      <c r="C959" s="1">
        <f t="shared" si="958"/>
        <v>0</v>
      </c>
      <c r="D959" s="1">
        <f t="shared" si="958"/>
        <v>0</v>
      </c>
      <c r="E959" s="1">
        <f t="shared" si="958"/>
        <v>0</v>
      </c>
      <c r="F959" s="1">
        <f t="shared" si="958"/>
        <v>0</v>
      </c>
      <c r="G959" s="1">
        <f t="shared" si="958"/>
        <v>0</v>
      </c>
      <c r="H959" s="1">
        <f t="shared" si="958"/>
        <v>0</v>
      </c>
      <c r="I959" s="1">
        <f t="shared" si="958"/>
        <v>0</v>
      </c>
      <c r="J959" s="1">
        <f t="shared" si="958"/>
        <v>0</v>
      </c>
      <c r="K959" s="1">
        <f t="shared" si="958"/>
        <v>0</v>
      </c>
      <c r="L959" s="1">
        <f t="shared" si="958"/>
        <v>0</v>
      </c>
      <c r="M959" s="1">
        <f t="shared" si="958"/>
        <v>0</v>
      </c>
      <c r="N959" s="1">
        <f t="shared" si="958"/>
        <v>0</v>
      </c>
      <c r="O959" s="1">
        <f t="shared" si="958"/>
        <v>0</v>
      </c>
      <c r="P959" s="1">
        <f t="shared" si="958"/>
        <v>0</v>
      </c>
      <c r="Q959" s="1">
        <f t="shared" si="958"/>
        <v>0</v>
      </c>
      <c r="R959" s="1">
        <f t="shared" si="958"/>
        <v>0</v>
      </c>
      <c r="S959" s="1">
        <f t="shared" si="958"/>
        <v>0</v>
      </c>
      <c r="T959" s="1">
        <f t="shared" si="958"/>
        <v>0</v>
      </c>
      <c r="U959" s="1">
        <f t="shared" si="958"/>
        <v>0</v>
      </c>
    </row>
    <row r="960">
      <c r="A960" s="3">
        <f>IFERROR(__xludf.DUMMYFUNCTION("""COMPUTED_VALUE"""),44879.0)</f>
        <v>44879</v>
      </c>
      <c r="B960" s="1">
        <f t="shared" ref="B960:U960" si="959">IF($A960&gt;0,Megyeinapi!B960/'megyelakosság'!B$2*100000," ")</f>
        <v>0</v>
      </c>
      <c r="C960" s="1">
        <f t="shared" si="959"/>
        <v>0</v>
      </c>
      <c r="D960" s="1">
        <f t="shared" si="959"/>
        <v>0</v>
      </c>
      <c r="E960" s="1">
        <f t="shared" si="959"/>
        <v>0</v>
      </c>
      <c r="F960" s="1">
        <f t="shared" si="959"/>
        <v>0</v>
      </c>
      <c r="G960" s="1">
        <f t="shared" si="959"/>
        <v>0</v>
      </c>
      <c r="H960" s="1">
        <f t="shared" si="959"/>
        <v>0</v>
      </c>
      <c r="I960" s="1">
        <f t="shared" si="959"/>
        <v>0</v>
      </c>
      <c r="J960" s="1">
        <f t="shared" si="959"/>
        <v>0</v>
      </c>
      <c r="K960" s="1">
        <f t="shared" si="959"/>
        <v>0</v>
      </c>
      <c r="L960" s="1">
        <f t="shared" si="959"/>
        <v>0</v>
      </c>
      <c r="M960" s="1">
        <f t="shared" si="959"/>
        <v>0</v>
      </c>
      <c r="N960" s="1">
        <f t="shared" si="959"/>
        <v>0</v>
      </c>
      <c r="O960" s="1">
        <f t="shared" si="959"/>
        <v>0</v>
      </c>
      <c r="P960" s="1">
        <f t="shared" si="959"/>
        <v>0</v>
      </c>
      <c r="Q960" s="1">
        <f t="shared" si="959"/>
        <v>0</v>
      </c>
      <c r="R960" s="1">
        <f t="shared" si="959"/>
        <v>0</v>
      </c>
      <c r="S960" s="1">
        <f t="shared" si="959"/>
        <v>0</v>
      </c>
      <c r="T960" s="1">
        <f t="shared" si="959"/>
        <v>0</v>
      </c>
      <c r="U960" s="1">
        <f t="shared" si="959"/>
        <v>0</v>
      </c>
    </row>
    <row r="961">
      <c r="A961" s="3">
        <f>IFERROR(__xludf.DUMMYFUNCTION("""COMPUTED_VALUE"""),44880.0)</f>
        <v>44880</v>
      </c>
      <c r="B961" s="1">
        <f t="shared" ref="B961:U961" si="960">IF($A961&gt;0,Megyeinapi!B961/'megyelakosság'!B$2*100000," ")</f>
        <v>0</v>
      </c>
      <c r="C961" s="1">
        <f t="shared" si="960"/>
        <v>0</v>
      </c>
      <c r="D961" s="1">
        <f t="shared" si="960"/>
        <v>0</v>
      </c>
      <c r="E961" s="1">
        <f t="shared" si="960"/>
        <v>0</v>
      </c>
      <c r="F961" s="1">
        <f t="shared" si="960"/>
        <v>0</v>
      </c>
      <c r="G961" s="1">
        <f t="shared" si="960"/>
        <v>0</v>
      </c>
      <c r="H961" s="1">
        <f t="shared" si="960"/>
        <v>0</v>
      </c>
      <c r="I961" s="1">
        <f t="shared" si="960"/>
        <v>0</v>
      </c>
      <c r="J961" s="1">
        <f t="shared" si="960"/>
        <v>0</v>
      </c>
      <c r="K961" s="1">
        <f t="shared" si="960"/>
        <v>0</v>
      </c>
      <c r="L961" s="1">
        <f t="shared" si="960"/>
        <v>0</v>
      </c>
      <c r="M961" s="1">
        <f t="shared" si="960"/>
        <v>0</v>
      </c>
      <c r="N961" s="1">
        <f t="shared" si="960"/>
        <v>0</v>
      </c>
      <c r="O961" s="1">
        <f t="shared" si="960"/>
        <v>0</v>
      </c>
      <c r="P961" s="1">
        <f t="shared" si="960"/>
        <v>0</v>
      </c>
      <c r="Q961" s="1">
        <f t="shared" si="960"/>
        <v>0</v>
      </c>
      <c r="R961" s="1">
        <f t="shared" si="960"/>
        <v>0</v>
      </c>
      <c r="S961" s="1">
        <f t="shared" si="960"/>
        <v>0</v>
      </c>
      <c r="T961" s="1">
        <f t="shared" si="960"/>
        <v>0</v>
      </c>
      <c r="U961" s="1">
        <f t="shared" si="960"/>
        <v>0</v>
      </c>
    </row>
    <row r="962">
      <c r="A962" s="3">
        <f>IFERROR(__xludf.DUMMYFUNCTION("""COMPUTED_VALUE"""),44881.0)</f>
        <v>44881</v>
      </c>
      <c r="B962" s="1">
        <f t="shared" ref="B962:U962" si="961">IF($A962&gt;0,Megyeinapi!B962/'megyelakosság'!B$2*100000," ")</f>
        <v>43.20815579</v>
      </c>
      <c r="C962" s="1">
        <f t="shared" si="961"/>
        <v>71.56601478</v>
      </c>
      <c r="D962" s="1">
        <f t="shared" si="961"/>
        <v>62.92695028</v>
      </c>
      <c r="E962" s="1">
        <f t="shared" si="961"/>
        <v>28.09764796</v>
      </c>
      <c r="F962" s="1">
        <f t="shared" si="961"/>
        <v>47.70839713</v>
      </c>
      <c r="G962" s="1">
        <f t="shared" si="961"/>
        <v>40.92063906</v>
      </c>
      <c r="H962" s="1">
        <f t="shared" si="961"/>
        <v>33.92235603</v>
      </c>
      <c r="I962" s="1">
        <f t="shared" si="961"/>
        <v>65.30822736</v>
      </c>
      <c r="J962" s="1">
        <f t="shared" si="961"/>
        <v>40.62825714</v>
      </c>
      <c r="K962" s="1">
        <f t="shared" si="961"/>
        <v>46.69059133</v>
      </c>
      <c r="L962" s="1">
        <f t="shared" si="961"/>
        <v>40.88251727</v>
      </c>
      <c r="M962" s="1">
        <f t="shared" si="961"/>
        <v>42.52562335</v>
      </c>
      <c r="N962" s="1">
        <f t="shared" si="961"/>
        <v>26.58273611</v>
      </c>
      <c r="O962" s="1">
        <f t="shared" si="961"/>
        <v>41.86255206</v>
      </c>
      <c r="P962" s="1">
        <f t="shared" si="961"/>
        <v>49.34155693</v>
      </c>
      <c r="Q962" s="1">
        <f t="shared" si="961"/>
        <v>34.4244738</v>
      </c>
      <c r="R962" s="1">
        <f t="shared" si="961"/>
        <v>69.13703982</v>
      </c>
      <c r="S962" s="1">
        <f t="shared" si="961"/>
        <v>32.65954977</v>
      </c>
      <c r="T962" s="1">
        <f t="shared" si="961"/>
        <v>52.17539139</v>
      </c>
      <c r="U962" s="1">
        <f t="shared" si="961"/>
        <v>56.87111583</v>
      </c>
    </row>
    <row r="963">
      <c r="A963" s="3">
        <f>IFERROR(__xludf.DUMMYFUNCTION("""COMPUTED_VALUE"""),44882.0)</f>
        <v>44882</v>
      </c>
      <c r="B963" s="1">
        <f t="shared" ref="B963:U963" si="962">IF($A963&gt;0,Megyeinapi!B963/'megyelakosság'!B$2*100000," ")</f>
        <v>0</v>
      </c>
      <c r="C963" s="1">
        <f t="shared" si="962"/>
        <v>0</v>
      </c>
      <c r="D963" s="1">
        <f t="shared" si="962"/>
        <v>0</v>
      </c>
      <c r="E963" s="1">
        <f t="shared" si="962"/>
        <v>0</v>
      </c>
      <c r="F963" s="1">
        <f t="shared" si="962"/>
        <v>0</v>
      </c>
      <c r="G963" s="1">
        <f t="shared" si="962"/>
        <v>0</v>
      </c>
      <c r="H963" s="1">
        <f t="shared" si="962"/>
        <v>0</v>
      </c>
      <c r="I963" s="1">
        <f t="shared" si="962"/>
        <v>0</v>
      </c>
      <c r="J963" s="1">
        <f t="shared" si="962"/>
        <v>0</v>
      </c>
      <c r="K963" s="1">
        <f t="shared" si="962"/>
        <v>0</v>
      </c>
      <c r="L963" s="1">
        <f t="shared" si="962"/>
        <v>0</v>
      </c>
      <c r="M963" s="1">
        <f t="shared" si="962"/>
        <v>0</v>
      </c>
      <c r="N963" s="1">
        <f t="shared" si="962"/>
        <v>0</v>
      </c>
      <c r="O963" s="1">
        <f t="shared" si="962"/>
        <v>0</v>
      </c>
      <c r="P963" s="1">
        <f t="shared" si="962"/>
        <v>0</v>
      </c>
      <c r="Q963" s="1">
        <f t="shared" si="962"/>
        <v>0</v>
      </c>
      <c r="R963" s="1">
        <f t="shared" si="962"/>
        <v>0</v>
      </c>
      <c r="S963" s="1">
        <f t="shared" si="962"/>
        <v>0</v>
      </c>
      <c r="T963" s="1">
        <f t="shared" si="962"/>
        <v>0</v>
      </c>
      <c r="U963" s="1">
        <f t="shared" si="962"/>
        <v>0</v>
      </c>
    </row>
    <row r="964">
      <c r="A964" s="3">
        <f>IFERROR(__xludf.DUMMYFUNCTION("""COMPUTED_VALUE"""),44883.0)</f>
        <v>44883</v>
      </c>
      <c r="B964" s="1">
        <f t="shared" ref="B964:U964" si="963">IF($A964&gt;0,Megyeinapi!B964/'megyelakosság'!B$2*100000," ")</f>
        <v>0</v>
      </c>
      <c r="C964" s="1">
        <f t="shared" si="963"/>
        <v>0</v>
      </c>
      <c r="D964" s="1">
        <f t="shared" si="963"/>
        <v>0</v>
      </c>
      <c r="E964" s="1">
        <f t="shared" si="963"/>
        <v>0</v>
      </c>
      <c r="F964" s="1">
        <f t="shared" si="963"/>
        <v>0</v>
      </c>
      <c r="G964" s="1">
        <f t="shared" si="963"/>
        <v>0</v>
      </c>
      <c r="H964" s="1">
        <f t="shared" si="963"/>
        <v>0</v>
      </c>
      <c r="I964" s="1">
        <f t="shared" si="963"/>
        <v>0</v>
      </c>
      <c r="J964" s="1">
        <f t="shared" si="963"/>
        <v>0</v>
      </c>
      <c r="K964" s="1">
        <f t="shared" si="963"/>
        <v>0</v>
      </c>
      <c r="L964" s="1">
        <f t="shared" si="963"/>
        <v>0</v>
      </c>
      <c r="M964" s="1">
        <f t="shared" si="963"/>
        <v>0</v>
      </c>
      <c r="N964" s="1">
        <f t="shared" si="963"/>
        <v>0</v>
      </c>
      <c r="O964" s="1">
        <f t="shared" si="963"/>
        <v>0</v>
      </c>
      <c r="P964" s="1">
        <f t="shared" si="963"/>
        <v>0</v>
      </c>
      <c r="Q964" s="1">
        <f t="shared" si="963"/>
        <v>0</v>
      </c>
      <c r="R964" s="1">
        <f t="shared" si="963"/>
        <v>0</v>
      </c>
      <c r="S964" s="1">
        <f t="shared" si="963"/>
        <v>0</v>
      </c>
      <c r="T964" s="1">
        <f t="shared" si="963"/>
        <v>0</v>
      </c>
      <c r="U964" s="1">
        <f t="shared" si="963"/>
        <v>0</v>
      </c>
    </row>
    <row r="965">
      <c r="A965" s="3">
        <f>IFERROR(__xludf.DUMMYFUNCTION("""COMPUTED_VALUE"""),44884.0)</f>
        <v>44884</v>
      </c>
      <c r="B965" s="1">
        <f t="shared" ref="B965:U965" si="964">IF($A965&gt;0,Megyeinapi!B965/'megyelakosság'!B$2*100000," ")</f>
        <v>0</v>
      </c>
      <c r="C965" s="1">
        <f t="shared" si="964"/>
        <v>0</v>
      </c>
      <c r="D965" s="1">
        <f t="shared" si="964"/>
        <v>0</v>
      </c>
      <c r="E965" s="1">
        <f t="shared" si="964"/>
        <v>0</v>
      </c>
      <c r="F965" s="1">
        <f t="shared" si="964"/>
        <v>0</v>
      </c>
      <c r="G965" s="1">
        <f t="shared" si="964"/>
        <v>0</v>
      </c>
      <c r="H965" s="1">
        <f t="shared" si="964"/>
        <v>0</v>
      </c>
      <c r="I965" s="1">
        <f t="shared" si="964"/>
        <v>0</v>
      </c>
      <c r="J965" s="1">
        <f t="shared" si="964"/>
        <v>0</v>
      </c>
      <c r="K965" s="1">
        <f t="shared" si="964"/>
        <v>0</v>
      </c>
      <c r="L965" s="1">
        <f t="shared" si="964"/>
        <v>0</v>
      </c>
      <c r="M965" s="1">
        <f t="shared" si="964"/>
        <v>0</v>
      </c>
      <c r="N965" s="1">
        <f t="shared" si="964"/>
        <v>0</v>
      </c>
      <c r="O965" s="1">
        <f t="shared" si="964"/>
        <v>0</v>
      </c>
      <c r="P965" s="1">
        <f t="shared" si="964"/>
        <v>0</v>
      </c>
      <c r="Q965" s="1">
        <f t="shared" si="964"/>
        <v>0</v>
      </c>
      <c r="R965" s="1">
        <f t="shared" si="964"/>
        <v>0</v>
      </c>
      <c r="S965" s="1">
        <f t="shared" si="964"/>
        <v>0</v>
      </c>
      <c r="T965" s="1">
        <f t="shared" si="964"/>
        <v>0</v>
      </c>
      <c r="U965" s="1">
        <f t="shared" si="964"/>
        <v>0</v>
      </c>
    </row>
    <row r="966">
      <c r="A966" s="3">
        <f>IFERROR(__xludf.DUMMYFUNCTION("""COMPUTED_VALUE"""),44885.0)</f>
        <v>44885</v>
      </c>
      <c r="B966" s="1">
        <f t="shared" ref="B966:U966" si="965">IF($A966&gt;0,Megyeinapi!B966/'megyelakosság'!B$2*100000," ")</f>
        <v>0</v>
      </c>
      <c r="C966" s="1">
        <f t="shared" si="965"/>
        <v>0</v>
      </c>
      <c r="D966" s="1">
        <f t="shared" si="965"/>
        <v>0</v>
      </c>
      <c r="E966" s="1">
        <f t="shared" si="965"/>
        <v>0</v>
      </c>
      <c r="F966" s="1">
        <f t="shared" si="965"/>
        <v>0</v>
      </c>
      <c r="G966" s="1">
        <f t="shared" si="965"/>
        <v>0</v>
      </c>
      <c r="H966" s="1">
        <f t="shared" si="965"/>
        <v>0</v>
      </c>
      <c r="I966" s="1">
        <f t="shared" si="965"/>
        <v>0</v>
      </c>
      <c r="J966" s="1">
        <f t="shared" si="965"/>
        <v>0</v>
      </c>
      <c r="K966" s="1">
        <f t="shared" si="965"/>
        <v>0</v>
      </c>
      <c r="L966" s="1">
        <f t="shared" si="965"/>
        <v>0</v>
      </c>
      <c r="M966" s="1">
        <f t="shared" si="965"/>
        <v>0</v>
      </c>
      <c r="N966" s="1">
        <f t="shared" si="965"/>
        <v>0</v>
      </c>
      <c r="O966" s="1">
        <f t="shared" si="965"/>
        <v>0</v>
      </c>
      <c r="P966" s="1">
        <f t="shared" si="965"/>
        <v>0</v>
      </c>
      <c r="Q966" s="1">
        <f t="shared" si="965"/>
        <v>0</v>
      </c>
      <c r="R966" s="1">
        <f t="shared" si="965"/>
        <v>0</v>
      </c>
      <c r="S966" s="1">
        <f t="shared" si="965"/>
        <v>0</v>
      </c>
      <c r="T966" s="1">
        <f t="shared" si="965"/>
        <v>0</v>
      </c>
      <c r="U966" s="1">
        <f t="shared" si="965"/>
        <v>0</v>
      </c>
    </row>
    <row r="967">
      <c r="A967" s="3">
        <f>IFERROR(__xludf.DUMMYFUNCTION("""COMPUTED_VALUE"""),44886.0)</f>
        <v>44886</v>
      </c>
      <c r="B967" s="1">
        <f t="shared" ref="B967:U967" si="966">IF($A967&gt;0,Megyeinapi!B967/'megyelakosság'!B$2*100000," ")</f>
        <v>0</v>
      </c>
      <c r="C967" s="1">
        <f t="shared" si="966"/>
        <v>0</v>
      </c>
      <c r="D967" s="1">
        <f t="shared" si="966"/>
        <v>0</v>
      </c>
      <c r="E967" s="1">
        <f t="shared" si="966"/>
        <v>0</v>
      </c>
      <c r="F967" s="1">
        <f t="shared" si="966"/>
        <v>0</v>
      </c>
      <c r="G967" s="1">
        <f t="shared" si="966"/>
        <v>0</v>
      </c>
      <c r="H967" s="1">
        <f t="shared" si="966"/>
        <v>0</v>
      </c>
      <c r="I967" s="1">
        <f t="shared" si="966"/>
        <v>0</v>
      </c>
      <c r="J967" s="1">
        <f t="shared" si="966"/>
        <v>0</v>
      </c>
      <c r="K967" s="1">
        <f t="shared" si="966"/>
        <v>0</v>
      </c>
      <c r="L967" s="1">
        <f t="shared" si="966"/>
        <v>0</v>
      </c>
      <c r="M967" s="1">
        <f t="shared" si="966"/>
        <v>0</v>
      </c>
      <c r="N967" s="1">
        <f t="shared" si="966"/>
        <v>0</v>
      </c>
      <c r="O967" s="1">
        <f t="shared" si="966"/>
        <v>0</v>
      </c>
      <c r="P967" s="1">
        <f t="shared" si="966"/>
        <v>0</v>
      </c>
      <c r="Q967" s="1">
        <f t="shared" si="966"/>
        <v>0</v>
      </c>
      <c r="R967" s="1">
        <f t="shared" si="966"/>
        <v>0</v>
      </c>
      <c r="S967" s="1">
        <f t="shared" si="966"/>
        <v>0</v>
      </c>
      <c r="T967" s="1">
        <f t="shared" si="966"/>
        <v>0</v>
      </c>
      <c r="U967" s="1">
        <f t="shared" si="966"/>
        <v>0</v>
      </c>
    </row>
    <row r="968">
      <c r="A968" s="3">
        <f>IFERROR(__xludf.DUMMYFUNCTION("""COMPUTED_VALUE"""),44887.0)</f>
        <v>44887</v>
      </c>
      <c r="B968" s="1">
        <f t="shared" ref="B968:U968" si="967">IF($A968&gt;0,Megyeinapi!B968/'megyelakosság'!B$2*100000," ")</f>
        <v>0</v>
      </c>
      <c r="C968" s="1">
        <f t="shared" si="967"/>
        <v>0</v>
      </c>
      <c r="D968" s="1">
        <f t="shared" si="967"/>
        <v>0</v>
      </c>
      <c r="E968" s="1">
        <f t="shared" si="967"/>
        <v>0</v>
      </c>
      <c r="F968" s="1">
        <f t="shared" si="967"/>
        <v>0</v>
      </c>
      <c r="G968" s="1">
        <f t="shared" si="967"/>
        <v>0</v>
      </c>
      <c r="H968" s="1">
        <f t="shared" si="967"/>
        <v>0</v>
      </c>
      <c r="I968" s="1">
        <f t="shared" si="967"/>
        <v>0</v>
      </c>
      <c r="J968" s="1">
        <f t="shared" si="967"/>
        <v>0</v>
      </c>
      <c r="K968" s="1">
        <f t="shared" si="967"/>
        <v>0</v>
      </c>
      <c r="L968" s="1">
        <f t="shared" si="967"/>
        <v>0</v>
      </c>
      <c r="M968" s="1">
        <f t="shared" si="967"/>
        <v>0</v>
      </c>
      <c r="N968" s="1">
        <f t="shared" si="967"/>
        <v>0</v>
      </c>
      <c r="O968" s="1">
        <f t="shared" si="967"/>
        <v>0</v>
      </c>
      <c r="P968" s="1">
        <f t="shared" si="967"/>
        <v>0</v>
      </c>
      <c r="Q968" s="1">
        <f t="shared" si="967"/>
        <v>0</v>
      </c>
      <c r="R968" s="1">
        <f t="shared" si="967"/>
        <v>0</v>
      </c>
      <c r="S968" s="1">
        <f t="shared" si="967"/>
        <v>0</v>
      </c>
      <c r="T968" s="1">
        <f t="shared" si="967"/>
        <v>0</v>
      </c>
      <c r="U968" s="1">
        <f t="shared" si="967"/>
        <v>0</v>
      </c>
    </row>
    <row r="969">
      <c r="A969" s="3">
        <f>IFERROR(__xludf.DUMMYFUNCTION("""COMPUTED_VALUE"""),44888.0)</f>
        <v>44888</v>
      </c>
      <c r="B969" s="1">
        <f t="shared" ref="B969:U969" si="968">IF($A969&gt;0,Megyeinapi!B969/'megyelakosság'!B$2*100000," ")</f>
        <v>43.00903986</v>
      </c>
      <c r="C969" s="1">
        <f t="shared" si="968"/>
        <v>56.80726465</v>
      </c>
      <c r="D969" s="1">
        <f t="shared" si="968"/>
        <v>60.20414955</v>
      </c>
      <c r="E969" s="1">
        <f t="shared" si="968"/>
        <v>27.31279746</v>
      </c>
      <c r="F969" s="1">
        <f t="shared" si="968"/>
        <v>44.90874269</v>
      </c>
      <c r="G969" s="1">
        <f t="shared" si="968"/>
        <v>37.65702981</v>
      </c>
      <c r="H969" s="1">
        <f t="shared" si="968"/>
        <v>42.52238995</v>
      </c>
      <c r="I969" s="1">
        <f t="shared" si="968"/>
        <v>58.54491579</v>
      </c>
      <c r="J969" s="1">
        <f t="shared" si="968"/>
        <v>31.7052287</v>
      </c>
      <c r="K969" s="1">
        <f t="shared" si="968"/>
        <v>39.19283214</v>
      </c>
      <c r="L969" s="1">
        <f t="shared" si="968"/>
        <v>29.98051267</v>
      </c>
      <c r="M969" s="1">
        <f t="shared" si="968"/>
        <v>39.53554046</v>
      </c>
      <c r="N969" s="1">
        <f t="shared" si="968"/>
        <v>23.39280777</v>
      </c>
      <c r="O969" s="1">
        <f t="shared" si="968"/>
        <v>41.1686976</v>
      </c>
      <c r="P969" s="1">
        <f t="shared" si="968"/>
        <v>45.00750125</v>
      </c>
      <c r="Q969" s="1">
        <f t="shared" si="968"/>
        <v>37.15657489</v>
      </c>
      <c r="R969" s="1">
        <f t="shared" si="968"/>
        <v>53.36080255</v>
      </c>
      <c r="S969" s="1">
        <f t="shared" si="968"/>
        <v>24.78977874</v>
      </c>
      <c r="T969" s="1">
        <f t="shared" si="968"/>
        <v>44.84738698</v>
      </c>
      <c r="U969" s="1">
        <f t="shared" si="968"/>
        <v>57.99357207</v>
      </c>
    </row>
    <row r="970">
      <c r="A970" s="3">
        <f>IFERROR(__xludf.DUMMYFUNCTION("""COMPUTED_VALUE"""),44889.0)</f>
        <v>44889</v>
      </c>
      <c r="B970" s="1">
        <f t="shared" ref="B970:U970" si="969">IF($A970&gt;0,Megyeinapi!B970/'megyelakosság'!B$2*100000," ")</f>
        <v>0</v>
      </c>
      <c r="C970" s="1">
        <f t="shared" si="969"/>
        <v>0</v>
      </c>
      <c r="D970" s="1">
        <f t="shared" si="969"/>
        <v>0</v>
      </c>
      <c r="E970" s="1">
        <f t="shared" si="969"/>
        <v>0</v>
      </c>
      <c r="F970" s="1">
        <f t="shared" si="969"/>
        <v>0</v>
      </c>
      <c r="G970" s="1">
        <f t="shared" si="969"/>
        <v>0</v>
      </c>
      <c r="H970" s="1">
        <f t="shared" si="969"/>
        <v>0</v>
      </c>
      <c r="I970" s="1">
        <f t="shared" si="969"/>
        <v>0</v>
      </c>
      <c r="J970" s="1">
        <f t="shared" si="969"/>
        <v>0</v>
      </c>
      <c r="K970" s="1">
        <f t="shared" si="969"/>
        <v>0</v>
      </c>
      <c r="L970" s="1">
        <f t="shared" si="969"/>
        <v>0</v>
      </c>
      <c r="M970" s="1">
        <f t="shared" si="969"/>
        <v>0</v>
      </c>
      <c r="N970" s="1">
        <f t="shared" si="969"/>
        <v>0</v>
      </c>
      <c r="O970" s="1">
        <f t="shared" si="969"/>
        <v>0</v>
      </c>
      <c r="P970" s="1">
        <f t="shared" si="969"/>
        <v>0</v>
      </c>
      <c r="Q970" s="1">
        <f t="shared" si="969"/>
        <v>0</v>
      </c>
      <c r="R970" s="1">
        <f t="shared" si="969"/>
        <v>0</v>
      </c>
      <c r="S970" s="1">
        <f t="shared" si="969"/>
        <v>0</v>
      </c>
      <c r="T970" s="1">
        <f t="shared" si="969"/>
        <v>0</v>
      </c>
      <c r="U970" s="1">
        <f t="shared" si="969"/>
        <v>0</v>
      </c>
    </row>
    <row r="971">
      <c r="A971" s="3">
        <f>IFERROR(__xludf.DUMMYFUNCTION("""COMPUTED_VALUE"""),44890.0)</f>
        <v>44890</v>
      </c>
      <c r="B971" s="1">
        <f t="shared" ref="B971:U971" si="970">IF($A971&gt;0,Megyeinapi!B971/'megyelakosság'!B$2*100000," ")</f>
        <v>0</v>
      </c>
      <c r="C971" s="1">
        <f t="shared" si="970"/>
        <v>0</v>
      </c>
      <c r="D971" s="1">
        <f t="shared" si="970"/>
        <v>0</v>
      </c>
      <c r="E971" s="1">
        <f t="shared" si="970"/>
        <v>0</v>
      </c>
      <c r="F971" s="1">
        <f t="shared" si="970"/>
        <v>0</v>
      </c>
      <c r="G971" s="1">
        <f t="shared" si="970"/>
        <v>0</v>
      </c>
      <c r="H971" s="1">
        <f t="shared" si="970"/>
        <v>0</v>
      </c>
      <c r="I971" s="1">
        <f t="shared" si="970"/>
        <v>0</v>
      </c>
      <c r="J971" s="1">
        <f t="shared" si="970"/>
        <v>0</v>
      </c>
      <c r="K971" s="1">
        <f t="shared" si="970"/>
        <v>0</v>
      </c>
      <c r="L971" s="1">
        <f t="shared" si="970"/>
        <v>0</v>
      </c>
      <c r="M971" s="1">
        <f t="shared" si="970"/>
        <v>0</v>
      </c>
      <c r="N971" s="1">
        <f t="shared" si="970"/>
        <v>0</v>
      </c>
      <c r="O971" s="1">
        <f t="shared" si="970"/>
        <v>0</v>
      </c>
      <c r="P971" s="1">
        <f t="shared" si="970"/>
        <v>0</v>
      </c>
      <c r="Q971" s="1">
        <f t="shared" si="970"/>
        <v>0</v>
      </c>
      <c r="R971" s="1">
        <f t="shared" si="970"/>
        <v>0</v>
      </c>
      <c r="S971" s="1">
        <f t="shared" si="970"/>
        <v>0</v>
      </c>
      <c r="T971" s="1">
        <f t="shared" si="970"/>
        <v>0</v>
      </c>
      <c r="U971" s="1">
        <f t="shared" si="970"/>
        <v>0</v>
      </c>
    </row>
    <row r="972">
      <c r="A972" s="3">
        <f>IFERROR(__xludf.DUMMYFUNCTION("""COMPUTED_VALUE"""),44891.0)</f>
        <v>44891</v>
      </c>
      <c r="B972" s="1">
        <f t="shared" ref="B972:U972" si="971">IF($A972&gt;0,Megyeinapi!B972/'megyelakosság'!B$2*100000," ")</f>
        <v>0</v>
      </c>
      <c r="C972" s="1">
        <f t="shared" si="971"/>
        <v>0</v>
      </c>
      <c r="D972" s="1">
        <f t="shared" si="971"/>
        <v>0</v>
      </c>
      <c r="E972" s="1">
        <f t="shared" si="971"/>
        <v>0</v>
      </c>
      <c r="F972" s="1">
        <f t="shared" si="971"/>
        <v>0</v>
      </c>
      <c r="G972" s="1">
        <f t="shared" si="971"/>
        <v>0</v>
      </c>
      <c r="H972" s="1">
        <f t="shared" si="971"/>
        <v>0</v>
      </c>
      <c r="I972" s="1">
        <f t="shared" si="971"/>
        <v>0</v>
      </c>
      <c r="J972" s="1">
        <f t="shared" si="971"/>
        <v>0</v>
      </c>
      <c r="K972" s="1">
        <f t="shared" si="971"/>
        <v>0</v>
      </c>
      <c r="L972" s="1">
        <f t="shared" si="971"/>
        <v>0</v>
      </c>
      <c r="M972" s="1">
        <f t="shared" si="971"/>
        <v>0</v>
      </c>
      <c r="N972" s="1">
        <f t="shared" si="971"/>
        <v>0</v>
      </c>
      <c r="O972" s="1">
        <f t="shared" si="971"/>
        <v>0</v>
      </c>
      <c r="P972" s="1">
        <f t="shared" si="971"/>
        <v>0</v>
      </c>
      <c r="Q972" s="1">
        <f t="shared" si="971"/>
        <v>0</v>
      </c>
      <c r="R972" s="1">
        <f t="shared" si="971"/>
        <v>0</v>
      </c>
      <c r="S972" s="1">
        <f t="shared" si="971"/>
        <v>0</v>
      </c>
      <c r="T972" s="1">
        <f t="shared" si="971"/>
        <v>0</v>
      </c>
      <c r="U972" s="1">
        <f t="shared" si="971"/>
        <v>0</v>
      </c>
    </row>
    <row r="973">
      <c r="A973" s="3">
        <f>IFERROR(__xludf.DUMMYFUNCTION("""COMPUTED_VALUE"""),44892.0)</f>
        <v>44892</v>
      </c>
      <c r="B973" s="1">
        <f t="shared" ref="B973:U973" si="972">IF($A973&gt;0,Megyeinapi!B973/'megyelakosság'!B$2*100000," ")</f>
        <v>0</v>
      </c>
      <c r="C973" s="1">
        <f t="shared" si="972"/>
        <v>0</v>
      </c>
      <c r="D973" s="1">
        <f t="shared" si="972"/>
        <v>0</v>
      </c>
      <c r="E973" s="1">
        <f t="shared" si="972"/>
        <v>0</v>
      </c>
      <c r="F973" s="1">
        <f t="shared" si="972"/>
        <v>0</v>
      </c>
      <c r="G973" s="1">
        <f t="shared" si="972"/>
        <v>0</v>
      </c>
      <c r="H973" s="1">
        <f t="shared" si="972"/>
        <v>0</v>
      </c>
      <c r="I973" s="1">
        <f t="shared" si="972"/>
        <v>0</v>
      </c>
      <c r="J973" s="1">
        <f t="shared" si="972"/>
        <v>0</v>
      </c>
      <c r="K973" s="1">
        <f t="shared" si="972"/>
        <v>0</v>
      </c>
      <c r="L973" s="1">
        <f t="shared" si="972"/>
        <v>0</v>
      </c>
      <c r="M973" s="1">
        <f t="shared" si="972"/>
        <v>0</v>
      </c>
      <c r="N973" s="1">
        <f t="shared" si="972"/>
        <v>0</v>
      </c>
      <c r="O973" s="1">
        <f t="shared" si="972"/>
        <v>0</v>
      </c>
      <c r="P973" s="1">
        <f t="shared" si="972"/>
        <v>0</v>
      </c>
      <c r="Q973" s="1">
        <f t="shared" si="972"/>
        <v>0</v>
      </c>
      <c r="R973" s="1">
        <f t="shared" si="972"/>
        <v>0</v>
      </c>
      <c r="S973" s="1">
        <f t="shared" si="972"/>
        <v>0</v>
      </c>
      <c r="T973" s="1">
        <f t="shared" si="972"/>
        <v>0</v>
      </c>
      <c r="U973" s="1">
        <f t="shared" si="972"/>
        <v>0</v>
      </c>
    </row>
    <row r="974">
      <c r="A974" s="3">
        <f>IFERROR(__xludf.DUMMYFUNCTION("""COMPUTED_VALUE"""),44893.0)</f>
        <v>44893</v>
      </c>
      <c r="B974" s="1">
        <f t="shared" ref="B974:U974" si="973">IF($A974&gt;0,Megyeinapi!B974/'megyelakosság'!B$2*100000," ")</f>
        <v>0</v>
      </c>
      <c r="C974" s="1">
        <f t="shared" si="973"/>
        <v>0</v>
      </c>
      <c r="D974" s="1">
        <f t="shared" si="973"/>
        <v>0</v>
      </c>
      <c r="E974" s="1">
        <f t="shared" si="973"/>
        <v>0</v>
      </c>
      <c r="F974" s="1">
        <f t="shared" si="973"/>
        <v>0</v>
      </c>
      <c r="G974" s="1">
        <f t="shared" si="973"/>
        <v>0</v>
      </c>
      <c r="H974" s="1">
        <f t="shared" si="973"/>
        <v>0</v>
      </c>
      <c r="I974" s="1">
        <f t="shared" si="973"/>
        <v>0</v>
      </c>
      <c r="J974" s="1">
        <f t="shared" si="973"/>
        <v>0</v>
      </c>
      <c r="K974" s="1">
        <f t="shared" si="973"/>
        <v>0</v>
      </c>
      <c r="L974" s="1">
        <f t="shared" si="973"/>
        <v>0</v>
      </c>
      <c r="M974" s="1">
        <f t="shared" si="973"/>
        <v>0</v>
      </c>
      <c r="N974" s="1">
        <f t="shared" si="973"/>
        <v>0</v>
      </c>
      <c r="O974" s="1">
        <f t="shared" si="973"/>
        <v>0</v>
      </c>
      <c r="P974" s="1">
        <f t="shared" si="973"/>
        <v>0</v>
      </c>
      <c r="Q974" s="1">
        <f t="shared" si="973"/>
        <v>0</v>
      </c>
      <c r="R974" s="1">
        <f t="shared" si="973"/>
        <v>0</v>
      </c>
      <c r="S974" s="1">
        <f t="shared" si="973"/>
        <v>0</v>
      </c>
      <c r="T974" s="1">
        <f t="shared" si="973"/>
        <v>0</v>
      </c>
      <c r="U974" s="1">
        <f t="shared" si="973"/>
        <v>0</v>
      </c>
    </row>
    <row r="975">
      <c r="A975" s="3">
        <f>IFERROR(__xludf.DUMMYFUNCTION("""COMPUTED_VALUE"""),44894.0)</f>
        <v>44894</v>
      </c>
      <c r="B975" s="1">
        <f t="shared" ref="B975:U975" si="974">IF($A975&gt;0,Megyeinapi!B975/'megyelakosság'!B$2*100000," ")</f>
        <v>0</v>
      </c>
      <c r="C975" s="1">
        <f t="shared" si="974"/>
        <v>0</v>
      </c>
      <c r="D975" s="1">
        <f t="shared" si="974"/>
        <v>0</v>
      </c>
      <c r="E975" s="1">
        <f t="shared" si="974"/>
        <v>0</v>
      </c>
      <c r="F975" s="1">
        <f t="shared" si="974"/>
        <v>0</v>
      </c>
      <c r="G975" s="1">
        <f t="shared" si="974"/>
        <v>0</v>
      </c>
      <c r="H975" s="1">
        <f t="shared" si="974"/>
        <v>0</v>
      </c>
      <c r="I975" s="1">
        <f t="shared" si="974"/>
        <v>0</v>
      </c>
      <c r="J975" s="1">
        <f t="shared" si="974"/>
        <v>0</v>
      </c>
      <c r="K975" s="1">
        <f t="shared" si="974"/>
        <v>0</v>
      </c>
      <c r="L975" s="1">
        <f t="shared" si="974"/>
        <v>0</v>
      </c>
      <c r="M975" s="1">
        <f t="shared" si="974"/>
        <v>0</v>
      </c>
      <c r="N975" s="1">
        <f t="shared" si="974"/>
        <v>0</v>
      </c>
      <c r="O975" s="1">
        <f t="shared" si="974"/>
        <v>0</v>
      </c>
      <c r="P975" s="1">
        <f t="shared" si="974"/>
        <v>0</v>
      </c>
      <c r="Q975" s="1">
        <f t="shared" si="974"/>
        <v>0</v>
      </c>
      <c r="R975" s="1">
        <f t="shared" si="974"/>
        <v>0</v>
      </c>
      <c r="S975" s="1">
        <f t="shared" si="974"/>
        <v>0</v>
      </c>
      <c r="T975" s="1">
        <f t="shared" si="974"/>
        <v>0</v>
      </c>
      <c r="U975" s="1">
        <f t="shared" si="974"/>
        <v>0</v>
      </c>
    </row>
    <row r="976">
      <c r="A976" s="3">
        <f>IFERROR(__xludf.DUMMYFUNCTION("""COMPUTED_VALUE"""),44895.0)</f>
        <v>44895</v>
      </c>
      <c r="B976" s="1">
        <f t="shared" ref="B976:U976" si="975">IF($A976&gt;0,Megyeinapi!B976/'megyelakosság'!B$2*100000," ")</f>
        <v>36.63733025</v>
      </c>
      <c r="C976" s="1">
        <f t="shared" si="975"/>
        <v>50.68099101</v>
      </c>
      <c r="D976" s="1">
        <f t="shared" si="975"/>
        <v>68.97761858</v>
      </c>
      <c r="E976" s="1">
        <f t="shared" si="975"/>
        <v>24.80127585</v>
      </c>
      <c r="F976" s="1">
        <f t="shared" si="975"/>
        <v>45.42296494</v>
      </c>
      <c r="G976" s="1">
        <f t="shared" si="975"/>
        <v>44.43529518</v>
      </c>
      <c r="H976" s="1">
        <f t="shared" si="975"/>
        <v>39.89460181</v>
      </c>
      <c r="I976" s="1">
        <f t="shared" si="975"/>
        <v>59.17897625</v>
      </c>
      <c r="J976" s="1">
        <f t="shared" si="975"/>
        <v>42.33692216</v>
      </c>
      <c r="K976" s="1">
        <f t="shared" si="975"/>
        <v>41.91929003</v>
      </c>
      <c r="L976" s="1">
        <f t="shared" si="975"/>
        <v>38.97466647</v>
      </c>
      <c r="M976" s="1">
        <f t="shared" si="975"/>
        <v>41.52892905</v>
      </c>
      <c r="N976" s="1">
        <f t="shared" si="975"/>
        <v>40.40575888</v>
      </c>
      <c r="O976" s="1">
        <f t="shared" si="975"/>
        <v>45.17763445</v>
      </c>
      <c r="P976" s="1">
        <f t="shared" si="975"/>
        <v>45.67427905</v>
      </c>
      <c r="Q976" s="1">
        <f t="shared" si="975"/>
        <v>40.61723628</v>
      </c>
      <c r="R976" s="1">
        <f t="shared" si="975"/>
        <v>41.76062808</v>
      </c>
      <c r="S976" s="1">
        <f t="shared" si="975"/>
        <v>35.41396963</v>
      </c>
      <c r="T976" s="1">
        <f t="shared" si="975"/>
        <v>40.45058434</v>
      </c>
      <c r="U976" s="1">
        <f t="shared" si="975"/>
        <v>50.13637843</v>
      </c>
    </row>
    <row r="977">
      <c r="A977" s="3">
        <f>IFERROR(__xludf.DUMMYFUNCTION("""COMPUTED_VALUE"""),44896.0)</f>
        <v>44896</v>
      </c>
      <c r="B977" s="1">
        <f t="shared" ref="B977:U977" si="976">IF($A977&gt;0,Megyeinapi!B977/'megyelakosság'!B$2*100000," ")</f>
        <v>0</v>
      </c>
      <c r="C977" s="1">
        <f t="shared" si="976"/>
        <v>0</v>
      </c>
      <c r="D977" s="1">
        <f t="shared" si="976"/>
        <v>0</v>
      </c>
      <c r="E977" s="1">
        <f t="shared" si="976"/>
        <v>0</v>
      </c>
      <c r="F977" s="1">
        <f t="shared" si="976"/>
        <v>0</v>
      </c>
      <c r="G977" s="1">
        <f t="shared" si="976"/>
        <v>0</v>
      </c>
      <c r="H977" s="1">
        <f t="shared" si="976"/>
        <v>0</v>
      </c>
      <c r="I977" s="1">
        <f t="shared" si="976"/>
        <v>0</v>
      </c>
      <c r="J977" s="1">
        <f t="shared" si="976"/>
        <v>0</v>
      </c>
      <c r="K977" s="1">
        <f t="shared" si="976"/>
        <v>0</v>
      </c>
      <c r="L977" s="1">
        <f t="shared" si="976"/>
        <v>0</v>
      </c>
      <c r="M977" s="1">
        <f t="shared" si="976"/>
        <v>0</v>
      </c>
      <c r="N977" s="1">
        <f t="shared" si="976"/>
        <v>0</v>
      </c>
      <c r="O977" s="1">
        <f t="shared" si="976"/>
        <v>0</v>
      </c>
      <c r="P977" s="1">
        <f t="shared" si="976"/>
        <v>0</v>
      </c>
      <c r="Q977" s="1">
        <f t="shared" si="976"/>
        <v>0</v>
      </c>
      <c r="R977" s="1">
        <f t="shared" si="976"/>
        <v>0</v>
      </c>
      <c r="S977" s="1">
        <f t="shared" si="976"/>
        <v>0</v>
      </c>
      <c r="T977" s="1">
        <f t="shared" si="976"/>
        <v>0</v>
      </c>
      <c r="U977" s="1">
        <f t="shared" si="976"/>
        <v>0</v>
      </c>
    </row>
    <row r="978">
      <c r="A978" s="3">
        <f>IFERROR(__xludf.DUMMYFUNCTION("""COMPUTED_VALUE"""),44897.0)</f>
        <v>44897</v>
      </c>
      <c r="B978" s="1">
        <f t="shared" ref="B978:U978" si="977">IF($A978&gt;0,Megyeinapi!B978/'megyelakosság'!B$2*100000," ")</f>
        <v>0</v>
      </c>
      <c r="C978" s="1">
        <f t="shared" si="977"/>
        <v>0</v>
      </c>
      <c r="D978" s="1">
        <f t="shared" si="977"/>
        <v>0</v>
      </c>
      <c r="E978" s="1">
        <f t="shared" si="977"/>
        <v>0</v>
      </c>
      <c r="F978" s="1">
        <f t="shared" si="977"/>
        <v>0</v>
      </c>
      <c r="G978" s="1">
        <f t="shared" si="977"/>
        <v>0</v>
      </c>
      <c r="H978" s="1">
        <f t="shared" si="977"/>
        <v>0</v>
      </c>
      <c r="I978" s="1">
        <f t="shared" si="977"/>
        <v>0</v>
      </c>
      <c r="J978" s="1">
        <f t="shared" si="977"/>
        <v>0</v>
      </c>
      <c r="K978" s="1">
        <f t="shared" si="977"/>
        <v>0</v>
      </c>
      <c r="L978" s="1">
        <f t="shared" si="977"/>
        <v>0</v>
      </c>
      <c r="M978" s="1">
        <f t="shared" si="977"/>
        <v>0</v>
      </c>
      <c r="N978" s="1">
        <f t="shared" si="977"/>
        <v>0</v>
      </c>
      <c r="O978" s="1">
        <f t="shared" si="977"/>
        <v>0</v>
      </c>
      <c r="P978" s="1">
        <f t="shared" si="977"/>
        <v>0</v>
      </c>
      <c r="Q978" s="1">
        <f t="shared" si="977"/>
        <v>0</v>
      </c>
      <c r="R978" s="1">
        <f t="shared" si="977"/>
        <v>0</v>
      </c>
      <c r="S978" s="1">
        <f t="shared" si="977"/>
        <v>0</v>
      </c>
      <c r="T978" s="1">
        <f t="shared" si="977"/>
        <v>0</v>
      </c>
      <c r="U978" s="1">
        <f t="shared" si="977"/>
        <v>0</v>
      </c>
    </row>
    <row r="979">
      <c r="A979" s="3">
        <f>IFERROR(__xludf.DUMMYFUNCTION("""COMPUTED_VALUE"""),44898.0)</f>
        <v>44898</v>
      </c>
      <c r="B979" s="1">
        <f t="shared" ref="B979:U979" si="978">IF($A979&gt;0,Megyeinapi!B979/'megyelakosság'!B$2*100000," ")</f>
        <v>0</v>
      </c>
      <c r="C979" s="1">
        <f t="shared" si="978"/>
        <v>0</v>
      </c>
      <c r="D979" s="1">
        <f t="shared" si="978"/>
        <v>0</v>
      </c>
      <c r="E979" s="1">
        <f t="shared" si="978"/>
        <v>0</v>
      </c>
      <c r="F979" s="1">
        <f t="shared" si="978"/>
        <v>0</v>
      </c>
      <c r="G979" s="1">
        <f t="shared" si="978"/>
        <v>0</v>
      </c>
      <c r="H979" s="1">
        <f t="shared" si="978"/>
        <v>0</v>
      </c>
      <c r="I979" s="1">
        <f t="shared" si="978"/>
        <v>0</v>
      </c>
      <c r="J979" s="1">
        <f t="shared" si="978"/>
        <v>0</v>
      </c>
      <c r="K979" s="1">
        <f t="shared" si="978"/>
        <v>0</v>
      </c>
      <c r="L979" s="1">
        <f t="shared" si="978"/>
        <v>0</v>
      </c>
      <c r="M979" s="1">
        <f t="shared" si="978"/>
        <v>0</v>
      </c>
      <c r="N979" s="1">
        <f t="shared" si="978"/>
        <v>0</v>
      </c>
      <c r="O979" s="1">
        <f t="shared" si="978"/>
        <v>0</v>
      </c>
      <c r="P979" s="1">
        <f t="shared" si="978"/>
        <v>0</v>
      </c>
      <c r="Q979" s="1">
        <f t="shared" si="978"/>
        <v>0</v>
      </c>
      <c r="R979" s="1">
        <f t="shared" si="978"/>
        <v>0</v>
      </c>
      <c r="S979" s="1">
        <f t="shared" si="978"/>
        <v>0</v>
      </c>
      <c r="T979" s="1">
        <f t="shared" si="978"/>
        <v>0</v>
      </c>
      <c r="U979" s="1">
        <f t="shared" si="978"/>
        <v>0</v>
      </c>
    </row>
    <row r="980">
      <c r="A980" s="3">
        <f>IFERROR(__xludf.DUMMYFUNCTION("""COMPUTED_VALUE"""),44899.0)</f>
        <v>44899</v>
      </c>
      <c r="B980" s="1">
        <f t="shared" ref="B980:U980" si="979">IF($A980&gt;0,Megyeinapi!B980/'megyelakosság'!B$2*100000," ")</f>
        <v>0</v>
      </c>
      <c r="C980" s="1">
        <f t="shared" si="979"/>
        <v>0</v>
      </c>
      <c r="D980" s="1">
        <f t="shared" si="979"/>
        <v>0</v>
      </c>
      <c r="E980" s="1">
        <f t="shared" si="979"/>
        <v>0</v>
      </c>
      <c r="F980" s="1">
        <f t="shared" si="979"/>
        <v>0</v>
      </c>
      <c r="G980" s="1">
        <f t="shared" si="979"/>
        <v>0</v>
      </c>
      <c r="H980" s="1">
        <f t="shared" si="979"/>
        <v>0</v>
      </c>
      <c r="I980" s="1">
        <f t="shared" si="979"/>
        <v>0</v>
      </c>
      <c r="J980" s="1">
        <f t="shared" si="979"/>
        <v>0</v>
      </c>
      <c r="K980" s="1">
        <f t="shared" si="979"/>
        <v>0</v>
      </c>
      <c r="L980" s="1">
        <f t="shared" si="979"/>
        <v>0</v>
      </c>
      <c r="M980" s="1">
        <f t="shared" si="979"/>
        <v>0</v>
      </c>
      <c r="N980" s="1">
        <f t="shared" si="979"/>
        <v>0</v>
      </c>
      <c r="O980" s="1">
        <f t="shared" si="979"/>
        <v>0</v>
      </c>
      <c r="P980" s="1">
        <f t="shared" si="979"/>
        <v>0</v>
      </c>
      <c r="Q980" s="1">
        <f t="shared" si="979"/>
        <v>0</v>
      </c>
      <c r="R980" s="1">
        <f t="shared" si="979"/>
        <v>0</v>
      </c>
      <c r="S980" s="1">
        <f t="shared" si="979"/>
        <v>0</v>
      </c>
      <c r="T980" s="1">
        <f t="shared" si="979"/>
        <v>0</v>
      </c>
      <c r="U980" s="1">
        <f t="shared" si="979"/>
        <v>0</v>
      </c>
    </row>
    <row r="981">
      <c r="A981" s="3">
        <f>IFERROR(__xludf.DUMMYFUNCTION("""COMPUTED_VALUE"""),44900.0)</f>
        <v>44900</v>
      </c>
      <c r="B981" s="1">
        <f t="shared" ref="B981:U981" si="980">IF($A981&gt;0,Megyeinapi!B981/'megyelakosság'!B$2*100000," ")</f>
        <v>0</v>
      </c>
      <c r="C981" s="1">
        <f t="shared" si="980"/>
        <v>0</v>
      </c>
      <c r="D981" s="1">
        <f t="shared" si="980"/>
        <v>0</v>
      </c>
      <c r="E981" s="1">
        <f t="shared" si="980"/>
        <v>0</v>
      </c>
      <c r="F981" s="1">
        <f t="shared" si="980"/>
        <v>0</v>
      </c>
      <c r="G981" s="1">
        <f t="shared" si="980"/>
        <v>0</v>
      </c>
      <c r="H981" s="1">
        <f t="shared" si="980"/>
        <v>0</v>
      </c>
      <c r="I981" s="1">
        <f t="shared" si="980"/>
        <v>0</v>
      </c>
      <c r="J981" s="1">
        <f t="shared" si="980"/>
        <v>0</v>
      </c>
      <c r="K981" s="1">
        <f t="shared" si="980"/>
        <v>0</v>
      </c>
      <c r="L981" s="1">
        <f t="shared" si="980"/>
        <v>0</v>
      </c>
      <c r="M981" s="1">
        <f t="shared" si="980"/>
        <v>0</v>
      </c>
      <c r="N981" s="1">
        <f t="shared" si="980"/>
        <v>0</v>
      </c>
      <c r="O981" s="1">
        <f t="shared" si="980"/>
        <v>0</v>
      </c>
      <c r="P981" s="1">
        <f t="shared" si="980"/>
        <v>0</v>
      </c>
      <c r="Q981" s="1">
        <f t="shared" si="980"/>
        <v>0</v>
      </c>
      <c r="R981" s="1">
        <f t="shared" si="980"/>
        <v>0</v>
      </c>
      <c r="S981" s="1">
        <f t="shared" si="980"/>
        <v>0</v>
      </c>
      <c r="T981" s="1">
        <f t="shared" si="980"/>
        <v>0</v>
      </c>
      <c r="U981" s="1">
        <f t="shared" si="980"/>
        <v>0</v>
      </c>
    </row>
    <row r="982">
      <c r="A982" s="3">
        <f>IFERROR(__xludf.DUMMYFUNCTION("""COMPUTED_VALUE"""),44901.0)</f>
        <v>44901</v>
      </c>
      <c r="B982" s="1">
        <f t="shared" ref="B982:U982" si="981">IF($A982&gt;0,Megyeinapi!B982/'megyelakosság'!B$2*100000," ")</f>
        <v>0</v>
      </c>
      <c r="C982" s="1">
        <f t="shared" si="981"/>
        <v>0</v>
      </c>
      <c r="D982" s="1">
        <f t="shared" si="981"/>
        <v>0</v>
      </c>
      <c r="E982" s="1">
        <f t="shared" si="981"/>
        <v>0</v>
      </c>
      <c r="F982" s="1">
        <f t="shared" si="981"/>
        <v>0</v>
      </c>
      <c r="G982" s="1">
        <f t="shared" si="981"/>
        <v>0</v>
      </c>
      <c r="H982" s="1">
        <f t="shared" si="981"/>
        <v>0</v>
      </c>
      <c r="I982" s="1">
        <f t="shared" si="981"/>
        <v>0</v>
      </c>
      <c r="J982" s="1">
        <f t="shared" si="981"/>
        <v>0</v>
      </c>
      <c r="K982" s="1">
        <f t="shared" si="981"/>
        <v>0</v>
      </c>
      <c r="L982" s="1">
        <f t="shared" si="981"/>
        <v>0</v>
      </c>
      <c r="M982" s="1">
        <f t="shared" si="981"/>
        <v>0</v>
      </c>
      <c r="N982" s="1">
        <f t="shared" si="981"/>
        <v>0</v>
      </c>
      <c r="O982" s="1">
        <f t="shared" si="981"/>
        <v>0</v>
      </c>
      <c r="P982" s="1">
        <f t="shared" si="981"/>
        <v>0</v>
      </c>
      <c r="Q982" s="1">
        <f t="shared" si="981"/>
        <v>0</v>
      </c>
      <c r="R982" s="1">
        <f t="shared" si="981"/>
        <v>0</v>
      </c>
      <c r="S982" s="1">
        <f t="shared" si="981"/>
        <v>0</v>
      </c>
      <c r="T982" s="1">
        <f t="shared" si="981"/>
        <v>0</v>
      </c>
      <c r="U982" s="1">
        <f t="shared" si="981"/>
        <v>0</v>
      </c>
    </row>
    <row r="983">
      <c r="A983" s="3">
        <f>IFERROR(__xludf.DUMMYFUNCTION("""COMPUTED_VALUE"""),44902.0)</f>
        <v>44902</v>
      </c>
      <c r="B983" s="1">
        <f t="shared" ref="B983:U983" si="982">IF($A983&gt;0,Megyeinapi!B983/'megyelakosság'!B$2*100000," ")</f>
        <v>35.24351878</v>
      </c>
      <c r="C983" s="1">
        <f t="shared" si="982"/>
        <v>53.74412783</v>
      </c>
      <c r="D983" s="1">
        <f t="shared" si="982"/>
        <v>61.71681662</v>
      </c>
      <c r="E983" s="1">
        <f t="shared" si="982"/>
        <v>27.31279746</v>
      </c>
      <c r="F983" s="1">
        <f t="shared" si="982"/>
        <v>57.76429881</v>
      </c>
      <c r="G983" s="1">
        <f t="shared" si="982"/>
        <v>45.43948264</v>
      </c>
      <c r="H983" s="1">
        <f t="shared" si="982"/>
        <v>43.00016961</v>
      </c>
      <c r="I983" s="1">
        <f t="shared" si="982"/>
        <v>54.95190651</v>
      </c>
      <c r="J983" s="1">
        <f t="shared" si="982"/>
        <v>45.37454886</v>
      </c>
      <c r="K983" s="1">
        <f t="shared" si="982"/>
        <v>40.21525385</v>
      </c>
      <c r="L983" s="1">
        <f t="shared" si="982"/>
        <v>39.24721658</v>
      </c>
      <c r="M983" s="1">
        <f t="shared" si="982"/>
        <v>40.20000332</v>
      </c>
      <c r="N983" s="1">
        <f t="shared" si="982"/>
        <v>48.91223444</v>
      </c>
      <c r="O983" s="1">
        <f t="shared" si="982"/>
        <v>58.74634377</v>
      </c>
      <c r="P983" s="1">
        <f t="shared" si="982"/>
        <v>40.00666778</v>
      </c>
      <c r="Q983" s="1">
        <f t="shared" si="982"/>
        <v>35.15303409</v>
      </c>
      <c r="R983" s="1">
        <f t="shared" si="982"/>
        <v>48.25672578</v>
      </c>
      <c r="S983" s="1">
        <f t="shared" si="982"/>
        <v>40.13583225</v>
      </c>
      <c r="T983" s="1">
        <f t="shared" si="982"/>
        <v>51.29603086</v>
      </c>
      <c r="U983" s="1">
        <f t="shared" si="982"/>
        <v>57.61941999</v>
      </c>
    </row>
    <row r="984">
      <c r="A984" s="3">
        <f>IFERROR(__xludf.DUMMYFUNCTION("""COMPUTED_VALUE"""),44903.0)</f>
        <v>44903</v>
      </c>
      <c r="B984" s="1">
        <f t="shared" ref="B984:U984" si="983">IF($A984&gt;0,Megyeinapi!B984/'megyelakosság'!B$2*100000," ")</f>
        <v>0</v>
      </c>
      <c r="C984" s="1">
        <f t="shared" si="983"/>
        <v>0</v>
      </c>
      <c r="D984" s="1">
        <f t="shared" si="983"/>
        <v>0</v>
      </c>
      <c r="E984" s="1">
        <f t="shared" si="983"/>
        <v>0</v>
      </c>
      <c r="F984" s="1">
        <f t="shared" si="983"/>
        <v>0</v>
      </c>
      <c r="G984" s="1">
        <f t="shared" si="983"/>
        <v>0</v>
      </c>
      <c r="H984" s="1">
        <f t="shared" si="983"/>
        <v>0</v>
      </c>
      <c r="I984" s="1">
        <f t="shared" si="983"/>
        <v>0</v>
      </c>
      <c r="J984" s="1">
        <f t="shared" si="983"/>
        <v>0</v>
      </c>
      <c r="K984" s="1">
        <f t="shared" si="983"/>
        <v>0</v>
      </c>
      <c r="L984" s="1">
        <f t="shared" si="983"/>
        <v>0</v>
      </c>
      <c r="M984" s="1">
        <f t="shared" si="983"/>
        <v>0</v>
      </c>
      <c r="N984" s="1">
        <f t="shared" si="983"/>
        <v>0</v>
      </c>
      <c r="O984" s="1">
        <f t="shared" si="983"/>
        <v>0</v>
      </c>
      <c r="P984" s="1">
        <f t="shared" si="983"/>
        <v>0</v>
      </c>
      <c r="Q984" s="1">
        <f t="shared" si="983"/>
        <v>0</v>
      </c>
      <c r="R984" s="1">
        <f t="shared" si="983"/>
        <v>0</v>
      </c>
      <c r="S984" s="1">
        <f t="shared" si="983"/>
        <v>0</v>
      </c>
      <c r="T984" s="1">
        <f t="shared" si="983"/>
        <v>0</v>
      </c>
      <c r="U984" s="1">
        <f t="shared" si="983"/>
        <v>0</v>
      </c>
    </row>
    <row r="985">
      <c r="A985" s="3">
        <f>IFERROR(__xludf.DUMMYFUNCTION("""COMPUTED_VALUE"""),44904.0)</f>
        <v>44904</v>
      </c>
      <c r="B985" s="1">
        <f t="shared" ref="B985:U985" si="984">IF($A985&gt;0,Megyeinapi!B985/'megyelakosság'!B$2*100000," ")</f>
        <v>0</v>
      </c>
      <c r="C985" s="1">
        <f t="shared" si="984"/>
        <v>0</v>
      </c>
      <c r="D985" s="1">
        <f t="shared" si="984"/>
        <v>0</v>
      </c>
      <c r="E985" s="1">
        <f t="shared" si="984"/>
        <v>0</v>
      </c>
      <c r="F985" s="1">
        <f t="shared" si="984"/>
        <v>0</v>
      </c>
      <c r="G985" s="1">
        <f t="shared" si="984"/>
        <v>0</v>
      </c>
      <c r="H985" s="1">
        <f t="shared" si="984"/>
        <v>0</v>
      </c>
      <c r="I985" s="1">
        <f t="shared" si="984"/>
        <v>0</v>
      </c>
      <c r="J985" s="1">
        <f t="shared" si="984"/>
        <v>0</v>
      </c>
      <c r="K985" s="1">
        <f t="shared" si="984"/>
        <v>0</v>
      </c>
      <c r="L985" s="1">
        <f t="shared" si="984"/>
        <v>0</v>
      </c>
      <c r="M985" s="1">
        <f t="shared" si="984"/>
        <v>0</v>
      </c>
      <c r="N985" s="1">
        <f t="shared" si="984"/>
        <v>0</v>
      </c>
      <c r="O985" s="1">
        <f t="shared" si="984"/>
        <v>0</v>
      </c>
      <c r="P985" s="1">
        <f t="shared" si="984"/>
        <v>0</v>
      </c>
      <c r="Q985" s="1">
        <f t="shared" si="984"/>
        <v>0</v>
      </c>
      <c r="R985" s="1">
        <f t="shared" si="984"/>
        <v>0</v>
      </c>
      <c r="S985" s="1">
        <f t="shared" si="984"/>
        <v>0</v>
      </c>
      <c r="T985" s="1">
        <f t="shared" si="984"/>
        <v>0</v>
      </c>
      <c r="U985" s="1">
        <f t="shared" si="984"/>
        <v>0</v>
      </c>
    </row>
    <row r="986">
      <c r="A986" s="3">
        <f>IFERROR(__xludf.DUMMYFUNCTION("""COMPUTED_VALUE"""),44905.0)</f>
        <v>44905</v>
      </c>
      <c r="B986" s="1">
        <f t="shared" ref="B986:U986" si="985">IF($A986&gt;0,Megyeinapi!B986/'megyelakosság'!B$2*100000," ")</f>
        <v>0</v>
      </c>
      <c r="C986" s="1">
        <f t="shared" si="985"/>
        <v>0</v>
      </c>
      <c r="D986" s="1">
        <f t="shared" si="985"/>
        <v>0</v>
      </c>
      <c r="E986" s="1">
        <f t="shared" si="985"/>
        <v>0</v>
      </c>
      <c r="F986" s="1">
        <f t="shared" si="985"/>
        <v>0</v>
      </c>
      <c r="G986" s="1">
        <f t="shared" si="985"/>
        <v>0</v>
      </c>
      <c r="H986" s="1">
        <f t="shared" si="985"/>
        <v>0</v>
      </c>
      <c r="I986" s="1">
        <f t="shared" si="985"/>
        <v>0</v>
      </c>
      <c r="J986" s="1">
        <f t="shared" si="985"/>
        <v>0</v>
      </c>
      <c r="K986" s="1">
        <f t="shared" si="985"/>
        <v>0</v>
      </c>
      <c r="L986" s="1">
        <f t="shared" si="985"/>
        <v>0</v>
      </c>
      <c r="M986" s="1">
        <f t="shared" si="985"/>
        <v>0</v>
      </c>
      <c r="N986" s="1">
        <f t="shared" si="985"/>
        <v>0</v>
      </c>
      <c r="O986" s="1">
        <f t="shared" si="985"/>
        <v>0</v>
      </c>
      <c r="P986" s="1">
        <f t="shared" si="985"/>
        <v>0</v>
      </c>
      <c r="Q986" s="1">
        <f t="shared" si="985"/>
        <v>0</v>
      </c>
      <c r="R986" s="1">
        <f t="shared" si="985"/>
        <v>0</v>
      </c>
      <c r="S986" s="1">
        <f t="shared" si="985"/>
        <v>0</v>
      </c>
      <c r="T986" s="1">
        <f t="shared" si="985"/>
        <v>0</v>
      </c>
      <c r="U986" s="1">
        <f t="shared" si="985"/>
        <v>0</v>
      </c>
    </row>
    <row r="987">
      <c r="A987" s="3">
        <f>IFERROR(__xludf.DUMMYFUNCTION("""COMPUTED_VALUE"""),44906.0)</f>
        <v>44906</v>
      </c>
      <c r="B987" s="1">
        <f t="shared" ref="B987:U987" si="986">IF($A987&gt;0,Megyeinapi!B987/'megyelakosság'!B$2*100000," ")</f>
        <v>0</v>
      </c>
      <c r="C987" s="1">
        <f t="shared" si="986"/>
        <v>0</v>
      </c>
      <c r="D987" s="1">
        <f t="shared" si="986"/>
        <v>0</v>
      </c>
      <c r="E987" s="1">
        <f t="shared" si="986"/>
        <v>0</v>
      </c>
      <c r="F987" s="1">
        <f t="shared" si="986"/>
        <v>0</v>
      </c>
      <c r="G987" s="1">
        <f t="shared" si="986"/>
        <v>0</v>
      </c>
      <c r="H987" s="1">
        <f t="shared" si="986"/>
        <v>0</v>
      </c>
      <c r="I987" s="1">
        <f t="shared" si="986"/>
        <v>0</v>
      </c>
      <c r="J987" s="1">
        <f t="shared" si="986"/>
        <v>0</v>
      </c>
      <c r="K987" s="1">
        <f t="shared" si="986"/>
        <v>0</v>
      </c>
      <c r="L987" s="1">
        <f t="shared" si="986"/>
        <v>0</v>
      </c>
      <c r="M987" s="1">
        <f t="shared" si="986"/>
        <v>0</v>
      </c>
      <c r="N987" s="1">
        <f t="shared" si="986"/>
        <v>0</v>
      </c>
      <c r="O987" s="1">
        <f t="shared" si="986"/>
        <v>0</v>
      </c>
      <c r="P987" s="1">
        <f t="shared" si="986"/>
        <v>0</v>
      </c>
      <c r="Q987" s="1">
        <f t="shared" si="986"/>
        <v>0</v>
      </c>
      <c r="R987" s="1">
        <f t="shared" si="986"/>
        <v>0</v>
      </c>
      <c r="S987" s="1">
        <f t="shared" si="986"/>
        <v>0</v>
      </c>
      <c r="T987" s="1">
        <f t="shared" si="986"/>
        <v>0</v>
      </c>
      <c r="U987" s="1">
        <f t="shared" si="986"/>
        <v>0</v>
      </c>
    </row>
    <row r="988">
      <c r="A988" s="3">
        <f>IFERROR(__xludf.DUMMYFUNCTION("""COMPUTED_VALUE"""),44907.0)</f>
        <v>44907</v>
      </c>
      <c r="B988" s="1">
        <f t="shared" ref="B988:U988" si="987">IF($A988&gt;0,Megyeinapi!B988/'megyelakosság'!B$2*100000," ")</f>
        <v>0</v>
      </c>
      <c r="C988" s="1">
        <f t="shared" si="987"/>
        <v>0</v>
      </c>
      <c r="D988" s="1">
        <f t="shared" si="987"/>
        <v>0</v>
      </c>
      <c r="E988" s="1">
        <f t="shared" si="987"/>
        <v>0</v>
      </c>
      <c r="F988" s="1">
        <f t="shared" si="987"/>
        <v>0</v>
      </c>
      <c r="G988" s="1">
        <f t="shared" si="987"/>
        <v>0</v>
      </c>
      <c r="H988" s="1">
        <f t="shared" si="987"/>
        <v>0</v>
      </c>
      <c r="I988" s="1">
        <f t="shared" si="987"/>
        <v>0</v>
      </c>
      <c r="J988" s="1">
        <f t="shared" si="987"/>
        <v>0</v>
      </c>
      <c r="K988" s="1">
        <f t="shared" si="987"/>
        <v>0</v>
      </c>
      <c r="L988" s="1">
        <f t="shared" si="987"/>
        <v>0</v>
      </c>
      <c r="M988" s="1">
        <f t="shared" si="987"/>
        <v>0</v>
      </c>
      <c r="N988" s="1">
        <f t="shared" si="987"/>
        <v>0</v>
      </c>
      <c r="O988" s="1">
        <f t="shared" si="987"/>
        <v>0</v>
      </c>
      <c r="P988" s="1">
        <f t="shared" si="987"/>
        <v>0</v>
      </c>
      <c r="Q988" s="1">
        <f t="shared" si="987"/>
        <v>0</v>
      </c>
      <c r="R988" s="1">
        <f t="shared" si="987"/>
        <v>0</v>
      </c>
      <c r="S988" s="1">
        <f t="shared" si="987"/>
        <v>0</v>
      </c>
      <c r="T988" s="1">
        <f t="shared" si="987"/>
        <v>0</v>
      </c>
      <c r="U988" s="1">
        <f t="shared" si="987"/>
        <v>0</v>
      </c>
    </row>
    <row r="989">
      <c r="A989" s="3">
        <f>IFERROR(__xludf.DUMMYFUNCTION("""COMPUTED_VALUE"""),44908.0)</f>
        <v>44908</v>
      </c>
      <c r="B989" s="1">
        <f t="shared" ref="B989:U989" si="988">IF($A989&gt;0,Megyeinapi!B989/'megyelakosság'!B$2*100000," ")</f>
        <v>0</v>
      </c>
      <c r="C989" s="1">
        <f t="shared" si="988"/>
        <v>0</v>
      </c>
      <c r="D989" s="1">
        <f t="shared" si="988"/>
        <v>0</v>
      </c>
      <c r="E989" s="1">
        <f t="shared" si="988"/>
        <v>0</v>
      </c>
      <c r="F989" s="1">
        <f t="shared" si="988"/>
        <v>0</v>
      </c>
      <c r="G989" s="1">
        <f t="shared" si="988"/>
        <v>0</v>
      </c>
      <c r="H989" s="1">
        <f t="shared" si="988"/>
        <v>0</v>
      </c>
      <c r="I989" s="1">
        <f t="shared" si="988"/>
        <v>0</v>
      </c>
      <c r="J989" s="1">
        <f t="shared" si="988"/>
        <v>0</v>
      </c>
      <c r="K989" s="1">
        <f t="shared" si="988"/>
        <v>0</v>
      </c>
      <c r="L989" s="1">
        <f t="shared" si="988"/>
        <v>0</v>
      </c>
      <c r="M989" s="1">
        <f t="shared" si="988"/>
        <v>0</v>
      </c>
      <c r="N989" s="1">
        <f t="shared" si="988"/>
        <v>0</v>
      </c>
      <c r="O989" s="1">
        <f t="shared" si="988"/>
        <v>0</v>
      </c>
      <c r="P989" s="1">
        <f t="shared" si="988"/>
        <v>0</v>
      </c>
      <c r="Q989" s="1">
        <f t="shared" si="988"/>
        <v>0</v>
      </c>
      <c r="R989" s="1">
        <f t="shared" si="988"/>
        <v>0</v>
      </c>
      <c r="S989" s="1">
        <f t="shared" si="988"/>
        <v>0</v>
      </c>
      <c r="T989" s="1">
        <f t="shared" si="988"/>
        <v>0</v>
      </c>
      <c r="U989" s="1">
        <f t="shared" si="988"/>
        <v>0</v>
      </c>
    </row>
    <row r="990">
      <c r="A990" s="3">
        <f>IFERROR(__xludf.DUMMYFUNCTION("""COMPUTED_VALUE"""),44909.0)</f>
        <v>44909</v>
      </c>
      <c r="B990" s="1">
        <f t="shared" ref="B990:U990" si="989">IF($A990&gt;0,Megyeinapi!B990/'megyelakosság'!B$2*100000," ")</f>
        <v>36.63733025</v>
      </c>
      <c r="C990" s="1">
        <f t="shared" si="989"/>
        <v>64.60434019</v>
      </c>
      <c r="D990" s="1">
        <f t="shared" si="989"/>
        <v>72.30548614</v>
      </c>
      <c r="E990" s="1">
        <f t="shared" si="989"/>
        <v>30.60916957</v>
      </c>
      <c r="F990" s="1">
        <f t="shared" si="989"/>
        <v>66.9060276</v>
      </c>
      <c r="G990" s="1">
        <f t="shared" si="989"/>
        <v>54.97926353</v>
      </c>
      <c r="H990" s="1">
        <f t="shared" si="989"/>
        <v>48.97241539</v>
      </c>
      <c r="I990" s="1">
        <f t="shared" si="989"/>
        <v>67.42176222</v>
      </c>
      <c r="J990" s="1">
        <f t="shared" si="989"/>
        <v>41.19781215</v>
      </c>
      <c r="K990" s="1">
        <f t="shared" si="989"/>
        <v>41.23767556</v>
      </c>
      <c r="L990" s="1">
        <f t="shared" si="989"/>
        <v>41.15506739</v>
      </c>
      <c r="M990" s="1">
        <f t="shared" si="989"/>
        <v>43.52231765</v>
      </c>
      <c r="N990" s="1">
        <f t="shared" si="989"/>
        <v>42.00072305</v>
      </c>
      <c r="O990" s="1">
        <f t="shared" si="989"/>
        <v>61.36757171</v>
      </c>
      <c r="P990" s="1">
        <f t="shared" si="989"/>
        <v>48.00800133</v>
      </c>
      <c r="Q990" s="1">
        <f t="shared" si="989"/>
        <v>47.17427891</v>
      </c>
      <c r="R990" s="1">
        <f t="shared" si="989"/>
        <v>45.00867693</v>
      </c>
      <c r="S990" s="1">
        <f t="shared" si="989"/>
        <v>35.80745818</v>
      </c>
      <c r="T990" s="1">
        <f t="shared" si="989"/>
        <v>57.15843439</v>
      </c>
      <c r="U990" s="1">
        <f t="shared" si="989"/>
        <v>55.37450752</v>
      </c>
    </row>
    <row r="991">
      <c r="A991" s="3">
        <f>IFERROR(__xludf.DUMMYFUNCTION("""COMPUTED_VALUE"""),44910.0)</f>
        <v>44910</v>
      </c>
      <c r="B991" s="1">
        <f t="shared" ref="B991:U991" si="990">IF($A991&gt;0,Megyeinapi!B991/'megyelakosság'!B$2*100000," ")</f>
        <v>0</v>
      </c>
      <c r="C991" s="1">
        <f t="shared" si="990"/>
        <v>0</v>
      </c>
      <c r="D991" s="1">
        <f t="shared" si="990"/>
        <v>0</v>
      </c>
      <c r="E991" s="1">
        <f t="shared" si="990"/>
        <v>0</v>
      </c>
      <c r="F991" s="1">
        <f t="shared" si="990"/>
        <v>0</v>
      </c>
      <c r="G991" s="1">
        <f t="shared" si="990"/>
        <v>0</v>
      </c>
      <c r="H991" s="1">
        <f t="shared" si="990"/>
        <v>0</v>
      </c>
      <c r="I991" s="1">
        <f t="shared" si="990"/>
        <v>0</v>
      </c>
      <c r="J991" s="1">
        <f t="shared" si="990"/>
        <v>0</v>
      </c>
      <c r="K991" s="1">
        <f t="shared" si="990"/>
        <v>0</v>
      </c>
      <c r="L991" s="1">
        <f t="shared" si="990"/>
        <v>0</v>
      </c>
      <c r="M991" s="1">
        <f t="shared" si="990"/>
        <v>0</v>
      </c>
      <c r="N991" s="1">
        <f t="shared" si="990"/>
        <v>0</v>
      </c>
      <c r="O991" s="1">
        <f t="shared" si="990"/>
        <v>0</v>
      </c>
      <c r="P991" s="1">
        <f t="shared" si="990"/>
        <v>0</v>
      </c>
      <c r="Q991" s="1">
        <f t="shared" si="990"/>
        <v>0</v>
      </c>
      <c r="R991" s="1">
        <f t="shared" si="990"/>
        <v>0</v>
      </c>
      <c r="S991" s="1">
        <f t="shared" si="990"/>
        <v>0</v>
      </c>
      <c r="T991" s="1">
        <f t="shared" si="990"/>
        <v>0</v>
      </c>
      <c r="U991" s="1">
        <f t="shared" si="990"/>
        <v>0</v>
      </c>
    </row>
    <row r="992">
      <c r="A992" s="3">
        <f>IFERROR(__xludf.DUMMYFUNCTION("""COMPUTED_VALUE"""),44911.0)</f>
        <v>44911</v>
      </c>
      <c r="B992" s="1">
        <f t="shared" ref="B992:U992" si="991">IF($A992&gt;0,Megyeinapi!B992/'megyelakosság'!B$2*100000," ")</f>
        <v>0</v>
      </c>
      <c r="C992" s="1">
        <f t="shared" si="991"/>
        <v>0</v>
      </c>
      <c r="D992" s="1">
        <f t="shared" si="991"/>
        <v>0</v>
      </c>
      <c r="E992" s="1">
        <f t="shared" si="991"/>
        <v>0</v>
      </c>
      <c r="F992" s="1">
        <f t="shared" si="991"/>
        <v>0</v>
      </c>
      <c r="G992" s="1">
        <f t="shared" si="991"/>
        <v>0</v>
      </c>
      <c r="H992" s="1">
        <f t="shared" si="991"/>
        <v>0</v>
      </c>
      <c r="I992" s="1">
        <f t="shared" si="991"/>
        <v>0</v>
      </c>
      <c r="J992" s="1">
        <f t="shared" si="991"/>
        <v>0</v>
      </c>
      <c r="K992" s="1">
        <f t="shared" si="991"/>
        <v>0</v>
      </c>
      <c r="L992" s="1">
        <f t="shared" si="991"/>
        <v>0</v>
      </c>
      <c r="M992" s="1">
        <f t="shared" si="991"/>
        <v>0</v>
      </c>
      <c r="N992" s="1">
        <f t="shared" si="991"/>
        <v>0</v>
      </c>
      <c r="O992" s="1">
        <f t="shared" si="991"/>
        <v>0</v>
      </c>
      <c r="P992" s="1">
        <f t="shared" si="991"/>
        <v>0</v>
      </c>
      <c r="Q992" s="1">
        <f t="shared" si="991"/>
        <v>0</v>
      </c>
      <c r="R992" s="1">
        <f t="shared" si="991"/>
        <v>0</v>
      </c>
      <c r="S992" s="1">
        <f t="shared" si="991"/>
        <v>0</v>
      </c>
      <c r="T992" s="1">
        <f t="shared" si="991"/>
        <v>0</v>
      </c>
      <c r="U992" s="1">
        <f t="shared" si="991"/>
        <v>0</v>
      </c>
    </row>
    <row r="993">
      <c r="A993" s="3">
        <f>IFERROR(__xludf.DUMMYFUNCTION("""COMPUTED_VALUE"""),44912.0)</f>
        <v>44912</v>
      </c>
      <c r="B993" s="1">
        <f t="shared" ref="B993:U993" si="992">IF($A993&gt;0,Megyeinapi!B993/'megyelakosság'!B$2*100000," ")</f>
        <v>0</v>
      </c>
      <c r="C993" s="1">
        <f t="shared" si="992"/>
        <v>0</v>
      </c>
      <c r="D993" s="1">
        <f t="shared" si="992"/>
        <v>0</v>
      </c>
      <c r="E993" s="1">
        <f t="shared" si="992"/>
        <v>0</v>
      </c>
      <c r="F993" s="1">
        <f t="shared" si="992"/>
        <v>0</v>
      </c>
      <c r="G993" s="1">
        <f t="shared" si="992"/>
        <v>0</v>
      </c>
      <c r="H993" s="1">
        <f t="shared" si="992"/>
        <v>0</v>
      </c>
      <c r="I993" s="1">
        <f t="shared" si="992"/>
        <v>0</v>
      </c>
      <c r="J993" s="1">
        <f t="shared" si="992"/>
        <v>0</v>
      </c>
      <c r="K993" s="1">
        <f t="shared" si="992"/>
        <v>0</v>
      </c>
      <c r="L993" s="1">
        <f t="shared" si="992"/>
        <v>0</v>
      </c>
      <c r="M993" s="1">
        <f t="shared" si="992"/>
        <v>0</v>
      </c>
      <c r="N993" s="1">
        <f t="shared" si="992"/>
        <v>0</v>
      </c>
      <c r="O993" s="1">
        <f t="shared" si="992"/>
        <v>0</v>
      </c>
      <c r="P993" s="1">
        <f t="shared" si="992"/>
        <v>0</v>
      </c>
      <c r="Q993" s="1">
        <f t="shared" si="992"/>
        <v>0</v>
      </c>
      <c r="R993" s="1">
        <f t="shared" si="992"/>
        <v>0</v>
      </c>
      <c r="S993" s="1">
        <f t="shared" si="992"/>
        <v>0</v>
      </c>
      <c r="T993" s="1">
        <f t="shared" si="992"/>
        <v>0</v>
      </c>
      <c r="U993" s="1">
        <f t="shared" si="992"/>
        <v>0</v>
      </c>
    </row>
    <row r="994">
      <c r="A994" s="3">
        <f>IFERROR(__xludf.DUMMYFUNCTION("""COMPUTED_VALUE"""),44913.0)</f>
        <v>44913</v>
      </c>
      <c r="B994" s="1">
        <f t="shared" ref="B994:U994" si="993">IF($A994&gt;0,Megyeinapi!B994/'megyelakosság'!B$2*100000," ")</f>
        <v>0</v>
      </c>
      <c r="C994" s="1">
        <f t="shared" si="993"/>
        <v>0</v>
      </c>
      <c r="D994" s="1">
        <f t="shared" si="993"/>
        <v>0</v>
      </c>
      <c r="E994" s="1">
        <f t="shared" si="993"/>
        <v>0</v>
      </c>
      <c r="F994" s="1">
        <f t="shared" si="993"/>
        <v>0</v>
      </c>
      <c r="G994" s="1">
        <f t="shared" si="993"/>
        <v>0</v>
      </c>
      <c r="H994" s="1">
        <f t="shared" si="993"/>
        <v>0</v>
      </c>
      <c r="I994" s="1">
        <f t="shared" si="993"/>
        <v>0</v>
      </c>
      <c r="J994" s="1">
        <f t="shared" si="993"/>
        <v>0</v>
      </c>
      <c r="K994" s="1">
        <f t="shared" si="993"/>
        <v>0</v>
      </c>
      <c r="L994" s="1">
        <f t="shared" si="993"/>
        <v>0</v>
      </c>
      <c r="M994" s="1">
        <f t="shared" si="993"/>
        <v>0</v>
      </c>
      <c r="N994" s="1">
        <f t="shared" si="993"/>
        <v>0</v>
      </c>
      <c r="O994" s="1">
        <f t="shared" si="993"/>
        <v>0</v>
      </c>
      <c r="P994" s="1">
        <f t="shared" si="993"/>
        <v>0</v>
      </c>
      <c r="Q994" s="1">
        <f t="shared" si="993"/>
        <v>0</v>
      </c>
      <c r="R994" s="1">
        <f t="shared" si="993"/>
        <v>0</v>
      </c>
      <c r="S994" s="1">
        <f t="shared" si="993"/>
        <v>0</v>
      </c>
      <c r="T994" s="1">
        <f t="shared" si="993"/>
        <v>0</v>
      </c>
      <c r="U994" s="1">
        <f t="shared" si="993"/>
        <v>0</v>
      </c>
    </row>
    <row r="995">
      <c r="A995" s="3">
        <f>IFERROR(__xludf.DUMMYFUNCTION("""COMPUTED_VALUE"""),44914.0)</f>
        <v>44914</v>
      </c>
      <c r="B995" s="1">
        <f t="shared" ref="B995:U995" si="994">IF($A995&gt;0,Megyeinapi!B995/'megyelakosság'!B$2*100000," ")</f>
        <v>0</v>
      </c>
      <c r="C995" s="1">
        <f t="shared" si="994"/>
        <v>0</v>
      </c>
      <c r="D995" s="1">
        <f t="shared" si="994"/>
        <v>0</v>
      </c>
      <c r="E995" s="1">
        <f t="shared" si="994"/>
        <v>0</v>
      </c>
      <c r="F995" s="1">
        <f t="shared" si="994"/>
        <v>0</v>
      </c>
      <c r="G995" s="1">
        <f t="shared" si="994"/>
        <v>0</v>
      </c>
      <c r="H995" s="1">
        <f t="shared" si="994"/>
        <v>0</v>
      </c>
      <c r="I995" s="1">
        <f t="shared" si="994"/>
        <v>0</v>
      </c>
      <c r="J995" s="1">
        <f t="shared" si="994"/>
        <v>0</v>
      </c>
      <c r="K995" s="1">
        <f t="shared" si="994"/>
        <v>0</v>
      </c>
      <c r="L995" s="1">
        <f t="shared" si="994"/>
        <v>0</v>
      </c>
      <c r="M995" s="1">
        <f t="shared" si="994"/>
        <v>0</v>
      </c>
      <c r="N995" s="1">
        <f t="shared" si="994"/>
        <v>0</v>
      </c>
      <c r="O995" s="1">
        <f t="shared" si="994"/>
        <v>0</v>
      </c>
      <c r="P995" s="1">
        <f t="shared" si="994"/>
        <v>0</v>
      </c>
      <c r="Q995" s="1">
        <f t="shared" si="994"/>
        <v>0</v>
      </c>
      <c r="R995" s="1">
        <f t="shared" si="994"/>
        <v>0</v>
      </c>
      <c r="S995" s="1">
        <f t="shared" si="994"/>
        <v>0</v>
      </c>
      <c r="T995" s="1">
        <f t="shared" si="994"/>
        <v>0</v>
      </c>
      <c r="U995" s="1">
        <f t="shared" si="994"/>
        <v>0</v>
      </c>
    </row>
    <row r="996">
      <c r="A996" s="3">
        <f>IFERROR(__xludf.DUMMYFUNCTION("""COMPUTED_VALUE"""),44915.0)</f>
        <v>44915</v>
      </c>
      <c r="B996" s="1">
        <f t="shared" ref="B996:U996" si="995">IF($A996&gt;0,Megyeinapi!B996/'megyelakosság'!B$2*100000," ")</f>
        <v>0</v>
      </c>
      <c r="C996" s="1">
        <f t="shared" si="995"/>
        <v>0</v>
      </c>
      <c r="D996" s="1">
        <f t="shared" si="995"/>
        <v>0</v>
      </c>
      <c r="E996" s="1">
        <f t="shared" si="995"/>
        <v>0</v>
      </c>
      <c r="F996" s="1">
        <f t="shared" si="995"/>
        <v>0</v>
      </c>
      <c r="G996" s="1">
        <f t="shared" si="995"/>
        <v>0</v>
      </c>
      <c r="H996" s="1">
        <f t="shared" si="995"/>
        <v>0</v>
      </c>
      <c r="I996" s="1">
        <f t="shared" si="995"/>
        <v>0</v>
      </c>
      <c r="J996" s="1">
        <f t="shared" si="995"/>
        <v>0</v>
      </c>
      <c r="K996" s="1">
        <f t="shared" si="995"/>
        <v>0</v>
      </c>
      <c r="L996" s="1">
        <f t="shared" si="995"/>
        <v>0</v>
      </c>
      <c r="M996" s="1">
        <f t="shared" si="995"/>
        <v>0</v>
      </c>
      <c r="N996" s="1">
        <f t="shared" si="995"/>
        <v>0</v>
      </c>
      <c r="O996" s="1">
        <f t="shared" si="995"/>
        <v>0</v>
      </c>
      <c r="P996" s="1">
        <f t="shared" si="995"/>
        <v>0</v>
      </c>
      <c r="Q996" s="1">
        <f t="shared" si="995"/>
        <v>0</v>
      </c>
      <c r="R996" s="1">
        <f t="shared" si="995"/>
        <v>0</v>
      </c>
      <c r="S996" s="1">
        <f t="shared" si="995"/>
        <v>0</v>
      </c>
      <c r="T996" s="1">
        <f t="shared" si="995"/>
        <v>0</v>
      </c>
      <c r="U996" s="1">
        <f t="shared" si="995"/>
        <v>0</v>
      </c>
    </row>
    <row r="997">
      <c r="A997" s="3">
        <f>IFERROR(__xludf.DUMMYFUNCTION("""COMPUTED_VALUE"""),44916.0)</f>
        <v>44916</v>
      </c>
      <c r="B997" s="1">
        <f t="shared" ref="B997:U997" si="996">IF($A997&gt;0,Megyeinapi!B997/'megyelakosság'!B$2*100000," ")</f>
        <v>39.22583728</v>
      </c>
      <c r="C997" s="1">
        <f t="shared" si="996"/>
        <v>98.57731218</v>
      </c>
      <c r="D997" s="1">
        <f t="shared" si="996"/>
        <v>68.37255175</v>
      </c>
      <c r="E997" s="1">
        <f t="shared" si="996"/>
        <v>32.17887057</v>
      </c>
      <c r="F997" s="1">
        <f t="shared" si="996"/>
        <v>59.53550876</v>
      </c>
      <c r="G997" s="1">
        <f t="shared" si="996"/>
        <v>57.48973218</v>
      </c>
      <c r="H997" s="1">
        <f t="shared" si="996"/>
        <v>49.21130522</v>
      </c>
      <c r="I997" s="1">
        <f t="shared" si="996"/>
        <v>59.81303671</v>
      </c>
      <c r="J997" s="1">
        <f t="shared" si="996"/>
        <v>41.00796048</v>
      </c>
      <c r="K997" s="1">
        <f t="shared" si="996"/>
        <v>40.21525385</v>
      </c>
      <c r="L997" s="1">
        <f t="shared" si="996"/>
        <v>45.51586923</v>
      </c>
      <c r="M997" s="1">
        <f t="shared" si="996"/>
        <v>52.49256632</v>
      </c>
      <c r="N997" s="1">
        <f t="shared" si="996"/>
        <v>49.97554388</v>
      </c>
      <c r="O997" s="1">
        <f t="shared" si="996"/>
        <v>60.05695774</v>
      </c>
      <c r="P997" s="1">
        <f t="shared" si="996"/>
        <v>48.67477913</v>
      </c>
      <c r="Q997" s="1">
        <f t="shared" si="996"/>
        <v>52.09206088</v>
      </c>
      <c r="R997" s="1">
        <f t="shared" si="996"/>
        <v>46.86470485</v>
      </c>
      <c r="S997" s="1">
        <f t="shared" si="996"/>
        <v>28.72466426</v>
      </c>
      <c r="T997" s="1">
        <f t="shared" si="996"/>
        <v>43.08866592</v>
      </c>
      <c r="U997" s="1">
        <f t="shared" si="996"/>
        <v>53.50374713</v>
      </c>
    </row>
    <row r="998">
      <c r="A998" s="3">
        <f>IFERROR(__xludf.DUMMYFUNCTION("""COMPUTED_VALUE"""),44917.0)</f>
        <v>44917</v>
      </c>
      <c r="B998" s="1">
        <f t="shared" ref="B998:U998" si="997">IF($A998&gt;0,Megyeinapi!B998/'megyelakosság'!B$2*100000," ")</f>
        <v>0</v>
      </c>
      <c r="C998" s="1">
        <f t="shared" si="997"/>
        <v>0</v>
      </c>
      <c r="D998" s="1">
        <f t="shared" si="997"/>
        <v>0</v>
      </c>
      <c r="E998" s="1">
        <f t="shared" si="997"/>
        <v>0</v>
      </c>
      <c r="F998" s="1">
        <f t="shared" si="997"/>
        <v>0</v>
      </c>
      <c r="G998" s="1">
        <f t="shared" si="997"/>
        <v>0</v>
      </c>
      <c r="H998" s="1">
        <f t="shared" si="997"/>
        <v>0</v>
      </c>
      <c r="I998" s="1">
        <f t="shared" si="997"/>
        <v>0</v>
      </c>
      <c r="J998" s="1">
        <f t="shared" si="997"/>
        <v>0</v>
      </c>
      <c r="K998" s="1">
        <f t="shared" si="997"/>
        <v>0</v>
      </c>
      <c r="L998" s="1">
        <f t="shared" si="997"/>
        <v>0</v>
      </c>
      <c r="M998" s="1">
        <f t="shared" si="997"/>
        <v>0</v>
      </c>
      <c r="N998" s="1">
        <f t="shared" si="997"/>
        <v>0</v>
      </c>
      <c r="O998" s="1">
        <f t="shared" si="997"/>
        <v>0</v>
      </c>
      <c r="P998" s="1">
        <f t="shared" si="997"/>
        <v>0</v>
      </c>
      <c r="Q998" s="1">
        <f t="shared" si="997"/>
        <v>0</v>
      </c>
      <c r="R998" s="1">
        <f t="shared" si="997"/>
        <v>0</v>
      </c>
      <c r="S998" s="1">
        <f t="shared" si="997"/>
        <v>0</v>
      </c>
      <c r="T998" s="1">
        <f t="shared" si="997"/>
        <v>0</v>
      </c>
      <c r="U998" s="1">
        <f t="shared" si="997"/>
        <v>0</v>
      </c>
    </row>
    <row r="999">
      <c r="B999" s="1" t="str">
        <f t="shared" ref="B999:U999" si="998">IF($A999&gt;0,Megyeinapi!B999/'megyelakosság'!B$2*100000," ")</f>
        <v> </v>
      </c>
      <c r="C999" s="1" t="str">
        <f t="shared" si="998"/>
        <v> </v>
      </c>
      <c r="D999" s="1" t="str">
        <f t="shared" si="998"/>
        <v> </v>
      </c>
      <c r="E999" s="1" t="str">
        <f t="shared" si="998"/>
        <v> </v>
      </c>
      <c r="F999" s="1" t="str">
        <f t="shared" si="998"/>
        <v> </v>
      </c>
      <c r="G999" s="1" t="str">
        <f t="shared" si="998"/>
        <v> </v>
      </c>
      <c r="H999" s="1" t="str">
        <f t="shared" si="998"/>
        <v> </v>
      </c>
      <c r="I999" s="1" t="str">
        <f t="shared" si="998"/>
        <v> </v>
      </c>
      <c r="J999" s="1" t="str">
        <f t="shared" si="998"/>
        <v> </v>
      </c>
      <c r="K999" s="1" t="str">
        <f t="shared" si="998"/>
        <v> </v>
      </c>
      <c r="L999" s="1" t="str">
        <f t="shared" si="998"/>
        <v> </v>
      </c>
      <c r="M999" s="1" t="str">
        <f t="shared" si="998"/>
        <v> </v>
      </c>
      <c r="N999" s="1" t="str">
        <f t="shared" si="998"/>
        <v> </v>
      </c>
      <c r="O999" s="1" t="str">
        <f t="shared" si="998"/>
        <v> </v>
      </c>
      <c r="P999" s="1" t="str">
        <f t="shared" si="998"/>
        <v> </v>
      </c>
      <c r="Q999" s="1" t="str">
        <f t="shared" si="998"/>
        <v> </v>
      </c>
      <c r="R999" s="1" t="str">
        <f t="shared" si="998"/>
        <v> </v>
      </c>
      <c r="S999" s="1" t="str">
        <f t="shared" si="998"/>
        <v> </v>
      </c>
      <c r="T999" s="1" t="str">
        <f t="shared" si="998"/>
        <v> </v>
      </c>
      <c r="U999" s="1" t="str">
        <f t="shared" si="998"/>
        <v> </v>
      </c>
    </row>
    <row r="1000">
      <c r="B1000" s="1" t="str">
        <f t="shared" ref="B1000:U1000" si="999">IF($A1000&gt;0,Megyeinapi!B1000/'megyelakosság'!B$2*100000," ")</f>
        <v> </v>
      </c>
      <c r="C1000" s="1" t="str">
        <f t="shared" si="999"/>
        <v> </v>
      </c>
      <c r="D1000" s="1" t="str">
        <f t="shared" si="999"/>
        <v> </v>
      </c>
      <c r="E1000" s="1" t="str">
        <f t="shared" si="999"/>
        <v> </v>
      </c>
      <c r="F1000" s="1" t="str">
        <f t="shared" si="999"/>
        <v> </v>
      </c>
      <c r="G1000" s="1" t="str">
        <f t="shared" si="999"/>
        <v> </v>
      </c>
      <c r="H1000" s="1" t="str">
        <f t="shared" si="999"/>
        <v> </v>
      </c>
      <c r="I1000" s="1" t="str">
        <f t="shared" si="999"/>
        <v> </v>
      </c>
      <c r="J1000" s="1" t="str">
        <f t="shared" si="999"/>
        <v> </v>
      </c>
      <c r="K1000" s="1" t="str">
        <f t="shared" si="999"/>
        <v> </v>
      </c>
      <c r="L1000" s="1" t="str">
        <f t="shared" si="999"/>
        <v> </v>
      </c>
      <c r="M1000" s="1" t="str">
        <f t="shared" si="999"/>
        <v> </v>
      </c>
      <c r="N1000" s="1" t="str">
        <f t="shared" si="999"/>
        <v> </v>
      </c>
      <c r="O1000" s="1" t="str">
        <f t="shared" si="999"/>
        <v> </v>
      </c>
      <c r="P1000" s="1" t="str">
        <f t="shared" si="999"/>
        <v> </v>
      </c>
      <c r="Q1000" s="1" t="str">
        <f t="shared" si="999"/>
        <v> </v>
      </c>
      <c r="R1000" s="1" t="str">
        <f t="shared" si="999"/>
        <v> </v>
      </c>
      <c r="S1000" s="1" t="str">
        <f t="shared" si="999"/>
        <v> </v>
      </c>
      <c r="T1000" s="1" t="str">
        <f t="shared" si="999"/>
        <v> </v>
      </c>
      <c r="U1000" s="1" t="str">
        <f t="shared" si="999"/>
        <v> </v>
      </c>
    </row>
  </sheetData>
  <drawing r:id="rId1"/>
</worksheet>
</file>