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엄태영\서비스기획팀\전략기획본부 공유 자료\"/>
    </mc:Choice>
  </mc:AlternateContent>
  <bookViews>
    <workbookView xWindow="-24120" yWindow="1305" windowWidth="24240" windowHeight="13140" tabRatio="755" activeTab="1"/>
  </bookViews>
  <sheets>
    <sheet name="하락 예상 매출_요약" sheetId="1" r:id="rId1"/>
    <sheet name="8월_매출 현황" sheetId="11" r:id="rId2"/>
    <sheet name="2020_설날 DB" sheetId="7" r:id="rId3"/>
    <sheet name="2019_추석 DB" sheetId="13" r:id="rId4"/>
    <sheet name="2019_설날 DB" sheetId="5" r:id="rId5"/>
    <sheet name="2018_추석 DB" sheetId="4" r:id="rId6"/>
    <sheet name="참고(숨기기 예정)" sheetId="21" state="hidden" r:id="rId7"/>
    <sheet name="20년설" sheetId="17" state="hidden" r:id="rId8"/>
    <sheet name="19년추석" sheetId="18" state="hidden" r:id="rId9"/>
    <sheet name="19년설" sheetId="19" state="hidden" r:id="rId10"/>
    <sheet name="18년추석" sheetId="20" state="hidden" r:id="rId11"/>
  </sheets>
  <definedNames>
    <definedName name="_xlnm.Print_Area" localSheetId="1">'8월_매출 현황'!$A$1:$F$48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9" i="1" l="1"/>
  <c r="N59" i="1"/>
  <c r="O59" i="1"/>
  <c r="P59" i="1"/>
  <c r="Q59" i="1"/>
  <c r="S59" i="1"/>
  <c r="R60" i="1"/>
  <c r="N60" i="1"/>
  <c r="O60" i="1"/>
  <c r="P60" i="1"/>
  <c r="Q60" i="1"/>
  <c r="S60" i="1"/>
  <c r="R61" i="1"/>
  <c r="N61" i="1"/>
  <c r="O61" i="1"/>
  <c r="P61" i="1"/>
  <c r="Q61" i="1"/>
  <c r="S61" i="1"/>
  <c r="T61" i="1"/>
  <c r="V61" i="1" s="1"/>
  <c r="R62" i="1"/>
  <c r="N62" i="1"/>
  <c r="O62" i="1"/>
  <c r="P62" i="1"/>
  <c r="Q62" i="1"/>
  <c r="S62" i="1"/>
  <c r="U62" i="1"/>
  <c r="U61" i="1"/>
  <c r="U60" i="1"/>
  <c r="U59" i="1"/>
  <c r="V71" i="1"/>
  <c r="S83" i="1"/>
  <c r="S78" i="1"/>
  <c r="S73" i="1"/>
  <c r="S68" i="1"/>
  <c r="U83" i="1"/>
  <c r="U78" i="1"/>
  <c r="U73" i="1"/>
  <c r="U68" i="1"/>
  <c r="T64" i="1"/>
  <c r="T82" i="1"/>
  <c r="V82" i="1" s="1"/>
  <c r="T81" i="1"/>
  <c r="T80" i="1"/>
  <c r="V80" i="1" s="1"/>
  <c r="T79" i="1"/>
  <c r="V79" i="1" s="1"/>
  <c r="T77" i="1"/>
  <c r="V77" i="1" s="1"/>
  <c r="T76" i="1"/>
  <c r="V76" i="1" s="1"/>
  <c r="T75" i="1"/>
  <c r="V75" i="1" s="1"/>
  <c r="T74" i="1"/>
  <c r="V74" i="1" s="1"/>
  <c r="T72" i="1"/>
  <c r="T62" i="1" s="1"/>
  <c r="T71" i="1"/>
  <c r="T70" i="1"/>
  <c r="V70" i="1" s="1"/>
  <c r="T69" i="1"/>
  <c r="T65" i="1"/>
  <c r="T60" i="1" s="1"/>
  <c r="T66" i="1"/>
  <c r="V66" i="1" s="1"/>
  <c r="T67" i="1"/>
  <c r="V67" i="1" s="1"/>
  <c r="S82" i="1"/>
  <c r="S81" i="1"/>
  <c r="S80" i="1"/>
  <c r="S79" i="1"/>
  <c r="S77" i="1"/>
  <c r="S76" i="1"/>
  <c r="S75" i="1"/>
  <c r="S74" i="1"/>
  <c r="S72" i="1"/>
  <c r="S71" i="1"/>
  <c r="S70" i="1"/>
  <c r="S69" i="1"/>
  <c r="S67" i="1"/>
  <c r="S66" i="1"/>
  <c r="S65" i="1"/>
  <c r="S64" i="1"/>
  <c r="F64" i="1"/>
  <c r="G64" i="1"/>
  <c r="T73" i="1" l="1"/>
  <c r="V73" i="1" s="1"/>
  <c r="T68" i="1"/>
  <c r="V68" i="1" s="1"/>
  <c r="V69" i="1"/>
  <c r="V59" i="1"/>
  <c r="T59" i="1"/>
  <c r="V62" i="1"/>
  <c r="V60" i="1"/>
  <c r="T63" i="1"/>
  <c r="V65" i="1"/>
  <c r="T83" i="1"/>
  <c r="V83" i="1" s="1"/>
  <c r="V72" i="1"/>
  <c r="V64" i="1"/>
  <c r="U63" i="1"/>
  <c r="T78" i="1"/>
  <c r="V78" i="1" s="1"/>
  <c r="N26" i="1"/>
  <c r="F34" i="1"/>
  <c r="J65" i="1"/>
  <c r="J64" i="1"/>
  <c r="H64" i="1"/>
  <c r="E34" i="1"/>
  <c r="J79" i="1" s="1"/>
  <c r="E32" i="1"/>
  <c r="J82" i="1"/>
  <c r="J81" i="1"/>
  <c r="J80" i="1"/>
  <c r="J77" i="1"/>
  <c r="J76" i="1"/>
  <c r="J75" i="1"/>
  <c r="J72" i="1"/>
  <c r="J71" i="1"/>
  <c r="J70" i="1"/>
  <c r="J67" i="1"/>
  <c r="J66" i="1"/>
  <c r="E33" i="1"/>
  <c r="H34" i="1"/>
  <c r="G34" i="1"/>
  <c r="F80" i="1"/>
  <c r="E31" i="1"/>
  <c r="V63" i="1" l="1"/>
  <c r="J69" i="1"/>
  <c r="J74" i="1"/>
  <c r="E37" i="1" l="1"/>
  <c r="F37" i="1"/>
  <c r="G37" i="1"/>
  <c r="H37" i="1"/>
  <c r="D107" i="1" l="1"/>
  <c r="D106" i="1"/>
  <c r="D105" i="1"/>
  <c r="D104" i="1"/>
  <c r="I31" i="1" l="1"/>
  <c r="J104" i="1"/>
  <c r="H104" i="1"/>
  <c r="F104" i="1"/>
  <c r="I37" i="1"/>
  <c r="J37" i="1" l="1"/>
  <c r="D52" i="11"/>
  <c r="I30" i="1" l="1"/>
  <c r="I29" i="1"/>
  <c r="I28" i="1"/>
  <c r="I27" i="1"/>
  <c r="I26" i="1"/>
  <c r="I25" i="1"/>
  <c r="I24" i="1"/>
  <c r="H31" i="1"/>
  <c r="G31" i="1" l="1"/>
  <c r="F31" i="1"/>
  <c r="H44" i="1" l="1"/>
  <c r="H45" i="1"/>
  <c r="F35" i="1" s="1"/>
  <c r="H46" i="1"/>
  <c r="H47" i="1"/>
  <c r="F55" i="1"/>
  <c r="H55" i="1"/>
  <c r="J55" i="1"/>
  <c r="F56" i="1"/>
  <c r="H56" i="1"/>
  <c r="J56" i="1"/>
  <c r="F57" i="1"/>
  <c r="H57" i="1"/>
  <c r="J57" i="1"/>
  <c r="F58" i="1"/>
  <c r="H58" i="1"/>
  <c r="J58" i="1"/>
  <c r="D59" i="1"/>
  <c r="E59" i="1"/>
  <c r="G59" i="1"/>
  <c r="I59" i="1"/>
  <c r="D108" i="1"/>
  <c r="J107" i="1"/>
  <c r="H107" i="1"/>
  <c r="F107" i="1"/>
  <c r="J106" i="1"/>
  <c r="H106" i="1"/>
  <c r="F106" i="1"/>
  <c r="J105" i="1"/>
  <c r="H105" i="1"/>
  <c r="F105" i="1"/>
  <c r="H96" i="1"/>
  <c r="H95" i="1"/>
  <c r="H94" i="1"/>
  <c r="H93" i="1"/>
  <c r="J59" i="1" l="1"/>
  <c r="H59" i="1"/>
  <c r="F59" i="1"/>
  <c r="F108" i="1"/>
  <c r="E108" i="1" s="1"/>
  <c r="H108" i="1"/>
  <c r="G108" i="1" s="1"/>
  <c r="J108" i="1"/>
  <c r="I108" i="1" s="1"/>
  <c r="H35" i="1" l="1"/>
  <c r="H14" i="1" s="1"/>
  <c r="G35" i="1"/>
  <c r="G14" i="1" s="1"/>
  <c r="F14" i="1"/>
  <c r="E35" i="1"/>
  <c r="E36" i="1" s="1"/>
  <c r="E13" i="1"/>
  <c r="F13" i="1"/>
  <c r="G13" i="1"/>
  <c r="H13" i="1"/>
  <c r="E15" i="1"/>
  <c r="F15" i="1"/>
  <c r="G15" i="1"/>
  <c r="H15" i="1"/>
  <c r="F33" i="1" l="1"/>
  <c r="E14" i="1"/>
  <c r="I64" i="1" s="1"/>
  <c r="G33" i="1"/>
  <c r="H33" i="1"/>
  <c r="I15" i="1"/>
  <c r="I13" i="1"/>
  <c r="I14" i="1" l="1"/>
  <c r="I33" i="1"/>
  <c r="J33" i="1" s="1"/>
  <c r="I34" i="1"/>
  <c r="J34" i="1" s="1"/>
  <c r="H32" i="1"/>
  <c r="G32" i="1"/>
  <c r="F32" i="1"/>
  <c r="I32" i="1" s="1"/>
  <c r="J32" i="1" s="1"/>
  <c r="E81" i="13" l="1"/>
  <c r="F81" i="13"/>
  <c r="G81" i="13"/>
  <c r="E82" i="13"/>
  <c r="F82" i="13"/>
  <c r="G82" i="13"/>
  <c r="D82" i="13"/>
  <c r="D81" i="13"/>
  <c r="E83" i="7"/>
  <c r="F83" i="7"/>
  <c r="G83" i="7"/>
  <c r="D83" i="7"/>
  <c r="D82" i="7"/>
  <c r="G82" i="7"/>
  <c r="F82" i="7"/>
  <c r="E82" i="7"/>
  <c r="I13" i="21" l="1"/>
  <c r="M20" i="21"/>
  <c r="M21" i="21"/>
  <c r="M19" i="21"/>
  <c r="M18" i="21" s="1"/>
  <c r="M10" i="21"/>
  <c r="I18" i="21"/>
  <c r="J18" i="21" l="1"/>
  <c r="L20" i="21" l="1"/>
  <c r="L18" i="21"/>
  <c r="K20" i="21"/>
  <c r="K18" i="21"/>
  <c r="I20" i="21"/>
  <c r="J20" i="21"/>
  <c r="F45" i="21"/>
  <c r="E45" i="21"/>
  <c r="D45" i="21"/>
  <c r="C45" i="21"/>
  <c r="J10" i="21" l="1"/>
  <c r="K10" i="21"/>
  <c r="L10" i="21"/>
  <c r="I10" i="21"/>
  <c r="F37" i="21"/>
  <c r="E37" i="21"/>
  <c r="D37" i="21"/>
  <c r="C37" i="21"/>
  <c r="H70" i="13" a="1"/>
  <c r="H70" i="13" s="1"/>
  <c r="F29" i="21"/>
  <c r="E29" i="21"/>
  <c r="D29" i="21"/>
  <c r="C29" i="21"/>
  <c r="O6" i="5"/>
  <c r="P6" i="5"/>
  <c r="Q6" i="5"/>
  <c r="R6" i="5"/>
  <c r="O7" i="5"/>
  <c r="P7" i="5"/>
  <c r="Q7" i="5"/>
  <c r="R7" i="5"/>
  <c r="O8" i="5"/>
  <c r="P8" i="5"/>
  <c r="Q8" i="5"/>
  <c r="R8" i="5"/>
  <c r="O9" i="5"/>
  <c r="P9" i="5"/>
  <c r="Q9" i="5"/>
  <c r="R9" i="5"/>
  <c r="O10" i="5"/>
  <c r="P10" i="5"/>
  <c r="Q10" i="5"/>
  <c r="R10" i="5"/>
  <c r="O11" i="5"/>
  <c r="P11" i="5"/>
  <c r="Q11" i="5"/>
  <c r="R11" i="5"/>
  <c r="O12" i="5"/>
  <c r="P12" i="5"/>
  <c r="Q12" i="5"/>
  <c r="R12" i="5"/>
  <c r="F21" i="21" l="1"/>
  <c r="E21" i="21"/>
  <c r="D21" i="21"/>
  <c r="C21" i="21"/>
  <c r="F20" i="21"/>
  <c r="E20" i="21"/>
  <c r="D20" i="21"/>
  <c r="C20" i="21"/>
  <c r="F19" i="21"/>
  <c r="E19" i="21"/>
  <c r="D19" i="21"/>
  <c r="C19" i="21"/>
  <c r="F18" i="21"/>
  <c r="F22" i="21" s="1"/>
  <c r="E18" i="21"/>
  <c r="E22" i="21" s="1"/>
  <c r="D18" i="21"/>
  <c r="D22" i="21" s="1"/>
  <c r="C18" i="21"/>
  <c r="C22" i="21" s="1"/>
  <c r="F14" i="21"/>
  <c r="E14" i="21"/>
  <c r="D14" i="21"/>
  <c r="C14" i="21"/>
  <c r="F7" i="21"/>
  <c r="E7" i="21"/>
  <c r="D7" i="21"/>
  <c r="C7" i="21"/>
  <c r="L13" i="21"/>
  <c r="L14" i="21" s="1"/>
  <c r="L15" i="21" s="1"/>
  <c r="K13" i="21"/>
  <c r="K14" i="21" s="1"/>
  <c r="K15" i="21" s="1"/>
  <c r="J13" i="21"/>
  <c r="J14" i="21" s="1"/>
  <c r="J15" i="21" s="1"/>
  <c r="I14" i="21"/>
  <c r="I15" i="21" l="1"/>
  <c r="E17" i="7"/>
  <c r="F17" i="7"/>
  <c r="G17" i="7"/>
  <c r="D17" i="7"/>
  <c r="E16" i="7"/>
  <c r="F16" i="7"/>
  <c r="G16" i="7"/>
  <c r="D16" i="7"/>
  <c r="O13" i="7" l="1"/>
  <c r="P13" i="7"/>
  <c r="C13" i="7" l="1"/>
  <c r="S13" i="7" s="1"/>
  <c r="D13" i="5"/>
  <c r="F13" i="5"/>
  <c r="E13" i="5"/>
  <c r="C13" i="5"/>
  <c r="R13" i="5"/>
  <c r="Q13" i="5"/>
  <c r="O13" i="5"/>
  <c r="P13" i="5"/>
  <c r="D43" i="11" l="1"/>
  <c r="E116" i="1" s="1"/>
  <c r="Q59" i="11"/>
  <c r="R58" i="11" s="1"/>
  <c r="G57" i="11" s="1"/>
  <c r="O59" i="11"/>
  <c r="P58" i="11" s="1"/>
  <c r="F57" i="11" s="1"/>
  <c r="M59" i="11"/>
  <c r="N58" i="11" s="1"/>
  <c r="E57" i="11" s="1"/>
  <c r="K59" i="11"/>
  <c r="L58" i="11" s="1"/>
  <c r="D57" i="11" s="1"/>
  <c r="R53" i="11"/>
  <c r="G53" i="11" s="1"/>
  <c r="Q13" i="7"/>
  <c r="R13" i="7"/>
  <c r="D42" i="11"/>
  <c r="D116" i="1" s="1"/>
  <c r="R52" i="11" l="1"/>
  <c r="G52" i="11" s="1"/>
  <c r="R59" i="11"/>
  <c r="P56" i="11"/>
  <c r="F56" i="11" s="1"/>
  <c r="P52" i="11"/>
  <c r="F52" i="11" s="1"/>
  <c r="P53" i="11"/>
  <c r="F53" i="11" s="1"/>
  <c r="P59" i="11"/>
  <c r="L59" i="11"/>
  <c r="L53" i="11"/>
  <c r="D53" i="11" s="1"/>
  <c r="L55" i="11"/>
  <c r="D55" i="11" s="1"/>
  <c r="L56" i="11"/>
  <c r="D56" i="11" s="1"/>
  <c r="R54" i="11"/>
  <c r="G54" i="11" s="1"/>
  <c r="P54" i="11"/>
  <c r="F54" i="11" s="1"/>
  <c r="P57" i="11"/>
  <c r="P55" i="11"/>
  <c r="F55" i="11" s="1"/>
  <c r="N52" i="11"/>
  <c r="E52" i="11" s="1"/>
  <c r="N59" i="11"/>
  <c r="N57" i="11"/>
  <c r="L52" i="11"/>
  <c r="L54" i="11"/>
  <c r="D54" i="11" s="1"/>
  <c r="L57" i="11"/>
  <c r="K116" i="1"/>
  <c r="H36" i="1"/>
  <c r="R57" i="11"/>
  <c r="R56" i="11"/>
  <c r="G56" i="11" s="1"/>
  <c r="R55" i="11"/>
  <c r="G55" i="11" s="1"/>
  <c r="N53" i="11"/>
  <c r="E53" i="11" s="1"/>
  <c r="N54" i="11"/>
  <c r="E54" i="11" s="1"/>
  <c r="N55" i="11"/>
  <c r="E55" i="11" s="1"/>
  <c r="N56" i="11"/>
  <c r="E56" i="11" s="1"/>
  <c r="D7" i="11"/>
  <c r="S9" i="7"/>
  <c r="S11" i="7"/>
  <c r="S12" i="7"/>
  <c r="L116" i="1" l="1"/>
  <c r="N116" i="1"/>
  <c r="F120" i="1"/>
  <c r="G120" i="1"/>
  <c r="H120" i="1"/>
  <c r="I120" i="1"/>
  <c r="J13" i="7"/>
  <c r="I13" i="7"/>
  <c r="H13" i="7"/>
  <c r="G13" i="7"/>
  <c r="K13" i="7" s="1"/>
  <c r="D13" i="7"/>
  <c r="L13" i="7" s="1"/>
  <c r="E13" i="7"/>
  <c r="M13" i="7" s="1"/>
  <c r="F13" i="7"/>
  <c r="S6" i="7"/>
  <c r="T6" i="7"/>
  <c r="U6" i="7"/>
  <c r="V6" i="7"/>
  <c r="S7" i="7"/>
  <c r="T7" i="7"/>
  <c r="U7" i="7"/>
  <c r="V7" i="7"/>
  <c r="S8" i="7"/>
  <c r="T8" i="7"/>
  <c r="U8" i="7"/>
  <c r="V8" i="7"/>
  <c r="T9" i="7"/>
  <c r="U9" i="7"/>
  <c r="V9" i="7"/>
  <c r="S10" i="7"/>
  <c r="T10" i="7"/>
  <c r="U10" i="7"/>
  <c r="V10" i="7"/>
  <c r="T11" i="7"/>
  <c r="U11" i="7"/>
  <c r="V11" i="7"/>
  <c r="T12" i="7"/>
  <c r="U12" i="7"/>
  <c r="V12" i="7"/>
  <c r="G36" i="1" l="1"/>
  <c r="N13" i="7"/>
  <c r="C42" i="11"/>
  <c r="H39" i="11"/>
  <c r="H27" i="11"/>
  <c r="H28" i="11"/>
  <c r="H29" i="11"/>
  <c r="H30" i="11"/>
  <c r="H31" i="11"/>
  <c r="H32" i="11"/>
  <c r="H42" i="11" s="1"/>
  <c r="H33" i="11"/>
  <c r="H34" i="11"/>
  <c r="H35" i="11"/>
  <c r="H36" i="11"/>
  <c r="H37" i="11"/>
  <c r="H38" i="11"/>
  <c r="K10" i="7" l="1"/>
  <c r="K11" i="7"/>
  <c r="K12" i="7"/>
  <c r="F36" i="1" l="1"/>
  <c r="E82" i="1"/>
  <c r="F82" i="1" s="1"/>
  <c r="E81" i="1"/>
  <c r="E80" i="1"/>
  <c r="E79" i="1"/>
  <c r="F79" i="1" s="1"/>
  <c r="E77" i="1"/>
  <c r="F77" i="1" s="1"/>
  <c r="E76" i="1"/>
  <c r="F76" i="1" s="1"/>
  <c r="E75" i="1"/>
  <c r="F75" i="1" s="1"/>
  <c r="E74" i="1"/>
  <c r="F74" i="1" s="1"/>
  <c r="E72" i="1"/>
  <c r="F72" i="1" s="1"/>
  <c r="E71" i="1"/>
  <c r="F71" i="1" s="1"/>
  <c r="E70" i="1"/>
  <c r="F70" i="1" s="1"/>
  <c r="E69" i="1"/>
  <c r="E67" i="1"/>
  <c r="F67" i="1" s="1"/>
  <c r="E66" i="1"/>
  <c r="F66" i="1" s="1"/>
  <c r="E65" i="1"/>
  <c r="F65" i="1" s="1"/>
  <c r="E64" i="1"/>
  <c r="D44" i="11"/>
  <c r="C44" i="11"/>
  <c r="C43" i="11"/>
  <c r="H9" i="11"/>
  <c r="H72" i="1" l="1"/>
  <c r="H67" i="1"/>
  <c r="F87" i="1"/>
  <c r="H77" i="1"/>
  <c r="H82" i="1"/>
  <c r="H66" i="1"/>
  <c r="F86" i="1"/>
  <c r="H71" i="1"/>
  <c r="H76" i="1"/>
  <c r="G81" i="1"/>
  <c r="F81" i="1"/>
  <c r="H80" i="1"/>
  <c r="F85" i="1"/>
  <c r="H65" i="1"/>
  <c r="H75" i="1"/>
  <c r="H70" i="1"/>
  <c r="G69" i="1"/>
  <c r="I69" i="1" s="1"/>
  <c r="F69" i="1"/>
  <c r="F84" i="1" s="1"/>
  <c r="H74" i="1"/>
  <c r="F78" i="1"/>
  <c r="H79" i="1"/>
  <c r="F83" i="1"/>
  <c r="G67" i="1"/>
  <c r="G66" i="1"/>
  <c r="G65" i="1"/>
  <c r="I36" i="1"/>
  <c r="J36" i="1" s="1"/>
  <c r="G71" i="1"/>
  <c r="G76" i="1"/>
  <c r="G72" i="1"/>
  <c r="G77" i="1"/>
  <c r="G82" i="1"/>
  <c r="G74" i="1"/>
  <c r="I74" i="1" s="1"/>
  <c r="G79" i="1"/>
  <c r="I79" i="1" s="1"/>
  <c r="G70" i="1"/>
  <c r="G75" i="1"/>
  <c r="G80" i="1"/>
  <c r="E84" i="1"/>
  <c r="E85" i="1"/>
  <c r="E87" i="1"/>
  <c r="E86" i="1"/>
  <c r="O6" i="13"/>
  <c r="G7" i="13"/>
  <c r="H7" i="13"/>
  <c r="I7" i="13"/>
  <c r="J7" i="13"/>
  <c r="G8" i="13"/>
  <c r="H8" i="13"/>
  <c r="I8" i="13"/>
  <c r="J8" i="13"/>
  <c r="G9" i="13"/>
  <c r="H9" i="13"/>
  <c r="I9" i="13"/>
  <c r="J9" i="13"/>
  <c r="G10" i="13"/>
  <c r="H10" i="13"/>
  <c r="I10" i="13"/>
  <c r="J10" i="13"/>
  <c r="G11" i="13"/>
  <c r="H11" i="13"/>
  <c r="I11" i="13"/>
  <c r="J11" i="13"/>
  <c r="G12" i="13"/>
  <c r="H12" i="13"/>
  <c r="I12" i="13"/>
  <c r="J12" i="13"/>
  <c r="H6" i="13"/>
  <c r="I6" i="13"/>
  <c r="J6" i="13"/>
  <c r="G6" i="13"/>
  <c r="C10" i="13"/>
  <c r="D10" i="13"/>
  <c r="E10" i="13"/>
  <c r="F10" i="13"/>
  <c r="C11" i="13"/>
  <c r="D11" i="13"/>
  <c r="E11" i="13"/>
  <c r="F11" i="13"/>
  <c r="C12" i="13"/>
  <c r="D12" i="13"/>
  <c r="E12" i="13"/>
  <c r="F12" i="13"/>
  <c r="D9" i="13"/>
  <c r="E9" i="13"/>
  <c r="F9" i="13"/>
  <c r="C9" i="13"/>
  <c r="I75" i="1" l="1"/>
  <c r="I71" i="1"/>
  <c r="K71" i="1" s="1"/>
  <c r="I70" i="1"/>
  <c r="I73" i="1" s="1"/>
  <c r="I72" i="1"/>
  <c r="I65" i="1"/>
  <c r="I81" i="1"/>
  <c r="I82" i="1"/>
  <c r="K82" i="1" s="1"/>
  <c r="I67" i="1"/>
  <c r="K67" i="1" s="1"/>
  <c r="I77" i="1"/>
  <c r="I80" i="1"/>
  <c r="I76" i="1"/>
  <c r="K76" i="1" s="1"/>
  <c r="I66" i="1"/>
  <c r="K66" i="1" s="1"/>
  <c r="J78" i="1"/>
  <c r="K77" i="1"/>
  <c r="K75" i="1"/>
  <c r="K65" i="1"/>
  <c r="H87" i="1"/>
  <c r="J87" i="1"/>
  <c r="K72" i="1"/>
  <c r="H86" i="1"/>
  <c r="H78" i="1"/>
  <c r="J83" i="1"/>
  <c r="H81" i="1"/>
  <c r="K81" i="1" s="1"/>
  <c r="J86" i="1"/>
  <c r="K80" i="1"/>
  <c r="J85" i="1"/>
  <c r="H85" i="1"/>
  <c r="H69" i="1"/>
  <c r="F73" i="1"/>
  <c r="K74" i="1"/>
  <c r="G84" i="1"/>
  <c r="K64" i="1"/>
  <c r="G68" i="1"/>
  <c r="K79" i="1"/>
  <c r="J68" i="1"/>
  <c r="F68" i="1"/>
  <c r="C13" i="13"/>
  <c r="J13" i="13"/>
  <c r="F13" i="13"/>
  <c r="I13" i="13"/>
  <c r="E13" i="13"/>
  <c r="H13" i="13"/>
  <c r="D13" i="13"/>
  <c r="G13" i="13"/>
  <c r="K9" i="13"/>
  <c r="L9" i="13"/>
  <c r="M9" i="13"/>
  <c r="N9" i="13"/>
  <c r="K10" i="13"/>
  <c r="L10" i="13"/>
  <c r="M10" i="13"/>
  <c r="N10" i="13"/>
  <c r="I83" i="1" l="1"/>
  <c r="I78" i="1"/>
  <c r="K70" i="1"/>
  <c r="J73" i="1"/>
  <c r="K78" i="1"/>
  <c r="J84" i="1"/>
  <c r="H83" i="1"/>
  <c r="F88" i="1"/>
  <c r="H73" i="1"/>
  <c r="K69" i="1"/>
  <c r="H84" i="1"/>
  <c r="I68" i="1"/>
  <c r="H68" i="1"/>
  <c r="G50" i="13"/>
  <c r="F50" i="13"/>
  <c r="E50" i="13"/>
  <c r="D50" i="13"/>
  <c r="G17" i="13"/>
  <c r="F17" i="13"/>
  <c r="E17" i="13"/>
  <c r="D17" i="13"/>
  <c r="G16" i="13"/>
  <c r="F16" i="13"/>
  <c r="E16" i="13"/>
  <c r="D16" i="13"/>
  <c r="R12" i="13"/>
  <c r="V12" i="13" s="1"/>
  <c r="Q12" i="13"/>
  <c r="U12" i="13" s="1"/>
  <c r="P12" i="13"/>
  <c r="T12" i="13" s="1"/>
  <c r="O12" i="13"/>
  <c r="S12" i="13" s="1"/>
  <c r="N12" i="13"/>
  <c r="M12" i="13"/>
  <c r="L12" i="13"/>
  <c r="K12" i="13"/>
  <c r="R11" i="13"/>
  <c r="V11" i="13" s="1"/>
  <c r="Q11" i="13"/>
  <c r="U11" i="13" s="1"/>
  <c r="P11" i="13"/>
  <c r="T11" i="13" s="1"/>
  <c r="O11" i="13"/>
  <c r="S11" i="13" s="1"/>
  <c r="N11" i="13"/>
  <c r="M11" i="13"/>
  <c r="L11" i="13"/>
  <c r="K11" i="13"/>
  <c r="R10" i="13"/>
  <c r="V10" i="13" s="1"/>
  <c r="Q10" i="13"/>
  <c r="U10" i="13" s="1"/>
  <c r="P10" i="13"/>
  <c r="T10" i="13" s="1"/>
  <c r="O10" i="13"/>
  <c r="S10" i="13" s="1"/>
  <c r="R9" i="13"/>
  <c r="Q9" i="13"/>
  <c r="P9" i="13"/>
  <c r="O9" i="13"/>
  <c r="R8" i="13"/>
  <c r="Q8" i="13"/>
  <c r="P8" i="13"/>
  <c r="O8" i="13"/>
  <c r="R7" i="13"/>
  <c r="Q7" i="13"/>
  <c r="P7" i="13"/>
  <c r="O7" i="13"/>
  <c r="R6" i="13"/>
  <c r="Q6" i="13"/>
  <c r="P6" i="13"/>
  <c r="J88" i="1" l="1"/>
  <c r="K73" i="1"/>
  <c r="K83" i="1"/>
  <c r="H88" i="1"/>
  <c r="K68" i="1"/>
  <c r="O13" i="13"/>
  <c r="S13" i="13" s="1"/>
  <c r="P116" i="1" s="1"/>
  <c r="S9" i="13"/>
  <c r="P13" i="13"/>
  <c r="T13" i="13" s="1"/>
  <c r="P117" i="1" s="1"/>
  <c r="T9" i="13"/>
  <c r="Q13" i="13"/>
  <c r="U13" i="13" s="1"/>
  <c r="P118" i="1" s="1"/>
  <c r="U9" i="13"/>
  <c r="R13" i="13"/>
  <c r="V13" i="13" s="1"/>
  <c r="P119" i="1" s="1"/>
  <c r="V9" i="13"/>
  <c r="K13" i="13"/>
  <c r="M13" i="13"/>
  <c r="L13" i="13"/>
  <c r="N13" i="13"/>
  <c r="D16" i="5"/>
  <c r="G17" i="5"/>
  <c r="F17" i="5"/>
  <c r="E17" i="5"/>
  <c r="D17" i="5"/>
  <c r="G16" i="5"/>
  <c r="F16" i="5"/>
  <c r="E16" i="5"/>
  <c r="M116" i="1" l="1"/>
  <c r="D50" i="4"/>
  <c r="E50" i="4"/>
  <c r="F50" i="4"/>
  <c r="G50" i="4"/>
  <c r="F50" i="7" l="1"/>
  <c r="G50" i="7" l="1"/>
  <c r="H10" i="11" l="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C4" i="11" l="1"/>
  <c r="C5" i="11"/>
  <c r="H47" i="11"/>
  <c r="H45" i="11"/>
  <c r="H7" i="11"/>
  <c r="H46" i="11"/>
  <c r="H44" i="11"/>
  <c r="H48" i="11"/>
  <c r="H43" i="11"/>
  <c r="D50" i="5" l="1"/>
  <c r="E50" i="5"/>
  <c r="F50" i="5"/>
  <c r="G50" i="5"/>
  <c r="O6" i="7" l="1"/>
  <c r="E16" i="4" l="1"/>
  <c r="F16" i="4"/>
  <c r="G16" i="4"/>
  <c r="E17" i="4"/>
  <c r="F17" i="4"/>
  <c r="G17" i="4"/>
  <c r="D17" i="4"/>
  <c r="D16" i="4"/>
  <c r="F7" i="11" l="1"/>
  <c r="C45" i="11" l="1"/>
  <c r="G42" i="11" l="1"/>
  <c r="D119" i="1" s="1"/>
  <c r="G43" i="11"/>
  <c r="E119" i="1" s="1"/>
  <c r="G44" i="11"/>
  <c r="G45" i="11"/>
  <c r="G46" i="11"/>
  <c r="G47" i="11"/>
  <c r="G48" i="11"/>
  <c r="G7" i="11"/>
  <c r="F48" i="11"/>
  <c r="E48" i="11"/>
  <c r="D48" i="11"/>
  <c r="C48" i="11"/>
  <c r="F47" i="11"/>
  <c r="E47" i="11"/>
  <c r="D47" i="11"/>
  <c r="C47" i="11"/>
  <c r="F46" i="11"/>
  <c r="E46" i="11"/>
  <c r="D46" i="11"/>
  <c r="C46" i="11"/>
  <c r="F45" i="11"/>
  <c r="E45" i="11"/>
  <c r="D45" i="11"/>
  <c r="F44" i="11"/>
  <c r="E44" i="11"/>
  <c r="F43" i="11"/>
  <c r="E118" i="1" s="1"/>
  <c r="E43" i="11"/>
  <c r="E117" i="1" s="1"/>
  <c r="F42" i="11"/>
  <c r="D118" i="1" s="1"/>
  <c r="K118" i="1" s="1"/>
  <c r="E42" i="11"/>
  <c r="D117" i="1" s="1"/>
  <c r="E7" i="11"/>
  <c r="N118" i="1" l="1"/>
  <c r="L118" i="1"/>
  <c r="K117" i="1"/>
  <c r="E120" i="1"/>
  <c r="D120" i="1"/>
  <c r="K119" i="1"/>
  <c r="J120" i="1"/>
  <c r="N117" i="1" l="1"/>
  <c r="L117" i="1"/>
  <c r="L120" i="1" s="1"/>
  <c r="K120" i="1"/>
  <c r="N119" i="1"/>
  <c r="L119" i="1"/>
  <c r="G85" i="1"/>
  <c r="N120" i="1" l="1"/>
  <c r="G83" i="1"/>
  <c r="G86" i="1"/>
  <c r="G87" i="1"/>
  <c r="K9" i="7" l="1"/>
  <c r="L9" i="7"/>
  <c r="M9" i="7"/>
  <c r="N9" i="7"/>
  <c r="L10" i="7"/>
  <c r="M10" i="7"/>
  <c r="N10" i="7"/>
  <c r="M118" i="1" l="1"/>
  <c r="O118" i="1" s="1"/>
  <c r="M119" i="1"/>
  <c r="O119" i="1" s="1"/>
  <c r="I84" i="1" l="1"/>
  <c r="K84" i="1" s="1"/>
  <c r="M117" i="1"/>
  <c r="O116" i="1"/>
  <c r="E50" i="7"/>
  <c r="D50" i="7"/>
  <c r="R12" i="7"/>
  <c r="Q12" i="7"/>
  <c r="P12" i="7"/>
  <c r="O12" i="7"/>
  <c r="N12" i="7"/>
  <c r="M12" i="7"/>
  <c r="L12" i="7"/>
  <c r="R11" i="7"/>
  <c r="Q11" i="7"/>
  <c r="P11" i="7"/>
  <c r="O11" i="7"/>
  <c r="N11" i="7"/>
  <c r="M11" i="7"/>
  <c r="L11" i="7"/>
  <c r="R10" i="7"/>
  <c r="Q10" i="7"/>
  <c r="P10" i="7"/>
  <c r="O10" i="7"/>
  <c r="R9" i="7"/>
  <c r="Q9" i="7"/>
  <c r="P9" i="7"/>
  <c r="O9" i="7"/>
  <c r="R8" i="7"/>
  <c r="Q8" i="7"/>
  <c r="P8" i="7"/>
  <c r="O8" i="7"/>
  <c r="N8" i="7"/>
  <c r="M8" i="7"/>
  <c r="L8" i="7"/>
  <c r="K8" i="7"/>
  <c r="R7" i="7"/>
  <c r="Q7" i="7"/>
  <c r="P7" i="7"/>
  <c r="O7" i="7"/>
  <c r="N7" i="7"/>
  <c r="M7" i="7"/>
  <c r="L7" i="7"/>
  <c r="K7" i="7"/>
  <c r="R6" i="7"/>
  <c r="Q6" i="7"/>
  <c r="P6" i="7"/>
  <c r="N6" i="7"/>
  <c r="M6" i="7"/>
  <c r="L6" i="7"/>
  <c r="K6" i="7"/>
  <c r="O6" i="4"/>
  <c r="T13" i="7" l="1"/>
  <c r="S6" i="4"/>
  <c r="O117" i="1"/>
  <c r="M120" i="1"/>
  <c r="I86" i="1"/>
  <c r="K86" i="1" s="1"/>
  <c r="I87" i="1"/>
  <c r="K87" i="1" s="1"/>
  <c r="U13" i="7"/>
  <c r="V13" i="7"/>
  <c r="G78" i="1"/>
  <c r="G73" i="1"/>
  <c r="O120" i="1" l="1"/>
  <c r="G88" i="1"/>
  <c r="I85" i="1"/>
  <c r="K85" i="1" s="1"/>
  <c r="J13" i="4"/>
  <c r="I13" i="4"/>
  <c r="H13" i="4"/>
  <c r="G13" i="4"/>
  <c r="F13" i="4"/>
  <c r="E13" i="4"/>
  <c r="D13" i="4"/>
  <c r="C13" i="4"/>
  <c r="R12" i="4"/>
  <c r="V12" i="4" s="1"/>
  <c r="Q12" i="4"/>
  <c r="U12" i="4" s="1"/>
  <c r="P12" i="4"/>
  <c r="T12" i="4" s="1"/>
  <c r="O12" i="4"/>
  <c r="S12" i="4" s="1"/>
  <c r="N12" i="4"/>
  <c r="M12" i="4"/>
  <c r="L12" i="4"/>
  <c r="K12" i="4"/>
  <c r="R11" i="4"/>
  <c r="V11" i="4" s="1"/>
  <c r="Q11" i="4"/>
  <c r="U11" i="4" s="1"/>
  <c r="P11" i="4"/>
  <c r="T11" i="4" s="1"/>
  <c r="O11" i="4"/>
  <c r="S11" i="4" s="1"/>
  <c r="N11" i="4"/>
  <c r="M11" i="4"/>
  <c r="L11" i="4"/>
  <c r="K11" i="4"/>
  <c r="R10" i="4"/>
  <c r="Q10" i="4"/>
  <c r="P10" i="4"/>
  <c r="O10" i="4"/>
  <c r="R9" i="4"/>
  <c r="Q9" i="4"/>
  <c r="P9" i="4"/>
  <c r="O9" i="4"/>
  <c r="R8" i="4"/>
  <c r="V8" i="4" s="1"/>
  <c r="Q8" i="4"/>
  <c r="U8" i="4" s="1"/>
  <c r="P8" i="4"/>
  <c r="T8" i="4" s="1"/>
  <c r="O8" i="4"/>
  <c r="S8" i="4" s="1"/>
  <c r="N8" i="4"/>
  <c r="M8" i="4"/>
  <c r="L8" i="4"/>
  <c r="K8" i="4"/>
  <c r="R7" i="4"/>
  <c r="V7" i="4" s="1"/>
  <c r="Q7" i="4"/>
  <c r="U7" i="4" s="1"/>
  <c r="P7" i="4"/>
  <c r="T7" i="4" s="1"/>
  <c r="O7" i="4"/>
  <c r="N7" i="4"/>
  <c r="M7" i="4"/>
  <c r="L7" i="4"/>
  <c r="K7" i="4"/>
  <c r="R6" i="4"/>
  <c r="Q6" i="4"/>
  <c r="Q13" i="4" s="1"/>
  <c r="P6" i="4"/>
  <c r="P13" i="4" s="1"/>
  <c r="N6" i="4"/>
  <c r="M6" i="4"/>
  <c r="L6" i="4"/>
  <c r="K6" i="4"/>
  <c r="U13" i="4" l="1"/>
  <c r="T13" i="4"/>
  <c r="S7" i="4"/>
  <c r="O13" i="4"/>
  <c r="S13" i="4" s="1"/>
  <c r="I88" i="1"/>
  <c r="K88" i="1" s="1"/>
  <c r="R13" i="4"/>
  <c r="V13" i="4" s="1"/>
  <c r="U6" i="4"/>
  <c r="K13" i="4"/>
  <c r="M13" i="4"/>
  <c r="T6" i="4"/>
  <c r="V6" i="4"/>
  <c r="L13" i="4"/>
  <c r="N13" i="4"/>
  <c r="H13" i="5" l="1"/>
  <c r="I13" i="5"/>
  <c r="M13" i="5" s="1"/>
  <c r="J13" i="5"/>
  <c r="G13" i="5"/>
  <c r="K7" i="5"/>
  <c r="L7" i="5"/>
  <c r="M7" i="5"/>
  <c r="N7" i="5"/>
  <c r="K8" i="5"/>
  <c r="L8" i="5"/>
  <c r="M8" i="5"/>
  <c r="N8" i="5"/>
  <c r="K11" i="5"/>
  <c r="L11" i="5"/>
  <c r="M11" i="5"/>
  <c r="N11" i="5"/>
  <c r="K12" i="5"/>
  <c r="L12" i="5"/>
  <c r="M12" i="5"/>
  <c r="N12" i="5"/>
  <c r="L6" i="5"/>
  <c r="M6" i="5"/>
  <c r="N6" i="5"/>
  <c r="K6" i="5"/>
  <c r="T6" i="5"/>
  <c r="U6" i="5"/>
  <c r="V6" i="5"/>
  <c r="T7" i="5"/>
  <c r="U7" i="5"/>
  <c r="V7" i="5"/>
  <c r="T8" i="5"/>
  <c r="U8" i="5"/>
  <c r="V8" i="5"/>
  <c r="T11" i="5"/>
  <c r="U11" i="5"/>
  <c r="V11" i="5"/>
  <c r="T12" i="5"/>
  <c r="U12" i="5"/>
  <c r="V12" i="5"/>
  <c r="S12" i="5"/>
  <c r="S11" i="5"/>
  <c r="S8" i="5"/>
  <c r="S7" i="5"/>
  <c r="S6" i="5"/>
  <c r="N13" i="5" l="1"/>
  <c r="K13" i="5"/>
  <c r="L13" i="5"/>
  <c r="T13" i="5"/>
  <c r="V13" i="5"/>
  <c r="S13" i="5"/>
  <c r="U13" i="5"/>
  <c r="K70" i="13"/>
  <c r="J70" i="13"/>
  <c r="I70" i="13"/>
</calcChain>
</file>

<file path=xl/comments1.xml><?xml version="1.0" encoding="utf-8"?>
<comments xmlns="http://schemas.openxmlformats.org/spreadsheetml/2006/main">
  <authors>
    <author>HM17-A-001</author>
  </authors>
  <commentList>
    <comment ref="C42" authorId="0" shapeId="0">
      <text>
        <r>
          <rPr>
            <b/>
            <sz val="9"/>
            <color indexed="81"/>
            <rFont val="돋움"/>
            <family val="3"/>
            <charset val="129"/>
          </rPr>
          <t>임시공유일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  <comment ref="C4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<sst xmlns="http://schemas.openxmlformats.org/spreadsheetml/2006/main" count="955" uniqueCount="274">
  <si>
    <t xml:space="preserve">    - 2019 추석(4일) : 9/12(목)~9/15(일)</t>
    <phoneticPr fontId="6" type="noConversion"/>
  </si>
  <si>
    <t xml:space="preserve">    - 2019 설날(5일) : 2/2(토)~2/6(수) </t>
    <phoneticPr fontId="6" type="noConversion"/>
  </si>
  <si>
    <t>총합계</t>
  </si>
  <si>
    <t>네이버</t>
    <phoneticPr fontId="6" type="noConversion"/>
  </si>
  <si>
    <t>매체</t>
    <phoneticPr fontId="6" type="noConversion"/>
  </si>
  <si>
    <t>카카오</t>
    <phoneticPr fontId="6" type="noConversion"/>
  </si>
  <si>
    <t>이베이</t>
    <phoneticPr fontId="6" type="noConversion"/>
  </si>
  <si>
    <t>11번가</t>
    <phoneticPr fontId="6" type="noConversion"/>
  </si>
  <si>
    <t>토</t>
  </si>
  <si>
    <t>일</t>
  </si>
  <si>
    <t>월</t>
  </si>
  <si>
    <t>화</t>
  </si>
  <si>
    <t>수</t>
  </si>
  <si>
    <t>목</t>
  </si>
  <si>
    <t>금</t>
  </si>
  <si>
    <t>토(연휴)</t>
    <phoneticPr fontId="6" type="noConversion"/>
  </si>
  <si>
    <t>일(연휴)</t>
    <phoneticPr fontId="6" type="noConversion"/>
  </si>
  <si>
    <t>월(연휴)</t>
    <phoneticPr fontId="6" type="noConversion"/>
  </si>
  <si>
    <t>화(연휴)</t>
    <phoneticPr fontId="6" type="noConversion"/>
  </si>
  <si>
    <t>수(연휴)</t>
    <phoneticPr fontId="6" type="noConversion"/>
  </si>
  <si>
    <t>구분</t>
    <phoneticPr fontId="6" type="noConversion"/>
  </si>
  <si>
    <t>요일</t>
    <phoneticPr fontId="11" type="noConversion"/>
  </si>
  <si>
    <t>네이버</t>
    <phoneticPr fontId="11" type="noConversion"/>
  </si>
  <si>
    <t>카카오</t>
    <phoneticPr fontId="11" type="noConversion"/>
  </si>
  <si>
    <t>이베이</t>
    <phoneticPr fontId="11" type="noConversion"/>
  </si>
  <si>
    <t>월</t>
    <phoneticPr fontId="11" type="noConversion"/>
  </si>
  <si>
    <t>화</t>
    <phoneticPr fontId="11" type="noConversion"/>
  </si>
  <si>
    <t>수</t>
    <phoneticPr fontId="11" type="noConversion"/>
  </si>
  <si>
    <t>목</t>
    <phoneticPr fontId="11" type="noConversion"/>
  </si>
  <si>
    <t>금</t>
    <phoneticPr fontId="11" type="noConversion"/>
  </si>
  <si>
    <t>토</t>
    <phoneticPr fontId="11" type="noConversion"/>
  </si>
  <si>
    <t>일</t>
    <phoneticPr fontId="11" type="noConversion"/>
  </si>
  <si>
    <t>전주 동요일</t>
    <phoneticPr fontId="6" type="noConversion"/>
  </si>
  <si>
    <t>전주 동요일 대비 매출 수준</t>
    <phoneticPr fontId="6" type="noConversion"/>
  </si>
  <si>
    <t>일자</t>
    <phoneticPr fontId="6" type="noConversion"/>
  </si>
  <si>
    <t>요일</t>
    <phoneticPr fontId="6" type="noConversion"/>
  </si>
  <si>
    <t>◎ 기준 요일별 매출 비교</t>
    <phoneticPr fontId="6" type="noConversion"/>
  </si>
  <si>
    <t>◎ 일자별 발생 매출</t>
    <phoneticPr fontId="6" type="noConversion"/>
  </si>
  <si>
    <t>&lt;2018 추석_9/22(토)~9/26(수)&gt;</t>
    <phoneticPr fontId="6" type="noConversion"/>
  </si>
  <si>
    <t>&lt;2019 설날_2/2(토)~2/6(수)&gt;</t>
    <phoneticPr fontId="6" type="noConversion"/>
  </si>
  <si>
    <t>금</t>
    <phoneticPr fontId="6" type="noConversion"/>
  </si>
  <si>
    <t>전월 동요일(공휴일 제외)</t>
    <phoneticPr fontId="6" type="noConversion"/>
  </si>
  <si>
    <t>연휴 기간 발생 매출</t>
    <phoneticPr fontId="6" type="noConversion"/>
  </si>
  <si>
    <t>화(공휴일)</t>
    <phoneticPr fontId="6" type="noConversion"/>
  </si>
  <si>
    <t>기간합계</t>
    <phoneticPr fontId="6" type="noConversion"/>
  </si>
  <si>
    <t>전월 동요일 대비 매출 수준</t>
    <phoneticPr fontId="6" type="noConversion"/>
  </si>
  <si>
    <t>◎ 기준별 매출 비교</t>
    <phoneticPr fontId="6" type="noConversion"/>
  </si>
  <si>
    <t>일</t>
    <phoneticPr fontId="6" type="noConversion"/>
  </si>
  <si>
    <t>금(연휴)</t>
    <phoneticPr fontId="6" type="noConversion"/>
  </si>
  <si>
    <t>수</t>
    <phoneticPr fontId="6" type="noConversion"/>
  </si>
  <si>
    <t>네이버</t>
    <phoneticPr fontId="6" type="noConversion"/>
  </si>
  <si>
    <t>카카오</t>
    <phoneticPr fontId="6" type="noConversion"/>
  </si>
  <si>
    <t>이베이</t>
    <phoneticPr fontId="6" type="noConversion"/>
  </si>
  <si>
    <t>11번가</t>
    <phoneticPr fontId="6" type="noConversion"/>
  </si>
  <si>
    <t>2018_추석</t>
    <phoneticPr fontId="6" type="noConversion"/>
  </si>
  <si>
    <t>2019_설날</t>
    <phoneticPr fontId="6" type="noConversion"/>
  </si>
  <si>
    <t>11번가</t>
    <phoneticPr fontId="11" type="noConversion"/>
  </si>
  <si>
    <t>차액</t>
    <phoneticPr fontId="6" type="noConversion"/>
  </si>
  <si>
    <t>연휴 기간
예상 매출</t>
    <phoneticPr fontId="6" type="noConversion"/>
  </si>
  <si>
    <t>매체</t>
    <phoneticPr fontId="6" type="noConversion"/>
  </si>
  <si>
    <t>네이버</t>
    <phoneticPr fontId="6" type="noConversion"/>
  </si>
  <si>
    <t>카카오</t>
    <phoneticPr fontId="6" type="noConversion"/>
  </si>
  <si>
    <t>이베이</t>
    <phoneticPr fontId="6" type="noConversion"/>
  </si>
  <si>
    <t>11번가</t>
    <phoneticPr fontId="6" type="noConversion"/>
  </si>
  <si>
    <t>누적매출</t>
    <phoneticPr fontId="11" type="noConversion"/>
  </si>
  <si>
    <t>날짜</t>
    <phoneticPr fontId="11" type="noConversion"/>
  </si>
  <si>
    <t>영업일 수</t>
    <phoneticPr fontId="11" type="noConversion"/>
  </si>
  <si>
    <t>합계</t>
    <phoneticPr fontId="6" type="noConversion"/>
  </si>
  <si>
    <t>전체</t>
    <phoneticPr fontId="6" type="noConversion"/>
  </si>
  <si>
    <t>합계</t>
    <phoneticPr fontId="6" type="noConversion"/>
  </si>
  <si>
    <t>토</t>
    <phoneticPr fontId="6" type="noConversion"/>
  </si>
  <si>
    <t>소계</t>
    <phoneticPr fontId="6" type="noConversion"/>
  </si>
  <si>
    <t>반영 비율</t>
    <phoneticPr fontId="6" type="noConversion"/>
  </si>
  <si>
    <t>전고점</t>
    <phoneticPr fontId="6" type="noConversion"/>
  </si>
  <si>
    <t>전저점</t>
    <phoneticPr fontId="6" type="noConversion"/>
  </si>
  <si>
    <t>전월 동요일 평균 (공휴일 제외)</t>
    <phoneticPr fontId="6" type="noConversion"/>
  </si>
  <si>
    <t>합계</t>
    <phoneticPr fontId="11" type="noConversion"/>
  </si>
  <si>
    <t>합계</t>
    <phoneticPr fontId="11" type="noConversion"/>
  </si>
  <si>
    <t>영업일 평균</t>
    <phoneticPr fontId="11" type="noConversion"/>
  </si>
  <si>
    <t>비영업일 평균</t>
    <phoneticPr fontId="11" type="noConversion"/>
  </si>
  <si>
    <t>&lt;2019 추석_9/12(목)~9/15(일)&gt;</t>
    <phoneticPr fontId="6" type="noConversion"/>
  </si>
  <si>
    <t>목 (공휴일)</t>
    <phoneticPr fontId="6" type="noConversion"/>
  </si>
  <si>
    <t>목(추석)</t>
  </si>
  <si>
    <t>금(추석)</t>
  </si>
  <si>
    <t>토(추석)</t>
  </si>
  <si>
    <t>일(추석)</t>
  </si>
  <si>
    <t xml:space="preserve">    - 2020 설날(4일) : 1/24(금)~1/27(월)</t>
    <phoneticPr fontId="6" type="noConversion"/>
  </si>
  <si>
    <t>이베이</t>
  </si>
  <si>
    <t>11번가</t>
  </si>
  <si>
    <t>NAVER</t>
  </si>
  <si>
    <t>디지털플래닝</t>
  </si>
  <si>
    <t>KAKAO</t>
  </si>
  <si>
    <t>※ 요일별 평균값</t>
    <phoneticPr fontId="11" type="noConversion"/>
  </si>
  <si>
    <t>광고사업1</t>
    <phoneticPr fontId="11" type="noConversion"/>
  </si>
  <si>
    <t>광고사업2</t>
    <phoneticPr fontId="11" type="noConversion"/>
  </si>
  <si>
    <t>광고사업3_운영</t>
    <phoneticPr fontId="11" type="noConversion"/>
  </si>
  <si>
    <t>광고사업3_채널</t>
    <phoneticPr fontId="11" type="noConversion"/>
  </si>
  <si>
    <t>2019_추석</t>
    <phoneticPr fontId="6" type="noConversion"/>
  </si>
  <si>
    <t>광고사업2</t>
    <phoneticPr fontId="6" type="noConversion"/>
  </si>
  <si>
    <t>광고사업1</t>
    <phoneticPr fontId="6" type="noConversion"/>
  </si>
  <si>
    <t>광고사업3_운영</t>
    <phoneticPr fontId="6" type="noConversion"/>
  </si>
  <si>
    <t>광고사업3_채널</t>
    <phoneticPr fontId="6" type="noConversion"/>
  </si>
  <si>
    <t>디지털플래닝</t>
    <phoneticPr fontId="11" type="noConversion"/>
  </si>
  <si>
    <t>경영지원</t>
    <phoneticPr fontId="11" type="noConversion"/>
  </si>
  <si>
    <t>부문</t>
    <phoneticPr fontId="6" type="noConversion"/>
  </si>
  <si>
    <t>부문</t>
    <phoneticPr fontId="11" type="noConversion"/>
  </si>
  <si>
    <t>※ 부문별 매출 및 점유율</t>
    <phoneticPr fontId="11" type="noConversion"/>
  </si>
  <si>
    <t>&lt;2020 설날_1/24(금)~1/27(월)&gt;</t>
    <phoneticPr fontId="6" type="noConversion"/>
  </si>
  <si>
    <t>수(공휴일)</t>
    <phoneticPr fontId="6" type="noConversion"/>
  </si>
  <si>
    <t>목</t>
    <phoneticPr fontId="6" type="noConversion"/>
  </si>
  <si>
    <t>토(공휴일)</t>
    <phoneticPr fontId="11" type="noConversion"/>
  </si>
  <si>
    <t xml:space="preserve">    - 2020 추석(5일) : 9/30(수)~10/4(일)</t>
    <phoneticPr fontId="6" type="noConversion"/>
  </si>
  <si>
    <t>* 8/15(토) 광복절, 17일(월) 임시 공휴일 제외</t>
    <phoneticPr fontId="11" type="noConversion"/>
  </si>
  <si>
    <t>월(공휴일)</t>
    <phoneticPr fontId="11" type="noConversion"/>
  </si>
  <si>
    <t xml:space="preserve">8월 일별 매출_누적 </t>
    <phoneticPr fontId="11" type="noConversion"/>
  </si>
  <si>
    <t>연휴기간(2020 추석) 하락 예상 매출 점검</t>
    <phoneticPr fontId="6" type="noConversion"/>
  </si>
  <si>
    <t xml:space="preserve">    - 2018 추석(5일) : 9/22(토)~2/26(수) </t>
    <phoneticPr fontId="6" type="noConversion"/>
  </si>
  <si>
    <t>2020_설날</t>
    <phoneticPr fontId="6" type="noConversion"/>
  </si>
  <si>
    <t>2020_추석 (예상)</t>
    <phoneticPr fontId="6" type="noConversion"/>
  </si>
  <si>
    <t>8월 매출 점유율</t>
    <phoneticPr fontId="6" type="noConversion"/>
  </si>
  <si>
    <t>전월(8월) 동요일 평균 발생 매출</t>
    <phoneticPr fontId="6" type="noConversion"/>
  </si>
  <si>
    <t>부문</t>
  </si>
  <si>
    <t>광고사업1부문</t>
  </si>
  <si>
    <t>광고사업2부문</t>
  </si>
  <si>
    <t>광고사업3부문_운영</t>
  </si>
  <si>
    <t>광고사업3부문_채널</t>
  </si>
  <si>
    <t>경영지원부문</t>
  </si>
  <si>
    <t>디지털플래닝_별도소속</t>
    <phoneticPr fontId="11" type="noConversion"/>
  </si>
  <si>
    <t xml:space="preserve">   : 매체별 기간 합계 감소 비율 채택하여, 비교기간 감소율 평균으로 20년 추석의 매출 감소 수준 예측</t>
    <phoneticPr fontId="6" type="noConversion"/>
  </si>
  <si>
    <t>전월 동요일 
발생 매출 합계</t>
    <phoneticPr fontId="6" type="noConversion"/>
  </si>
  <si>
    <t>1일</t>
    <phoneticPr fontId="6" type="noConversion"/>
  </si>
  <si>
    <t>2일</t>
    <phoneticPr fontId="6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</si>
  <si>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</si>
  <si>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</si>
  <si>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</si>
  <si>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</si>
  <si>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</si>
  <si>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</si>
  <si>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</si>
  <si>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</si>
  <si>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</si>
  <si>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</si>
  <si>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</si>
  <si>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</si>
  <si>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</si>
  <si>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</si>
  <si>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</si>
  <si>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</si>
  <si>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</si>
  <si>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</si>
  <si>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</si>
  <si>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</si>
  <si>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</si>
  <si>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</si>
  <si>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</si>
  <si>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</si>
  <si>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</si>
  <si>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+14일</t>
  </si>
  <si>
    <t>+13일</t>
  </si>
  <si>
    <t>+12일</t>
  </si>
  <si>
    <t>+11일</t>
  </si>
  <si>
    <t>+10일</t>
  </si>
  <si>
    <t>+9일</t>
  </si>
  <si>
    <t>+8일</t>
  </si>
  <si>
    <t>+7일</t>
  </si>
  <si>
    <t>+6일</t>
  </si>
  <si>
    <t>+5일</t>
  </si>
  <si>
    <t>+4일</t>
  </si>
  <si>
    <t>+3일</t>
  </si>
  <si>
    <t>+2일</t>
    <phoneticPr fontId="11" type="noConversion"/>
  </si>
  <si>
    <t>+1일</t>
    <phoneticPr fontId="11" type="noConversion"/>
  </si>
  <si>
    <t>연휴4일차</t>
  </si>
  <si>
    <t>연휴3일차</t>
  </si>
  <si>
    <t>연휴2일차</t>
  </si>
  <si>
    <t>연휴1일차</t>
    <phoneticPr fontId="11" type="noConversion"/>
  </si>
  <si>
    <t>-1일</t>
    <phoneticPr fontId="11" type="noConversion"/>
  </si>
  <si>
    <t>-2일</t>
    <phoneticPr fontId="11" type="noConversion"/>
  </si>
  <si>
    <t>-3일</t>
  </si>
  <si>
    <t>-4일</t>
  </si>
  <si>
    <t>-5일</t>
  </si>
  <si>
    <t>-6일</t>
  </si>
  <si>
    <t>-7일</t>
  </si>
  <si>
    <t>-8일</t>
  </si>
  <si>
    <t>-9일</t>
  </si>
  <si>
    <t>-10일</t>
  </si>
  <si>
    <t>-11일</t>
  </si>
  <si>
    <t>-12일</t>
  </si>
  <si>
    <t>-13일</t>
  </si>
  <si>
    <t>-14일</t>
  </si>
  <si>
    <t>전월동요일평균</t>
    <phoneticPr fontId="11" type="noConversion"/>
  </si>
  <si>
    <t>연휴 1일차</t>
    <phoneticPr fontId="11" type="noConversion"/>
  </si>
  <si>
    <t>+2일</t>
  </si>
  <si>
    <t>+1일</t>
  </si>
  <si>
    <t>연휴1일차</t>
  </si>
  <si>
    <t>-1일</t>
  </si>
  <si>
    <t>-2일</t>
  </si>
  <si>
    <t>카카오</t>
  </si>
  <si>
    <t>네이버</t>
  </si>
  <si>
    <t>일자</t>
  </si>
  <si>
    <t>연휴5일차</t>
  </si>
  <si>
    <t>=연휴 1일차 매출 / 2주전 월요일 매출</t>
    <phoneticPr fontId="11" type="noConversion"/>
  </si>
  <si>
    <t>20년 설</t>
    <phoneticPr fontId="11" type="noConversion"/>
  </si>
  <si>
    <t>8월 월요일 평균</t>
    <phoneticPr fontId="11" type="noConversion"/>
  </si>
  <si>
    <t>19년 추석</t>
    <phoneticPr fontId="11" type="noConversion"/>
  </si>
  <si>
    <t>19년 설</t>
    <phoneticPr fontId="11" type="noConversion"/>
  </si>
  <si>
    <t>9월 14일 예상 매출</t>
    <phoneticPr fontId="11" type="noConversion"/>
  </si>
  <si>
    <t>2주전 월요일</t>
    <phoneticPr fontId="11" type="noConversion"/>
  </si>
  <si>
    <t>18년 추석</t>
    <phoneticPr fontId="11" type="noConversion"/>
  </si>
  <si>
    <t>9월 30 예상 매출</t>
    <phoneticPr fontId="11" type="noConversion"/>
  </si>
  <si>
    <t>연휴 첫날</t>
    <phoneticPr fontId="11" type="noConversion"/>
  </si>
  <si>
    <t>평균</t>
    <phoneticPr fontId="11" type="noConversion"/>
  </si>
  <si>
    <t>10월 5일 예상 매출</t>
    <phoneticPr fontId="11" type="noConversion"/>
  </si>
  <si>
    <t>연휴 이후 영업일</t>
    <phoneticPr fontId="11" type="noConversion"/>
  </si>
  <si>
    <r>
      <t xml:space="preserve">- </t>
    </r>
    <r>
      <rPr>
        <sz val="11"/>
        <color rgb="FF000000"/>
        <rFont val="맑은 고딕"/>
        <family val="3"/>
        <charset val="129"/>
        <scheme val="minor"/>
      </rPr>
      <t xml:space="preserve">연휴 시작일에는 </t>
    </r>
    <r>
      <rPr>
        <sz val="11"/>
        <color rgb="FF000000"/>
        <rFont val="Calibri"/>
        <family val="2"/>
      </rPr>
      <t>2</t>
    </r>
    <r>
      <rPr>
        <sz val="11"/>
        <color rgb="FF000000"/>
        <rFont val="맑은 고딕"/>
        <family val="3"/>
        <charset val="129"/>
        <scheme val="minor"/>
      </rPr>
      <t xml:space="preserve">주 전 월요일 대비 절반 수준의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매출이 나왔습니다</t>
    </r>
    <r>
      <rPr>
        <sz val="11"/>
        <color rgb="FF000000"/>
        <rFont val="Calibri"/>
        <family val="2"/>
      </rPr>
      <t>.</t>
    </r>
  </si>
  <si>
    <t>=2주 전 월요일 매출 / 전월 월요일 평균 매출</t>
    <phoneticPr fontId="11" type="noConversion"/>
  </si>
  <si>
    <r>
      <t xml:space="preserve"> </t>
    </r>
    <r>
      <rPr>
        <sz val="11"/>
        <color rgb="FF000000"/>
        <rFont val="맑은 고딕"/>
        <family val="3"/>
        <charset val="129"/>
        <scheme val="minor"/>
      </rPr>
      <t>또 연휴</t>
    </r>
    <r>
      <rPr>
        <sz val="11"/>
        <color rgb="FF000000"/>
        <rFont val="Calibri"/>
        <family val="2"/>
      </rPr>
      <t xml:space="preserve"> 바로 직후 영업일의 경우 연휴 첫날 매출의 두 배 이상 </t>
    </r>
    <r>
      <rPr>
        <sz val="11"/>
        <color rgb="FF000000"/>
        <rFont val="맑은 고딕"/>
        <family val="3"/>
        <charset val="129"/>
        <scheme val="minor"/>
      </rPr>
      <t>기록되며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연휴가 끝난 주의 매출이 높았습니다</t>
    </r>
    <r>
      <rPr>
        <sz val="11"/>
        <color rgb="FF000000"/>
        <rFont val="Calibri"/>
        <family val="2"/>
      </rPr>
      <t>.</t>
    </r>
  </si>
  <si>
    <r>
      <t xml:space="preserve"> </t>
    </r>
    <r>
      <rPr>
        <sz val="11"/>
        <color rgb="FF000000"/>
        <rFont val="맑은 고딕"/>
        <family val="3"/>
        <charset val="129"/>
        <scheme val="minor"/>
      </rPr>
      <t>그 이후의 매출이 하락하는 추세가 보입니다</t>
    </r>
    <r>
      <rPr>
        <sz val="11"/>
        <color rgb="FF000000"/>
        <rFont val="Calibri"/>
        <family val="2"/>
      </rPr>
      <t>.</t>
    </r>
  </si>
  <si>
    <r>
      <t>- 9</t>
    </r>
    <r>
      <rPr>
        <sz val="11"/>
        <color rgb="FF000000"/>
        <rFont val="맑은 고딕"/>
        <family val="3"/>
        <charset val="129"/>
        <scheme val="minor"/>
      </rPr>
      <t xml:space="preserve">월 추석에도 </t>
    </r>
    <r>
      <rPr>
        <sz val="11"/>
        <color rgb="FF000000"/>
        <rFont val="Calibri"/>
        <family val="2"/>
      </rPr>
      <t>2</t>
    </r>
    <r>
      <rPr>
        <sz val="11"/>
        <color rgb="FF000000"/>
        <rFont val="맑은 고딕"/>
        <family val="3"/>
        <charset val="129"/>
        <scheme val="minor"/>
      </rPr>
      <t>주 전 월요일에 전월</t>
    </r>
    <r>
      <rPr>
        <sz val="11"/>
        <color rgb="FF000000"/>
        <rFont val="Calibri"/>
        <family val="2"/>
      </rPr>
      <t>(8</t>
    </r>
    <r>
      <rPr>
        <sz val="11"/>
        <color rgb="FF000000"/>
        <rFont val="맑은 고딕"/>
        <family val="3"/>
        <charset val="129"/>
        <scheme val="minor"/>
      </rPr>
      <t>월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  <charset val="129"/>
        <scheme val="minor"/>
      </rPr>
      <t>월요일 평균 수준의 매출이 나올 것으로 예상되며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 xml:space="preserve">연휴 첫 날에는 매체별로 </t>
    </r>
    <r>
      <rPr>
        <sz val="11"/>
        <color rgb="FF000000"/>
        <rFont val="Calibri"/>
        <family val="2"/>
      </rPr>
      <t xml:space="preserve">40-60% </t>
    </r>
    <r>
      <rPr>
        <sz val="11"/>
        <color rgb="FF000000"/>
        <rFont val="맑은 고딕"/>
        <family val="3"/>
        <charset val="129"/>
        <scheme val="minor"/>
      </rPr>
      <t>수준의 매출이 예상됩니다</t>
    </r>
    <r>
      <rPr>
        <sz val="11"/>
        <color rgb="FF000000"/>
        <rFont val="Calibri"/>
        <family val="2"/>
      </rPr>
      <t>.</t>
    </r>
  </si>
  <si>
    <r>
      <t xml:space="preserve"> </t>
    </r>
    <r>
      <rPr>
        <sz val="11"/>
        <color rgb="FF000000"/>
        <rFont val="맑은 고딕"/>
        <family val="3"/>
        <charset val="129"/>
        <scheme val="minor"/>
      </rPr>
      <t xml:space="preserve">연휴 </t>
    </r>
    <r>
      <rPr>
        <sz val="11"/>
        <color rgb="FF000000"/>
        <rFont val="Calibri"/>
        <family val="2"/>
      </rPr>
      <t>2</t>
    </r>
    <r>
      <rPr>
        <sz val="11"/>
        <color rgb="FF000000"/>
        <rFont val="맑은 고딕"/>
        <family val="3"/>
        <charset val="129"/>
        <scheme val="minor"/>
      </rPr>
      <t>주전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연휴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맑은 고딕"/>
        <family val="3"/>
        <charset val="129"/>
        <scheme val="minor"/>
      </rPr>
      <t>주일 후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  <scheme val="minor"/>
      </rPr>
      <t>특히 다음 날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  <scheme val="minor"/>
      </rPr>
      <t>에 광고를 집중해야 할 것 같습니다</t>
    </r>
    <r>
      <rPr>
        <sz val="11"/>
        <color rgb="FF000000"/>
        <rFont val="Calibri"/>
        <family val="2"/>
      </rPr>
      <t>.</t>
    </r>
  </si>
  <si>
    <t>=연휴 종료 1일 후 매출 / 연휴 1일차 매출</t>
    <phoneticPr fontId="11" type="noConversion"/>
  </si>
  <si>
    <t>매출수준</t>
    <phoneticPr fontId="6" type="noConversion"/>
  </si>
  <si>
    <t>매출</t>
    <phoneticPr fontId="6" type="noConversion"/>
  </si>
  <si>
    <t>normal(평균 매출 수준)</t>
    <phoneticPr fontId="6" type="noConversion"/>
  </si>
  <si>
    <t>예상 감소율 및 매출</t>
    <phoneticPr fontId="6" type="noConversion"/>
  </si>
  <si>
    <t>good(normal-best 중간값)</t>
    <phoneticPr fontId="6" type="noConversion"/>
  </si>
  <si>
    <t>best(매출 감소가 가장 낮은 수준)</t>
    <phoneticPr fontId="6" type="noConversion"/>
  </si>
  <si>
    <t xml:space="preserve"> -best : 연휴별 최소 감소 수치 반영 / good : normal - best 중간값</t>
    <phoneticPr fontId="6" type="noConversion"/>
  </si>
  <si>
    <t xml:space="preserve"> -normal - best간 예상 매출 차이는 4개 매추 모두 합하여 5일동안 1억 수준</t>
    <phoneticPr fontId="6" type="noConversion"/>
  </si>
  <si>
    <t>=연휴 2주전 일주일 매출 합 / 전월 동요일 평균 매출 합</t>
    <phoneticPr fontId="6" type="noConversion"/>
  </si>
  <si>
    <t xml:space="preserve"> </t>
    <phoneticPr fontId="6" type="noConversion"/>
  </si>
  <si>
    <r>
      <t xml:space="preserve">- </t>
    </r>
    <r>
      <rPr>
        <sz val="11"/>
        <color rgb="FF000000"/>
        <rFont val="맑은 고딕"/>
        <family val="3"/>
        <charset val="129"/>
        <scheme val="minor"/>
      </rPr>
      <t>연휴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시작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맑은 고딕"/>
        <family val="3"/>
        <charset val="129"/>
        <scheme val="minor"/>
      </rPr>
      <t>주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전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월요일부터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그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주차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매출이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가장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높게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나타나는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경향이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있으며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Arial Unicode MS"/>
        <family val="2"/>
        <charset val="129"/>
      </rPr>
      <t xml:space="preserve">카카오를 제외한 세 개의 매체에서 </t>
    </r>
    <r>
      <rPr>
        <sz val="11"/>
        <color rgb="FF000000"/>
        <rFont val="맑은 고딕"/>
        <family val="3"/>
        <charset val="129"/>
        <scheme val="minor"/>
      </rPr>
      <t>전월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동요일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평균 이상의 매출을 보였습니다.</t>
    </r>
    <phoneticPr fontId="6" type="noConversion"/>
  </si>
  <si>
    <r>
      <t>-</t>
    </r>
    <r>
      <rPr>
        <sz val="11"/>
        <color rgb="FF000000"/>
        <rFont val="Arial Unicode MS"/>
        <family val="2"/>
        <charset val="129"/>
      </rPr>
      <t xml:space="preserve">또한 </t>
    </r>
    <r>
      <rPr>
        <sz val="11"/>
        <color rgb="FF000000"/>
        <rFont val="맑은 고딕"/>
        <family val="3"/>
        <charset val="129"/>
        <scheme val="minor"/>
      </rPr>
      <t>연휴가 끝난 다음날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  <scheme val="minor"/>
      </rPr>
      <t>영업일 경우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  <scheme val="minor"/>
      </rPr>
      <t>의 매출이 연휴 전 전고점에 비해 대체적으로 높게 나왔으며, 그 주차에 동요일 평균 수준까지 회복 후 하락하는 추세를 보이고 있습니다.</t>
    </r>
    <phoneticPr fontId="6" type="noConversion"/>
  </si>
  <si>
    <t>연휴 다음날</t>
    <phoneticPr fontId="6" type="noConversion"/>
  </si>
  <si>
    <t>8월 화요일 평균</t>
    <phoneticPr fontId="11" type="noConversion"/>
  </si>
  <si>
    <t>8월 수요일 평균</t>
    <phoneticPr fontId="11" type="noConversion"/>
  </si>
  <si>
    <t>화</t>
    <phoneticPr fontId="6" type="noConversion"/>
  </si>
  <si>
    <t>월</t>
    <phoneticPr fontId="6" type="noConversion"/>
  </si>
  <si>
    <t>연휴 직후 주차</t>
    <phoneticPr fontId="6" type="noConversion"/>
  </si>
  <si>
    <t>연휴 2주 전 주차 예상 매출</t>
  </si>
  <si>
    <t>연휴 직후 주차 총 매출</t>
  </si>
  <si>
    <t>구분</t>
    <phoneticPr fontId="11" type="noConversion"/>
  </si>
  <si>
    <t>연휴 직후 주간 매출 증감율</t>
    <phoneticPr fontId="11" type="noConversion"/>
  </si>
  <si>
    <t>연휴 2주 전 주간 매출 증감율</t>
    <phoneticPr fontId="11" type="noConversion"/>
  </si>
  <si>
    <t xml:space="preserve"> ◎ 비교 기간 : 2018년 추석부터~2020년 설날까지</t>
    <phoneticPr fontId="6" type="noConversion"/>
  </si>
  <si>
    <t>연휴 2주 전 주간 매출 수준</t>
    <phoneticPr fontId="11" type="noConversion"/>
  </si>
  <si>
    <t>연휴 직후 주간 매출 수준</t>
    <phoneticPr fontId="11" type="noConversion"/>
  </si>
  <si>
    <t>연휴 기간 평균 매출 수준</t>
    <phoneticPr fontId="6" type="noConversion"/>
  </si>
  <si>
    <t>추석 2주전 
예상 주간 매출</t>
    <phoneticPr fontId="6" type="noConversion"/>
  </si>
  <si>
    <t>연휴 종료 후 
주간 예상 매출</t>
    <phoneticPr fontId="6" type="noConversion"/>
  </si>
  <si>
    <t>2. 점검 결과에 따른 2020 추석 기간별 매출 수준 예측</t>
    <phoneticPr fontId="6" type="noConversion"/>
  </si>
  <si>
    <t>전월(8월) 
동요일 
평균 발생 매출</t>
    <phoneticPr fontId="6" type="noConversion"/>
  </si>
  <si>
    <t xml:space="preserve"> 1. 연휴 기간별 매출 수준</t>
    <phoneticPr fontId="6" type="noConversion"/>
  </si>
  <si>
    <t xml:space="preserve"> ※참고2) 예상 감소율 3단계 적용 2020 추석 연휴 기간 매출 감소 수준 예측</t>
    <phoneticPr fontId="6" type="noConversion"/>
  </si>
  <si>
    <t xml:space="preserve"> ※참고1) 비교기간별 전월 동요일 대비 연휴기간 매출 수준 점검</t>
    <phoneticPr fontId="6" type="noConversion"/>
  </si>
  <si>
    <t xml:space="preserve">   : 8월 발생 매출의 본부별 매체 점유율 산출 → DP/경영지원부문 발생 매출에 대한 점유율 제외 후 광고사업부문 연휴 기간 예상 매출 분배</t>
    <phoneticPr fontId="6" type="noConversion"/>
  </si>
  <si>
    <t>8월 합계</t>
    <phoneticPr fontId="6" type="noConversion"/>
  </si>
  <si>
    <t>연휴(5일)간 예상 매출</t>
    <phoneticPr fontId="6" type="noConversion"/>
  </si>
  <si>
    <t>연휴 직후 (10월 2주차) 주간 예상 매출</t>
    <phoneticPr fontId="6" type="noConversion"/>
  </si>
  <si>
    <t>연휴 2주전 (9월 3주차) 주간 예상 매출
예상 주간 매출</t>
    <phoneticPr fontId="6" type="noConversion"/>
  </si>
  <si>
    <t>전월 평균 대비 증감액</t>
    <phoneticPr fontId="6" type="noConversion"/>
  </si>
  <si>
    <t>예상 증감액</t>
    <phoneticPr fontId="6" type="noConversion"/>
  </si>
  <si>
    <t>[연휴 2주전]
9월 3주차 예상 증감액</t>
    <phoneticPr fontId="6" type="noConversion"/>
  </si>
  <si>
    <t>[연휴 기간] 
5일간 예상 증감</t>
    <phoneticPr fontId="6" type="noConversion"/>
  </si>
  <si>
    <t>연휴 대상 요일
전월 평균 발생 매출</t>
    <phoneticPr fontId="6" type="noConversion"/>
  </si>
  <si>
    <t xml:space="preserve"> ※참고1) 부문별 연휴기간 예상 매출 </t>
    <phoneticPr fontId="6" type="noConversion"/>
  </si>
  <si>
    <t>전월 주간 평균 매출</t>
    <phoneticPr fontId="6" type="noConversion"/>
  </si>
  <si>
    <t xml:space="preserve"> ※ 참고2) 비교기간별 전월 동요일 대비 연휴기간 매출 수준 점검</t>
    <phoneticPr fontId="6" type="noConversion"/>
  </si>
  <si>
    <t xml:space="preserve"> ※ 참고3) 예상 감소율 3단계 적용 2020 추석 연휴 기간 매출 감소 수준 예측</t>
    <phoneticPr fontId="6" type="noConversion"/>
  </si>
  <si>
    <t>따라서 연휴 전 전략에 따라 매출 증대 포인트로 위 기간을 잡아 각 기간별 증감 예상 매출을 잡고 이에 따른 부문별 대응 전략을 요청 드리고자 함.</t>
    <phoneticPr fontId="6" type="noConversion"/>
  </si>
  <si>
    <t xml:space="preserve">2018년 추석부터 20년 설날까지 전체 연휴 기간의 전후 매출 추이 점검 결과, </t>
    <phoneticPr fontId="6" type="noConversion"/>
  </si>
  <si>
    <t>연휴를 기준으로 연휴 시작 2주 전 일주일동안 매출이 전월 동요일 대비 소폭 상승하는 모습을 보이며, 연휴 종료 직후 일주일의 매출 상승 후 하락</t>
    <phoneticPr fontId="6" type="noConversion"/>
  </si>
  <si>
    <t>매체구분</t>
    <phoneticPr fontId="6" type="noConversion"/>
  </si>
  <si>
    <t>금요일 공휴일</t>
    <phoneticPr fontId="6" type="noConversion"/>
  </si>
  <si>
    <t>[연휴 직후]
10월 2주차 예상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</si>
</sst>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76" formatCode="aaa"/>
    <numFmt numFmtId="177" formatCode="#,##0,,"/>
    <numFmt numFmtId="178" formatCode="0.0%"/>
    <numFmt numFmtId="179" formatCode="#,##0_ "/>
    <numFmt numFmtId="180" formatCode="_-* #,##0.0_-;\-* #,##0.0_-;_-* &quot;-&quot;?_-;_-@_-"/>
  </numFmts>
  <fonts count="59"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i/>
      <sz val="10"/>
      <color theme="1" tint="0.499984740745262"/>
      <name val="맑은 고딕"/>
      <family val="3"/>
      <charset val="129"/>
    </font>
    <font>
      <i/>
      <sz val="9"/>
      <color theme="1" tint="0.499984740745262"/>
      <name val="맑은 고딕"/>
      <family val="3"/>
      <charset val="129"/>
    </font>
    <font>
      <b/>
      <sz val="12"/>
      <color theme="4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10"/>
      <name val="맑은 고딕"/>
      <family val="3"/>
      <charset val="129"/>
    </font>
    <font>
      <sz val="8"/>
      <color rgb="FF262C31"/>
      <name val="Helvetica"/>
      <family val="2"/>
    </font>
    <font>
      <b/>
      <sz val="9"/>
      <color indexed="81"/>
      <name val="Tahoma"/>
      <family val="2"/>
    </font>
    <font>
      <strike/>
      <sz val="9"/>
      <color theme="1" tint="0.499984740745262"/>
      <name val="맑은 고딕"/>
      <family val="3"/>
      <charset val="129"/>
    </font>
    <font>
      <sz val="9"/>
      <color indexed="81"/>
      <name val="Tahoma"/>
      <family val="2"/>
    </font>
    <font>
      <b/>
      <i/>
      <sz val="8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indexed="8"/>
      <name val="Calibri"/>
      <family val="2"/>
    </font>
    <font>
      <sz val="10"/>
      <color rgb="FF000000"/>
      <name val="Calibri"/>
      <family val="3"/>
      <charset val="129"/>
    </font>
    <font>
      <sz val="10"/>
      <color indexed="8"/>
      <name val="Calibri"/>
      <family val="2"/>
    </font>
    <font>
      <i/>
      <sz val="10"/>
      <color theme="1" tint="0.499984740745262"/>
      <name val="Calibri"/>
      <family val="2"/>
    </font>
    <font>
      <sz val="9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alibri"/>
      <family val="3"/>
    </font>
    <font>
      <sz val="11"/>
      <color rgb="FF000000"/>
      <name val="Arial Unicode MS"/>
      <family val="2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</font>
    <font>
      <b/>
      <sz val="9"/>
      <color theme="0"/>
      <name val="맑은 고딕"/>
      <family val="2"/>
      <charset val="129"/>
      <scheme val="minor"/>
    </font>
    <font>
      <sz val="9"/>
      <color rgb="FFC00000"/>
      <name val="맑은 고딕"/>
      <family val="2"/>
      <charset val="129"/>
    </font>
    <font>
      <b/>
      <sz val="9"/>
      <color rgb="FFC00000"/>
      <name val="맑은 고딕"/>
      <family val="2"/>
      <charset val="129"/>
    </font>
    <font>
      <sz val="10"/>
      <color rgb="FFC00000"/>
      <name val="맑은 고딕"/>
      <family val="2"/>
      <charset val="129"/>
    </font>
    <font>
      <b/>
      <sz val="10"/>
      <color rgb="FFC00000"/>
      <name val="맑은 고딕"/>
      <family val="2"/>
      <charset val="129"/>
    </font>
    <font>
      <b/>
      <sz val="9"/>
      <color theme="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5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thin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double">
        <color theme="1" tint="0.499984740745262"/>
      </bottom>
      <diagonal/>
    </border>
    <border>
      <left/>
      <right style="double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/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 diagonalDown="1">
      <left style="thin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 style="thin">
        <color theme="1" tint="0.499984740745262"/>
      </diagonal>
    </border>
    <border>
      <left style="medium">
        <color theme="1" tint="0.499984740745262"/>
      </left>
      <right style="thin">
        <color theme="1" tint="0.499984740745262"/>
      </right>
      <top/>
      <bottom style="double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double">
        <color theme="1" tint="0.499984740745262"/>
      </right>
      <top style="thin">
        <color theme="1" tint="0.499984740745262"/>
      </top>
      <bottom/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/>
      <bottom style="double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double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 style="medium">
        <color rgb="FFFFC000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rgb="FFFFC000"/>
      </right>
      <top style="thin">
        <color theme="1" tint="0.499984740745262"/>
      </top>
      <bottom style="double">
        <color theme="1" tint="0.499984740745262"/>
      </bottom>
      <diagonal/>
    </border>
    <border>
      <left style="medium">
        <color rgb="FFFFC000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FFC000"/>
      </right>
      <top/>
      <bottom style="thin">
        <color theme="1" tint="0.499984740745262"/>
      </bottom>
      <diagonal/>
    </border>
    <border>
      <left style="medium">
        <color rgb="FFFFC00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FFC000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FFC000"/>
      </right>
      <top style="thin">
        <color theme="1" tint="0.499984740745262"/>
      </top>
      <bottom/>
      <diagonal/>
    </border>
    <border>
      <left style="medium">
        <color rgb="FFFFC000"/>
      </left>
      <right style="thin">
        <color theme="1" tint="0.499984740745262"/>
      </right>
      <top style="double">
        <color theme="1" tint="0.499984740745262"/>
      </top>
      <bottom style="medium">
        <color rgb="FFFFC000"/>
      </bottom>
      <diagonal/>
    </border>
    <border>
      <left style="thin">
        <color theme="1" tint="0.499984740745262"/>
      </left>
      <right style="medium">
        <color rgb="FFFFC000"/>
      </right>
      <top style="double">
        <color theme="1" tint="0.499984740745262"/>
      </top>
      <bottom style="medium">
        <color rgb="FFFFC000"/>
      </bottom>
      <diagonal/>
    </border>
    <border>
      <left style="double">
        <color theme="1" tint="0.499984740745262"/>
      </left>
      <right/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double">
        <color theme="1" tint="0.499984740745262"/>
      </top>
      <bottom style="medium">
        <color theme="1" tint="0.499984740745262"/>
      </bottom>
      <diagonal/>
    </border>
    <border>
      <left/>
      <right/>
      <top style="double">
        <color theme="1" tint="0.499984740745262"/>
      </top>
      <bottom style="medium">
        <color theme="1" tint="0.499984740745262"/>
      </bottom>
      <diagonal/>
    </border>
    <border diagonalDown="1">
      <left style="thin">
        <color theme="1" tint="0.499984740745262"/>
      </left>
      <right style="medium">
        <color theme="1" tint="0.499984740745262"/>
      </right>
      <top style="double">
        <color theme="1" tint="0.499984740745262"/>
      </top>
      <bottom style="medium">
        <color theme="1" tint="0.499984740745262"/>
      </bottom>
      <diagonal style="thin">
        <color theme="1" tint="0.499984740745262"/>
      </diagonal>
    </border>
    <border>
      <left style="double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4.9989318521683403E-2"/>
      </right>
      <top/>
      <bottom style="medium">
        <color theme="1" tint="0.499984740745262"/>
      </bottom>
      <diagonal/>
    </border>
    <border>
      <left style="thin">
        <color theme="0" tint="-4.9989318521683403E-2"/>
      </left>
      <right style="double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4.9989318521683403E-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0" tint="-4.9989318521683403E-2"/>
      </left>
      <right style="double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medium">
        <color rgb="FFFFC000"/>
      </left>
      <right/>
      <top style="medium">
        <color rgb="FFFFC000"/>
      </top>
      <bottom style="thin">
        <color theme="1" tint="0.499984740745262"/>
      </bottom>
      <diagonal/>
    </border>
    <border>
      <left/>
      <right style="medium">
        <color rgb="FFFFC000"/>
      </right>
      <top style="medium">
        <color rgb="FFFFC000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FFC000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/>
      <bottom style="double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ouble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rgb="FFC00000"/>
      </left>
      <right style="thin">
        <color theme="0" tint="-0.499984740745262"/>
      </right>
      <top style="medium">
        <color rgb="FFC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C00000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medium">
        <color rgb="FFC00000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rgb="FFC00000"/>
      </top>
      <bottom style="thin">
        <color theme="1" tint="0.499984740745262"/>
      </bottom>
      <diagonal/>
    </border>
    <border>
      <left/>
      <right style="medium">
        <color rgb="FFC00000"/>
      </right>
      <top style="medium">
        <color rgb="FFC00000"/>
      </top>
      <bottom style="thin">
        <color theme="1" tint="0.499984740745262"/>
      </bottom>
      <diagonal/>
    </border>
    <border>
      <left style="medium">
        <color rgb="FFC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C00000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C00000"/>
      </left>
      <right style="thin">
        <color theme="0" tint="-0.499984740745262"/>
      </right>
      <top style="thin">
        <color theme="0" tint="-0.499984740745262"/>
      </top>
      <bottom style="medium">
        <color rgb="FFC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C00000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rgb="FFC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rgb="FFC00000"/>
      </bottom>
      <diagonal/>
    </border>
    <border>
      <left/>
      <right style="medium">
        <color rgb="FFC00000"/>
      </right>
      <top style="thin">
        <color theme="1" tint="0.499984740745262"/>
      </top>
      <bottom style="medium">
        <color rgb="FFC00000"/>
      </bottom>
      <diagonal/>
    </border>
    <border>
      <left style="medium">
        <color rgb="FFC00000"/>
      </left>
      <right style="thin">
        <color theme="1" tint="0.499984740745262"/>
      </right>
      <top style="medium">
        <color rgb="FFC00000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rgb="FFC00000"/>
      </top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rgb="FFC00000"/>
      </right>
      <top style="medium">
        <color rgb="FFC00000"/>
      </top>
      <bottom style="double">
        <color theme="1" tint="0.499984740745262"/>
      </bottom>
      <diagonal/>
    </border>
    <border>
      <left style="medium">
        <color rgb="FFC00000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C00000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C00000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C0000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C00000"/>
      </left>
      <right style="thin">
        <color theme="1" tint="0.499984740745262"/>
      </right>
      <top/>
      <bottom style="medium">
        <color rgb="FFC00000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rgb="FFC00000"/>
      </bottom>
      <diagonal/>
    </border>
    <border>
      <left style="thin">
        <color theme="1" tint="0.499984740745262"/>
      </left>
      <right style="medium">
        <color rgb="FFC00000"/>
      </right>
      <top style="thin">
        <color theme="1" tint="0.499984740745262"/>
      </top>
      <bottom style="medium">
        <color rgb="FFC00000"/>
      </bottom>
      <diagonal/>
    </border>
    <border>
      <left style="medium">
        <color rgb="FFC00000"/>
      </left>
      <right style="thin">
        <color theme="1" tint="0.499984740745262"/>
      </right>
      <top style="medium">
        <color rgb="FFC00000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C00000"/>
      </right>
      <top style="medium">
        <color rgb="FFC00000"/>
      </top>
      <bottom style="thin">
        <color theme="1" tint="0.499984740745262"/>
      </bottom>
      <diagonal/>
    </border>
    <border>
      <left style="medium">
        <color rgb="FFC00000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rgb="FFC00000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rgb="FFC00000"/>
      </right>
      <top style="thin">
        <color theme="1" tint="0.499984740745262"/>
      </top>
      <bottom/>
      <diagonal/>
    </border>
    <border>
      <left style="medium">
        <color rgb="FFC00000"/>
      </left>
      <right style="thin">
        <color theme="1" tint="0.499984740745262"/>
      </right>
      <top style="double">
        <color theme="1" tint="0.499984740745262"/>
      </top>
      <bottom style="medium">
        <color rgb="FFC00000"/>
      </bottom>
      <diagonal/>
    </border>
    <border>
      <left style="thin">
        <color theme="1" tint="0.499984740745262"/>
      </left>
      <right style="medium">
        <color rgb="FFC00000"/>
      </right>
      <top style="double">
        <color theme="1" tint="0.499984740745262"/>
      </top>
      <bottom style="medium">
        <color rgb="FFC00000"/>
      </bottom>
      <diagonal/>
    </border>
    <border>
      <left style="thin">
        <color theme="1" tint="0.499984740745262"/>
      </left>
      <right style="medium">
        <color rgb="FFC00000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rgb="FFC00000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1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42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5" borderId="1" xfId="0" applyFont="1" applyFill="1" applyBorder="1" applyAlignment="1">
      <alignment horizontal="center" vertical="center"/>
    </xf>
    <xf numFmtId="41" fontId="14" fillId="5" borderId="1" xfId="1" applyFont="1" applyFill="1" applyBorder="1" applyAlignment="1">
      <alignment horizontal="center" vertical="center"/>
    </xf>
    <xf numFmtId="41" fontId="14" fillId="4" borderId="1" xfId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41" fontId="12" fillId="0" borderId="1" xfId="1" applyFont="1" applyBorder="1">
      <alignment vertical="center"/>
    </xf>
    <xf numFmtId="41" fontId="13" fillId="0" borderId="1" xfId="1" applyFont="1" applyBorder="1">
      <alignment vertical="center"/>
    </xf>
    <xf numFmtId="41" fontId="13" fillId="6" borderId="1" xfId="1" applyFont="1" applyFill="1" applyBorder="1">
      <alignment vertical="center"/>
    </xf>
    <xf numFmtId="14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41" fontId="13" fillId="0" borderId="1" xfId="1" applyFont="1" applyFill="1" applyBorder="1">
      <alignment vertical="center"/>
    </xf>
    <xf numFmtId="14" fontId="13" fillId="0" borderId="4" xfId="0" applyNumberFormat="1" applyFont="1" applyBorder="1" applyAlignment="1">
      <alignment horizontal="center" vertical="center"/>
    </xf>
    <xf numFmtId="41" fontId="13" fillId="0" borderId="4" xfId="1" applyFont="1" applyBorder="1">
      <alignment vertical="center"/>
    </xf>
    <xf numFmtId="176" fontId="15" fillId="0" borderId="4" xfId="0" applyNumberFormat="1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41" fontId="15" fillId="0" borderId="4" xfId="1" applyFont="1" applyBorder="1">
      <alignment vertical="center"/>
    </xf>
    <xf numFmtId="14" fontId="15" fillId="3" borderId="1" xfId="0" applyNumberFormat="1" applyFont="1" applyFill="1" applyBorder="1" applyAlignment="1">
      <alignment horizontal="center" vertical="center"/>
    </xf>
    <xf numFmtId="41" fontId="15" fillId="3" borderId="1" xfId="1" applyFont="1" applyFill="1" applyBorder="1">
      <alignment vertical="center"/>
    </xf>
    <xf numFmtId="176" fontId="15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41" fontId="15" fillId="0" borderId="1" xfId="1" applyFont="1" applyBorder="1">
      <alignment vertical="center"/>
    </xf>
    <xf numFmtId="176" fontId="13" fillId="0" borderId="1" xfId="0" applyNumberFormat="1" applyFont="1" applyBorder="1" applyAlignment="1">
      <alignment horizontal="center" vertical="center" shrinkToFit="1"/>
    </xf>
    <xf numFmtId="176" fontId="15" fillId="3" borderId="1" xfId="0" applyNumberFormat="1" applyFont="1" applyFill="1" applyBorder="1" applyAlignment="1">
      <alignment horizontal="center" vertical="center" shrinkToFit="1"/>
    </xf>
    <xf numFmtId="41" fontId="8" fillId="6" borderId="1" xfId="1" applyFont="1" applyFill="1" applyBorder="1">
      <alignment vertical="center"/>
    </xf>
    <xf numFmtId="9" fontId="13" fillId="0" borderId="1" xfId="2" applyFont="1" applyFill="1" applyBorder="1" applyAlignment="1">
      <alignment horizontal="center" vertical="center"/>
    </xf>
    <xf numFmtId="41" fontId="8" fillId="0" borderId="1" xfId="1" applyFont="1" applyFill="1" applyBorder="1">
      <alignment vertical="center"/>
    </xf>
    <xf numFmtId="9" fontId="8" fillId="0" borderId="1" xfId="2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41" fontId="16" fillId="0" borderId="1" xfId="1" applyFont="1" applyFill="1" applyBorder="1">
      <alignment vertical="center"/>
    </xf>
    <xf numFmtId="41" fontId="16" fillId="0" borderId="4" xfId="1" applyFont="1" applyBorder="1">
      <alignment vertical="center"/>
    </xf>
    <xf numFmtId="41" fontId="16" fillId="0" borderId="1" xfId="1" applyFont="1" applyBorder="1">
      <alignment vertical="center"/>
    </xf>
    <xf numFmtId="41" fontId="14" fillId="7" borderId="1" xfId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shrinkToFit="1"/>
    </xf>
    <xf numFmtId="41" fontId="8" fillId="8" borderId="1" xfId="1" applyFont="1" applyFill="1" applyBorder="1">
      <alignment vertical="center"/>
    </xf>
    <xf numFmtId="176" fontId="16" fillId="0" borderId="1" xfId="0" applyNumberFormat="1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 shrinkToFit="1"/>
    </xf>
    <xf numFmtId="14" fontId="16" fillId="3" borderId="1" xfId="0" applyNumberFormat="1" applyFont="1" applyFill="1" applyBorder="1" applyAlignment="1">
      <alignment horizontal="center" vertical="center"/>
    </xf>
    <xf numFmtId="41" fontId="16" fillId="3" borderId="1" xfId="1" applyFont="1" applyFill="1" applyBorder="1">
      <alignment vertical="center"/>
    </xf>
    <xf numFmtId="14" fontId="17" fillId="0" borderId="0" xfId="0" applyNumberFormat="1" applyFont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2" fillId="0" borderId="0" xfId="3" applyFont="1">
      <alignment vertical="center"/>
    </xf>
    <xf numFmtId="0" fontId="10" fillId="8" borderId="13" xfId="3" applyFont="1" applyFill="1" applyBorder="1" applyAlignment="1">
      <alignment horizontal="center" vertical="center"/>
    </xf>
    <xf numFmtId="0" fontId="10" fillId="8" borderId="14" xfId="3" applyFont="1" applyFill="1" applyBorder="1" applyAlignment="1">
      <alignment horizontal="center" vertical="center"/>
    </xf>
    <xf numFmtId="177" fontId="10" fillId="8" borderId="14" xfId="3" applyNumberFormat="1" applyFont="1" applyFill="1" applyBorder="1" applyAlignment="1">
      <alignment horizontal="center" vertical="center"/>
    </xf>
    <xf numFmtId="178" fontId="10" fillId="8" borderId="14" xfId="3" applyNumberFormat="1" applyFont="1" applyFill="1" applyBorder="1" applyAlignment="1">
      <alignment horizontal="center" vertical="center"/>
    </xf>
    <xf numFmtId="178" fontId="10" fillId="8" borderId="15" xfId="3" applyNumberFormat="1" applyFont="1" applyFill="1" applyBorder="1" applyAlignment="1">
      <alignment horizontal="center" vertical="center"/>
    </xf>
    <xf numFmtId="14" fontId="21" fillId="2" borderId="18" xfId="3" applyNumberFormat="1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1" fontId="21" fillId="2" borderId="19" xfId="4" applyFont="1" applyFill="1" applyBorder="1">
      <alignment vertical="center"/>
    </xf>
    <xf numFmtId="0" fontId="10" fillId="10" borderId="0" xfId="3" applyFont="1" applyFill="1" applyAlignment="1">
      <alignment horizontal="center" vertical="center"/>
    </xf>
    <xf numFmtId="41" fontId="10" fillId="10" borderId="0" xfId="4" applyFont="1" applyFill="1" applyAlignment="1">
      <alignment horizontal="center" vertical="center"/>
    </xf>
    <xf numFmtId="0" fontId="21" fillId="0" borderId="19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41" fontId="12" fillId="0" borderId="0" xfId="3" applyNumberFormat="1" applyFont="1">
      <alignment vertical="center"/>
    </xf>
    <xf numFmtId="41" fontId="12" fillId="0" borderId="0" xfId="4" applyFont="1">
      <alignment vertical="center"/>
    </xf>
    <xf numFmtId="0" fontId="20" fillId="0" borderId="0" xfId="3" applyFont="1">
      <alignment vertical="center"/>
    </xf>
    <xf numFmtId="41" fontId="21" fillId="2" borderId="19" xfId="4" applyFont="1" applyFill="1" applyBorder="1" applyAlignment="1">
      <alignment horizontal="center" vertical="center"/>
    </xf>
    <xf numFmtId="41" fontId="21" fillId="0" borderId="20" xfId="4" applyFont="1" applyBorder="1">
      <alignment vertical="center"/>
    </xf>
    <xf numFmtId="41" fontId="21" fillId="0" borderId="19" xfId="4" applyFont="1" applyBorder="1">
      <alignment vertical="center"/>
    </xf>
    <xf numFmtId="41" fontId="21" fillId="0" borderId="19" xfId="4" applyFont="1" applyBorder="1" applyAlignment="1">
      <alignment horizontal="center" vertical="center"/>
    </xf>
    <xf numFmtId="41" fontId="21" fillId="0" borderId="21" xfId="4" applyFont="1" applyBorder="1">
      <alignment vertical="center"/>
    </xf>
    <xf numFmtId="0" fontId="10" fillId="0" borderId="0" xfId="3" applyFont="1">
      <alignment vertical="center"/>
    </xf>
    <xf numFmtId="0" fontId="22" fillId="0" borderId="0" xfId="3" applyFont="1">
      <alignment vertical="center"/>
    </xf>
    <xf numFmtId="41" fontId="21" fillId="2" borderId="22" xfId="4" applyFont="1" applyFill="1" applyBorder="1">
      <alignment vertical="center"/>
    </xf>
    <xf numFmtId="41" fontId="21" fillId="2" borderId="22" xfId="4" applyFont="1" applyFill="1" applyBorder="1" applyAlignment="1">
      <alignment horizontal="center" vertical="center"/>
    </xf>
    <xf numFmtId="41" fontId="21" fillId="0" borderId="23" xfId="4" applyFont="1" applyBorder="1">
      <alignment vertical="center"/>
    </xf>
    <xf numFmtId="41" fontId="21" fillId="0" borderId="22" xfId="4" applyFont="1" applyBorder="1">
      <alignment vertical="center"/>
    </xf>
    <xf numFmtId="41" fontId="21" fillId="0" borderId="22" xfId="4" applyFont="1" applyBorder="1" applyAlignment="1">
      <alignment horizontal="center" vertical="center"/>
    </xf>
    <xf numFmtId="41" fontId="21" fillId="0" borderId="24" xfId="4" applyFont="1" applyBorder="1">
      <alignment vertical="center"/>
    </xf>
    <xf numFmtId="41" fontId="21" fillId="2" borderId="25" xfId="4" applyFont="1" applyFill="1" applyBorder="1">
      <alignment vertical="center"/>
    </xf>
    <xf numFmtId="41" fontId="21" fillId="2" borderId="26" xfId="4" applyFont="1" applyFill="1" applyBorder="1">
      <alignment vertical="center"/>
    </xf>
    <xf numFmtId="41" fontId="0" fillId="0" borderId="1" xfId="1" applyFont="1" applyBorder="1">
      <alignment vertical="center"/>
    </xf>
    <xf numFmtId="0" fontId="24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41" fontId="0" fillId="0" borderId="4" xfId="1" applyFont="1" applyBorder="1">
      <alignment vertical="center"/>
    </xf>
    <xf numFmtId="9" fontId="8" fillId="6" borderId="35" xfId="0" applyNumberFormat="1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9" fontId="8" fillId="6" borderId="38" xfId="0" applyNumberFormat="1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9" fontId="8" fillId="11" borderId="4" xfId="0" applyNumberFormat="1" applyFont="1" applyFill="1" applyBorder="1" applyAlignment="1">
      <alignment horizontal="center" vertical="center"/>
    </xf>
    <xf numFmtId="41" fontId="8" fillId="11" borderId="4" xfId="0" applyNumberFormat="1" applyFont="1" applyFill="1" applyBorder="1">
      <alignment vertical="center"/>
    </xf>
    <xf numFmtId="0" fontId="8" fillId="11" borderId="1" xfId="0" applyFont="1" applyFill="1" applyBorder="1" applyAlignment="1">
      <alignment horizontal="center" vertical="center"/>
    </xf>
    <xf numFmtId="41" fontId="8" fillId="13" borderId="28" xfId="1" applyFont="1" applyFill="1" applyBorder="1">
      <alignment vertical="center"/>
    </xf>
    <xf numFmtId="41" fontId="8" fillId="13" borderId="4" xfId="1" applyFont="1" applyFill="1" applyBorder="1">
      <alignment vertical="center"/>
    </xf>
    <xf numFmtId="41" fontId="8" fillId="13" borderId="3" xfId="1" applyFont="1" applyFill="1" applyBorder="1">
      <alignment vertical="center"/>
    </xf>
    <xf numFmtId="41" fontId="8" fillId="13" borderId="1" xfId="1" applyFont="1" applyFill="1" applyBorder="1">
      <alignment vertical="center"/>
    </xf>
    <xf numFmtId="0" fontId="26" fillId="0" borderId="0" xfId="0" applyFont="1">
      <alignment vertical="center"/>
    </xf>
    <xf numFmtId="0" fontId="25" fillId="0" borderId="0" xfId="0" applyFont="1" applyFill="1" applyBorder="1" applyAlignment="1">
      <alignment horizontal="left" vertical="center"/>
    </xf>
    <xf numFmtId="9" fontId="0" fillId="0" borderId="0" xfId="2" applyFont="1">
      <alignment vertical="center"/>
    </xf>
    <xf numFmtId="9" fontId="8" fillId="12" borderId="1" xfId="2" applyFont="1" applyFill="1" applyBorder="1" applyAlignment="1">
      <alignment horizontal="center" vertical="center"/>
    </xf>
    <xf numFmtId="41" fontId="10" fillId="6" borderId="0" xfId="4" applyFont="1" applyFill="1">
      <alignment vertical="center"/>
    </xf>
    <xf numFmtId="41" fontId="13" fillId="0" borderId="0" xfId="0" applyNumberFormat="1" applyFont="1">
      <alignment vertical="center"/>
    </xf>
    <xf numFmtId="41" fontId="0" fillId="0" borderId="0" xfId="0" applyNumberFormat="1">
      <alignment vertical="center"/>
    </xf>
    <xf numFmtId="43" fontId="12" fillId="0" borderId="0" xfId="3" applyNumberFormat="1" applyFont="1">
      <alignment vertical="center"/>
    </xf>
    <xf numFmtId="0" fontId="28" fillId="13" borderId="0" xfId="3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41" fontId="21" fillId="0" borderId="1" xfId="1" applyFont="1" applyFill="1" applyBorder="1">
      <alignment vertical="center"/>
    </xf>
    <xf numFmtId="41" fontId="21" fillId="0" borderId="4" xfId="1" applyFont="1" applyBorder="1">
      <alignment vertical="center"/>
    </xf>
    <xf numFmtId="41" fontId="29" fillId="0" borderId="1" xfId="1" applyFont="1" applyFill="1" applyBorder="1">
      <alignment vertical="center"/>
    </xf>
    <xf numFmtId="3" fontId="0" fillId="0" borderId="0" xfId="0" applyNumberFormat="1">
      <alignment vertical="center"/>
    </xf>
    <xf numFmtId="3" fontId="30" fillId="0" borderId="0" xfId="0" applyNumberFormat="1" applyFont="1">
      <alignment vertical="center"/>
    </xf>
    <xf numFmtId="41" fontId="0" fillId="0" borderId="0" xfId="1" applyFont="1">
      <alignment vertical="center"/>
    </xf>
    <xf numFmtId="41" fontId="12" fillId="0" borderId="0" xfId="1" applyFont="1">
      <alignment vertical="center"/>
    </xf>
    <xf numFmtId="9" fontId="12" fillId="0" borderId="0" xfId="2" applyFont="1" applyAlignment="1">
      <alignment horizontal="center" vertical="center"/>
    </xf>
    <xf numFmtId="41" fontId="32" fillId="0" borderId="1" xfId="1" applyFont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41" fontId="16" fillId="3" borderId="1" xfId="1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34" fillId="0" borderId="0" xfId="3" applyFont="1">
      <alignment vertical="center"/>
    </xf>
    <xf numFmtId="9" fontId="13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13" fillId="0" borderId="0" xfId="0" applyFont="1" applyFill="1" applyBorder="1">
      <alignment vertical="center"/>
    </xf>
    <xf numFmtId="0" fontId="8" fillId="8" borderId="2" xfId="0" applyFont="1" applyFill="1" applyBorder="1" applyAlignment="1">
      <alignment horizontal="center" vertical="center"/>
    </xf>
    <xf numFmtId="9" fontId="8" fillId="13" borderId="3" xfId="0" applyNumberFormat="1" applyFont="1" applyFill="1" applyBorder="1" applyAlignment="1">
      <alignment horizontal="center" vertical="center"/>
    </xf>
    <xf numFmtId="0" fontId="9" fillId="9" borderId="43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9" fontId="0" fillId="0" borderId="42" xfId="2" applyFont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41" fontId="8" fillId="13" borderId="52" xfId="0" applyNumberFormat="1" applyFont="1" applyFill="1" applyBorder="1">
      <alignment vertical="center"/>
    </xf>
    <xf numFmtId="41" fontId="12" fillId="0" borderId="42" xfId="1" applyFont="1" applyBorder="1">
      <alignment vertical="center"/>
    </xf>
    <xf numFmtId="14" fontId="16" fillId="3" borderId="1" xfId="1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3" fontId="15" fillId="0" borderId="0" xfId="0" applyNumberFormat="1" applyFont="1">
      <alignment vertical="center"/>
    </xf>
    <xf numFmtId="0" fontId="15" fillId="0" borderId="0" xfId="0" applyFont="1">
      <alignment vertical="center"/>
    </xf>
    <xf numFmtId="0" fontId="8" fillId="14" borderId="48" xfId="0" applyFont="1" applyFill="1" applyBorder="1" applyAlignment="1">
      <alignment horizontal="center" vertical="center"/>
    </xf>
    <xf numFmtId="0" fontId="8" fillId="14" borderId="49" xfId="0" applyFont="1" applyFill="1" applyBorder="1" applyAlignment="1">
      <alignment horizontal="center" vertical="center"/>
    </xf>
    <xf numFmtId="3" fontId="8" fillId="14" borderId="49" xfId="0" applyNumberFormat="1" applyFont="1" applyFill="1" applyBorder="1">
      <alignment vertical="center"/>
    </xf>
    <xf numFmtId="0" fontId="35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179" fontId="38" fillId="0" borderId="0" xfId="0" applyNumberFormat="1" applyFont="1" applyFill="1" applyBorder="1" applyAlignment="1"/>
    <xf numFmtId="9" fontId="38" fillId="0" borderId="0" xfId="2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179" fontId="39" fillId="0" borderId="0" xfId="0" applyNumberFormat="1" applyFont="1" applyFill="1" applyBorder="1" applyAlignment="1"/>
    <xf numFmtId="9" fontId="39" fillId="0" borderId="0" xfId="2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179" fontId="36" fillId="0" borderId="0" xfId="0" applyNumberFormat="1" applyFont="1" applyFill="1" applyBorder="1" applyAlignment="1"/>
    <xf numFmtId="9" fontId="36" fillId="0" borderId="0" xfId="2" applyFont="1" applyFill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/>
    </xf>
    <xf numFmtId="9" fontId="8" fillId="14" borderId="49" xfId="0" applyNumberFormat="1" applyFont="1" applyFill="1" applyBorder="1" applyAlignment="1">
      <alignment horizontal="center" vertical="center"/>
    </xf>
    <xf numFmtId="0" fontId="40" fillId="0" borderId="0" xfId="0" applyFont="1">
      <alignment vertical="center"/>
    </xf>
    <xf numFmtId="9" fontId="8" fillId="0" borderId="3" xfId="0" applyNumberFormat="1" applyFont="1" applyFill="1" applyBorder="1" applyAlignment="1">
      <alignment horizontal="center" vertical="center"/>
    </xf>
    <xf numFmtId="41" fontId="8" fillId="6" borderId="53" xfId="0" applyNumberFormat="1" applyFont="1" applyFill="1" applyBorder="1" applyAlignment="1">
      <alignment horizontal="center" vertical="center"/>
    </xf>
    <xf numFmtId="41" fontId="0" fillId="0" borderId="43" xfId="1" applyFont="1" applyBorder="1">
      <alignment vertical="center"/>
    </xf>
    <xf numFmtId="0" fontId="4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7">
      <alignment vertical="center"/>
    </xf>
    <xf numFmtId="3" fontId="4" fillId="0" borderId="0" xfId="7" applyNumberFormat="1">
      <alignment vertical="center"/>
    </xf>
    <xf numFmtId="41" fontId="16" fillId="0" borderId="1" xfId="8" applyFont="1" applyBorder="1">
      <alignment vertical="center"/>
    </xf>
    <xf numFmtId="14" fontId="16" fillId="0" borderId="1" xfId="7" quotePrefix="1" applyNumberFormat="1" applyFont="1" applyBorder="1" applyAlignment="1">
      <alignment horizontal="center" vertical="center"/>
    </xf>
    <xf numFmtId="41" fontId="16" fillId="3" borderId="1" xfId="8" applyFont="1" applyFill="1" applyBorder="1">
      <alignment vertical="center"/>
    </xf>
    <xf numFmtId="14" fontId="16" fillId="0" borderId="1" xfId="7" applyNumberFormat="1" applyFont="1" applyBorder="1" applyAlignment="1">
      <alignment horizontal="center" vertical="center"/>
    </xf>
    <xf numFmtId="41" fontId="16" fillId="0" borderId="1" xfId="8" applyFont="1" applyFill="1" applyBorder="1">
      <alignment vertical="center"/>
    </xf>
    <xf numFmtId="0" fontId="9" fillId="4" borderId="1" xfId="7" applyFont="1" applyFill="1" applyBorder="1" applyAlignment="1">
      <alignment horizontal="center" vertical="center"/>
    </xf>
    <xf numFmtId="14" fontId="9" fillId="4" borderId="1" xfId="7" applyNumberFormat="1" applyFont="1" applyFill="1" applyBorder="1" applyAlignment="1">
      <alignment horizontal="center" vertical="center"/>
    </xf>
    <xf numFmtId="41" fontId="42" fillId="0" borderId="0" xfId="8" applyFont="1">
      <alignment vertical="center"/>
    </xf>
    <xf numFmtId="0" fontId="42" fillId="0" borderId="0" xfId="7" applyFont="1">
      <alignment vertical="center"/>
    </xf>
    <xf numFmtId="0" fontId="9" fillId="5" borderId="1" xfId="7" applyFont="1" applyFill="1" applyBorder="1" applyAlignment="1">
      <alignment horizontal="center" vertical="center"/>
    </xf>
    <xf numFmtId="41" fontId="9" fillId="5" borderId="1" xfId="8" applyFont="1" applyFill="1" applyBorder="1" applyAlignment="1">
      <alignment horizontal="center" vertical="center"/>
    </xf>
    <xf numFmtId="9" fontId="43" fillId="0" borderId="0" xfId="2" applyFont="1">
      <alignment vertical="center"/>
    </xf>
    <xf numFmtId="43" fontId="13" fillId="0" borderId="0" xfId="0" applyNumberFormat="1" applyFont="1">
      <alignment vertical="center"/>
    </xf>
    <xf numFmtId="0" fontId="3" fillId="0" borderId="42" xfId="9" quotePrefix="1" applyBorder="1">
      <alignment vertical="center"/>
    </xf>
    <xf numFmtId="0" fontId="3" fillId="0" borderId="42" xfId="9" applyBorder="1">
      <alignment vertical="center"/>
    </xf>
    <xf numFmtId="0" fontId="3" fillId="0" borderId="0" xfId="9">
      <alignment vertical="center"/>
    </xf>
    <xf numFmtId="9" fontId="0" fillId="0" borderId="42" xfId="10" applyFont="1" applyBorder="1">
      <alignment vertical="center"/>
    </xf>
    <xf numFmtId="0" fontId="44" fillId="10" borderId="1" xfId="9" applyFont="1" applyFill="1" applyBorder="1" applyAlignment="1">
      <alignment horizontal="center" vertical="center"/>
    </xf>
    <xf numFmtId="41" fontId="42" fillId="0" borderId="1" xfId="11" applyFont="1" applyBorder="1">
      <alignment vertical="center"/>
    </xf>
    <xf numFmtId="0" fontId="45" fillId="0" borderId="0" xfId="9" applyFont="1">
      <alignment vertical="center"/>
    </xf>
    <xf numFmtId="0" fontId="46" fillId="15" borderId="0" xfId="9" applyFont="1" applyFill="1" applyAlignment="1">
      <alignment horizontal="left" vertical="center"/>
    </xf>
    <xf numFmtId="0" fontId="3" fillId="15" borderId="0" xfId="9" applyFill="1">
      <alignment vertical="center"/>
    </xf>
    <xf numFmtId="9" fontId="0" fillId="16" borderId="42" xfId="10" applyFont="1" applyFill="1" applyBorder="1">
      <alignment vertical="center"/>
    </xf>
    <xf numFmtId="9" fontId="3" fillId="16" borderId="42" xfId="9" applyNumberFormat="1" applyFill="1" applyBorder="1">
      <alignment vertical="center"/>
    </xf>
    <xf numFmtId="9" fontId="8" fillId="6" borderId="53" xfId="2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0" fillId="0" borderId="0" xfId="0" quotePrefix="1" applyFont="1">
      <alignment vertical="center"/>
    </xf>
    <xf numFmtId="0" fontId="2" fillId="0" borderId="0" xfId="9" applyFont="1">
      <alignment vertical="center"/>
    </xf>
    <xf numFmtId="0" fontId="2" fillId="0" borderId="0" xfId="9" quotePrefix="1" applyFont="1">
      <alignment vertical="center"/>
    </xf>
    <xf numFmtId="0" fontId="46" fillId="15" borderId="0" xfId="9" quotePrefix="1" applyFont="1" applyFill="1" applyAlignment="1">
      <alignment horizontal="left" vertical="center"/>
    </xf>
    <xf numFmtId="0" fontId="43" fillId="0" borderId="0" xfId="0" applyFont="1">
      <alignment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1" fillId="0" borderId="0" xfId="7" applyFont="1">
      <alignment vertical="center"/>
    </xf>
    <xf numFmtId="0" fontId="1" fillId="0" borderId="0" xfId="9" applyFont="1">
      <alignment vertical="center"/>
    </xf>
    <xf numFmtId="0" fontId="25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41" fontId="0" fillId="0" borderId="0" xfId="2" applyNumberFormat="1" applyFont="1">
      <alignment vertical="center"/>
    </xf>
    <xf numFmtId="41" fontId="3" fillId="0" borderId="0" xfId="9" applyNumberFormat="1">
      <alignment vertical="center"/>
    </xf>
    <xf numFmtId="41" fontId="3" fillId="0" borderId="0" xfId="9" applyNumberFormat="1" applyAlignment="1">
      <alignment horizontal="center" vertical="center"/>
    </xf>
    <xf numFmtId="0" fontId="44" fillId="10" borderId="4" xfId="9" applyFont="1" applyFill="1" applyBorder="1" applyAlignment="1">
      <alignment horizontal="center" vertical="center"/>
    </xf>
    <xf numFmtId="41" fontId="42" fillId="0" borderId="4" xfId="11" applyFont="1" applyBorder="1" applyAlignment="1">
      <alignment horizontal="center" vertical="center"/>
    </xf>
    <xf numFmtId="0" fontId="50" fillId="10" borderId="54" xfId="9" applyFont="1" applyFill="1" applyBorder="1" applyAlignment="1">
      <alignment horizontal="center" vertical="center"/>
    </xf>
    <xf numFmtId="9" fontId="50" fillId="0" borderId="54" xfId="2" applyFont="1" applyBorder="1" applyAlignment="1">
      <alignment horizontal="center" vertical="center"/>
    </xf>
    <xf numFmtId="41" fontId="50" fillId="0" borderId="54" xfId="11" applyFont="1" applyBorder="1" applyAlignment="1">
      <alignment horizontal="center" vertical="center"/>
    </xf>
    <xf numFmtId="41" fontId="50" fillId="0" borderId="54" xfId="9" applyNumberFormat="1" applyFont="1" applyBorder="1" applyAlignment="1">
      <alignment horizontal="center" vertical="center"/>
    </xf>
    <xf numFmtId="9" fontId="51" fillId="10" borderId="54" xfId="2" applyFont="1" applyFill="1" applyBorder="1" applyAlignment="1">
      <alignment horizontal="center" vertical="center"/>
    </xf>
    <xf numFmtId="41" fontId="0" fillId="0" borderId="10" xfId="1" applyFont="1" applyBorder="1">
      <alignment vertical="center"/>
    </xf>
    <xf numFmtId="41" fontId="0" fillId="0" borderId="57" xfId="1" applyFont="1" applyBorder="1">
      <alignment vertical="center"/>
    </xf>
    <xf numFmtId="41" fontId="8" fillId="6" borderId="58" xfId="0" applyNumberFormat="1" applyFont="1" applyFill="1" applyBorder="1" applyAlignment="1">
      <alignment horizontal="center" vertical="center"/>
    </xf>
    <xf numFmtId="9" fontId="8" fillId="0" borderId="28" xfId="0" applyNumberFormat="1" applyFont="1" applyFill="1" applyBorder="1" applyAlignment="1">
      <alignment horizontal="center" vertical="center"/>
    </xf>
    <xf numFmtId="41" fontId="0" fillId="0" borderId="35" xfId="1" applyFont="1" applyBorder="1">
      <alignment vertical="center"/>
    </xf>
    <xf numFmtId="0" fontId="9" fillId="4" borderId="29" xfId="0" applyFont="1" applyFill="1" applyBorder="1" applyAlignment="1">
      <alignment horizontal="center" vertical="center" wrapText="1"/>
    </xf>
    <xf numFmtId="0" fontId="9" fillId="4" borderId="63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8" fillId="6" borderId="6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41" fontId="13" fillId="0" borderId="12" xfId="1" applyFont="1" applyFill="1" applyBorder="1">
      <alignment vertical="center"/>
    </xf>
    <xf numFmtId="41" fontId="13" fillId="0" borderId="27" xfId="1" applyFont="1" applyFill="1" applyBorder="1">
      <alignment vertical="center"/>
    </xf>
    <xf numFmtId="41" fontId="13" fillId="0" borderId="65" xfId="1" applyFont="1" applyFill="1" applyBorder="1">
      <alignment vertical="center"/>
    </xf>
    <xf numFmtId="41" fontId="8" fillId="6" borderId="66" xfId="0" applyNumberFormat="1" applyFont="1" applyFill="1" applyBorder="1" applyAlignment="1">
      <alignment horizontal="center" vertical="center"/>
    </xf>
    <xf numFmtId="9" fontId="8" fillId="6" borderId="67" xfId="2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 wrapText="1"/>
    </xf>
    <xf numFmtId="0" fontId="9" fillId="4" borderId="69" xfId="0" applyFont="1" applyFill="1" applyBorder="1" applyAlignment="1">
      <alignment horizontal="center" vertical="center" wrapText="1"/>
    </xf>
    <xf numFmtId="9" fontId="8" fillId="0" borderId="70" xfId="0" applyNumberFormat="1" applyFont="1" applyFill="1" applyBorder="1" applyAlignment="1">
      <alignment horizontal="center" vertical="center"/>
    </xf>
    <xf numFmtId="41" fontId="0" fillId="0" borderId="71" xfId="1" applyFont="1" applyBorder="1">
      <alignment vertical="center"/>
    </xf>
    <xf numFmtId="9" fontId="8" fillId="0" borderId="72" xfId="0" applyNumberFormat="1" applyFont="1" applyFill="1" applyBorder="1" applyAlignment="1">
      <alignment horizontal="center" vertical="center"/>
    </xf>
    <xf numFmtId="41" fontId="0" fillId="0" borderId="73" xfId="1" applyFont="1" applyBorder="1">
      <alignment vertical="center"/>
    </xf>
    <xf numFmtId="41" fontId="0" fillId="0" borderId="74" xfId="1" applyFont="1" applyBorder="1">
      <alignment vertical="center"/>
    </xf>
    <xf numFmtId="9" fontId="8" fillId="6" borderId="75" xfId="2" applyFont="1" applyFill="1" applyBorder="1" applyAlignment="1">
      <alignment horizontal="center" vertical="center"/>
    </xf>
    <xf numFmtId="41" fontId="8" fillId="6" borderId="76" xfId="0" applyNumberFormat="1" applyFont="1" applyFill="1" applyBorder="1" applyAlignment="1">
      <alignment horizontal="center" vertical="center"/>
    </xf>
    <xf numFmtId="41" fontId="8" fillId="13" borderId="12" xfId="0" applyNumberFormat="1" applyFont="1" applyFill="1" applyBorder="1">
      <alignment vertical="center"/>
    </xf>
    <xf numFmtId="41" fontId="8" fillId="13" borderId="0" xfId="0" applyNumberFormat="1" applyFont="1" applyFill="1" applyBorder="1">
      <alignment vertical="center"/>
    </xf>
    <xf numFmtId="41" fontId="13" fillId="0" borderId="0" xfId="2" applyNumberFormat="1" applyFont="1">
      <alignment vertical="center"/>
    </xf>
    <xf numFmtId="0" fontId="8" fillId="6" borderId="79" xfId="0" applyFont="1" applyFill="1" applyBorder="1" applyAlignment="1">
      <alignment horizontal="center" vertical="center"/>
    </xf>
    <xf numFmtId="41" fontId="12" fillId="0" borderId="80" xfId="1" applyFont="1" applyBorder="1">
      <alignment vertical="center"/>
    </xf>
    <xf numFmtId="41" fontId="8" fillId="13" borderId="81" xfId="0" applyNumberFormat="1" applyFont="1" applyFill="1" applyBorder="1">
      <alignment vertical="center"/>
    </xf>
    <xf numFmtId="41" fontId="8" fillId="13" borderId="82" xfId="1" applyFont="1" applyFill="1" applyBorder="1">
      <alignment vertical="center"/>
    </xf>
    <xf numFmtId="41" fontId="8" fillId="13" borderId="43" xfId="1" applyFont="1" applyFill="1" applyBorder="1">
      <alignment vertical="center"/>
    </xf>
    <xf numFmtId="9" fontId="8" fillId="6" borderId="83" xfId="0" applyNumberFormat="1" applyFont="1" applyFill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41" fontId="8" fillId="6" borderId="85" xfId="0" applyNumberFormat="1" applyFont="1" applyFill="1" applyBorder="1">
      <alignment vertical="center"/>
    </xf>
    <xf numFmtId="41" fontId="8" fillId="6" borderId="86" xfId="0" applyNumberFormat="1" applyFont="1" applyFill="1" applyBorder="1">
      <alignment vertical="center"/>
    </xf>
    <xf numFmtId="41" fontId="8" fillId="6" borderId="67" xfId="0" applyNumberFormat="1" applyFont="1" applyFill="1" applyBorder="1">
      <alignment vertical="center"/>
    </xf>
    <xf numFmtId="41" fontId="8" fillId="6" borderId="53" xfId="0" applyNumberFormat="1" applyFont="1" applyFill="1" applyBorder="1">
      <alignment vertical="center"/>
    </xf>
    <xf numFmtId="9" fontId="8" fillId="6" borderId="87" xfId="0" applyNumberFormat="1" applyFont="1" applyFill="1" applyBorder="1" applyAlignment="1">
      <alignment horizontal="center" vertical="center"/>
    </xf>
    <xf numFmtId="9" fontId="8" fillId="6" borderId="89" xfId="0" applyNumberFormat="1" applyFont="1" applyFill="1" applyBorder="1" applyAlignment="1">
      <alignment horizontal="center" vertical="center"/>
    </xf>
    <xf numFmtId="9" fontId="8" fillId="6" borderId="37" xfId="0" applyNumberFormat="1" applyFont="1" applyFill="1" applyBorder="1" applyAlignment="1">
      <alignment horizontal="center" vertical="center"/>
    </xf>
    <xf numFmtId="9" fontId="8" fillId="6" borderId="91" xfId="0" applyNumberFormat="1" applyFont="1" applyFill="1" applyBorder="1" applyAlignment="1">
      <alignment horizontal="center" vertical="center"/>
    </xf>
    <xf numFmtId="41" fontId="8" fillId="13" borderId="88" xfId="1" applyFont="1" applyFill="1" applyBorder="1">
      <alignment vertical="center"/>
    </xf>
    <xf numFmtId="41" fontId="8" fillId="13" borderId="60" xfId="1" applyFont="1" applyFill="1" applyBorder="1">
      <alignment vertical="center"/>
    </xf>
    <xf numFmtId="41" fontId="8" fillId="13" borderId="7" xfId="1" applyFont="1" applyFill="1" applyBorder="1">
      <alignment vertical="center"/>
    </xf>
    <xf numFmtId="41" fontId="8" fillId="6" borderId="96" xfId="0" applyNumberFormat="1" applyFont="1" applyFill="1" applyBorder="1">
      <alignment vertical="center"/>
    </xf>
    <xf numFmtId="0" fontId="8" fillId="6" borderId="1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41" fontId="8" fillId="6" borderId="1" xfId="1" applyFont="1" applyFill="1" applyBorder="1" applyAlignment="1">
      <alignment horizontal="center" vertical="center"/>
    </xf>
    <xf numFmtId="9" fontId="50" fillId="8" borderId="54" xfId="2" applyFont="1" applyFill="1" applyBorder="1" applyAlignment="1">
      <alignment horizontal="center" vertical="center"/>
    </xf>
    <xf numFmtId="41" fontId="8" fillId="10" borderId="2" xfId="1" applyFont="1" applyFill="1" applyBorder="1">
      <alignment vertical="center"/>
    </xf>
    <xf numFmtId="9" fontId="53" fillId="9" borderId="54" xfId="2" applyFont="1" applyFill="1" applyBorder="1" applyAlignment="1">
      <alignment horizontal="center" vertical="center"/>
    </xf>
    <xf numFmtId="0" fontId="54" fillId="0" borderId="0" xfId="0" applyFont="1">
      <alignment vertical="center"/>
    </xf>
    <xf numFmtId="41" fontId="0" fillId="10" borderId="0" xfId="0" applyNumberFormat="1" applyFill="1">
      <alignment vertical="center"/>
    </xf>
    <xf numFmtId="0" fontId="55" fillId="0" borderId="0" xfId="0" applyFont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56" fillId="0" borderId="0" xfId="0" applyFont="1" applyAlignment="1">
      <alignment horizontal="left" vertical="center" indent="1"/>
    </xf>
    <xf numFmtId="0" fontId="57" fillId="0" borderId="0" xfId="0" applyFont="1" applyAlignment="1">
      <alignment horizontal="left" vertical="center" indent="1"/>
    </xf>
    <xf numFmtId="0" fontId="52" fillId="11" borderId="106" xfId="0" applyFont="1" applyFill="1" applyBorder="1" applyAlignment="1">
      <alignment horizontal="center" vertical="center"/>
    </xf>
    <xf numFmtId="41" fontId="40" fillId="0" borderId="106" xfId="1" applyFont="1" applyBorder="1">
      <alignment vertical="center"/>
    </xf>
    <xf numFmtId="41" fontId="8" fillId="10" borderId="3" xfId="1" applyFont="1" applyFill="1" applyBorder="1">
      <alignment vertical="center"/>
    </xf>
    <xf numFmtId="41" fontId="52" fillId="6" borderId="108" xfId="0" applyNumberFormat="1" applyFont="1" applyFill="1" applyBorder="1" applyAlignment="1">
      <alignment horizontal="center" vertical="center"/>
    </xf>
    <xf numFmtId="0" fontId="58" fillId="4" borderId="110" xfId="0" applyFont="1" applyFill="1" applyBorder="1" applyAlignment="1">
      <alignment horizontal="center" vertical="center"/>
    </xf>
    <xf numFmtId="0" fontId="58" fillId="4" borderId="111" xfId="0" applyFont="1" applyFill="1" applyBorder="1" applyAlignment="1">
      <alignment horizontal="center" vertical="center"/>
    </xf>
    <xf numFmtId="0" fontId="52" fillId="11" borderId="113" xfId="0" applyFont="1" applyFill="1" applyBorder="1" applyAlignment="1">
      <alignment horizontal="center" vertical="center"/>
    </xf>
    <xf numFmtId="41" fontId="40" fillId="0" borderId="113" xfId="1" applyFont="1" applyBorder="1">
      <alignment vertical="center"/>
    </xf>
    <xf numFmtId="41" fontId="52" fillId="6" borderId="114" xfId="0" applyNumberFormat="1" applyFont="1" applyFill="1" applyBorder="1" applyAlignment="1">
      <alignment horizontal="center" vertical="center"/>
    </xf>
    <xf numFmtId="41" fontId="8" fillId="10" borderId="106" xfId="1" applyFont="1" applyFill="1" applyBorder="1">
      <alignment vertical="center"/>
    </xf>
    <xf numFmtId="41" fontId="52" fillId="6" borderId="116" xfId="0" applyNumberFormat="1" applyFont="1" applyFill="1" applyBorder="1">
      <alignment vertical="center"/>
    </xf>
    <xf numFmtId="41" fontId="52" fillId="6" borderId="117" xfId="0" applyNumberFormat="1" applyFont="1" applyFill="1" applyBorder="1">
      <alignment vertical="center"/>
    </xf>
    <xf numFmtId="41" fontId="52" fillId="6" borderId="118" xfId="0" applyNumberFormat="1" applyFont="1" applyFill="1" applyBorder="1">
      <alignment vertical="center"/>
    </xf>
    <xf numFmtId="41" fontId="8" fillId="10" borderId="121" xfId="0" applyNumberFormat="1" applyFont="1" applyFill="1" applyBorder="1">
      <alignment vertical="center"/>
    </xf>
    <xf numFmtId="41" fontId="8" fillId="10" borderId="122" xfId="0" applyNumberFormat="1" applyFont="1" applyFill="1" applyBorder="1">
      <alignment vertical="center"/>
    </xf>
    <xf numFmtId="41" fontId="8" fillId="10" borderId="120" xfId="0" applyNumberFormat="1" applyFont="1" applyFill="1" applyBorder="1">
      <alignment vertical="center"/>
    </xf>
    <xf numFmtId="41" fontId="8" fillId="10" borderId="123" xfId="0" applyNumberFormat="1" applyFont="1" applyFill="1" applyBorder="1">
      <alignment vertical="center"/>
    </xf>
    <xf numFmtId="41" fontId="8" fillId="10" borderId="125" xfId="0" applyNumberFormat="1" applyFont="1" applyFill="1" applyBorder="1">
      <alignment vertical="center"/>
    </xf>
    <xf numFmtId="41" fontId="8" fillId="10" borderId="128" xfId="1" applyFont="1" applyFill="1" applyBorder="1">
      <alignment vertical="center"/>
    </xf>
    <xf numFmtId="41" fontId="8" fillId="10" borderId="129" xfId="1" applyFont="1" applyFill="1" applyBorder="1">
      <alignment vertical="center"/>
    </xf>
    <xf numFmtId="41" fontId="8" fillId="10" borderId="127" xfId="1" applyFont="1" applyFill="1" applyBorder="1">
      <alignment vertical="center"/>
    </xf>
    <xf numFmtId="41" fontId="8" fillId="10" borderId="130" xfId="0" applyNumberFormat="1" applyFont="1" applyFill="1" applyBorder="1">
      <alignment vertical="center"/>
    </xf>
    <xf numFmtId="41" fontId="0" fillId="0" borderId="134" xfId="1" applyFont="1" applyBorder="1">
      <alignment vertical="center"/>
    </xf>
    <xf numFmtId="41" fontId="0" fillId="0" borderId="135" xfId="1" applyFont="1" applyBorder="1">
      <alignment vertical="center"/>
    </xf>
    <xf numFmtId="41" fontId="0" fillId="0" borderId="136" xfId="1" applyFont="1" applyBorder="1">
      <alignment vertical="center"/>
    </xf>
    <xf numFmtId="41" fontId="8" fillId="6" borderId="137" xfId="1" applyFont="1" applyFill="1" applyBorder="1">
      <alignment vertical="center"/>
    </xf>
    <xf numFmtId="41" fontId="8" fillId="6" borderId="136" xfId="1" applyFont="1" applyFill="1" applyBorder="1">
      <alignment vertical="center"/>
    </xf>
    <xf numFmtId="41" fontId="0" fillId="0" borderId="137" xfId="1" applyFont="1" applyBorder="1">
      <alignment vertical="center"/>
    </xf>
    <xf numFmtId="41" fontId="32" fillId="0" borderId="136" xfId="1" applyFont="1" applyBorder="1">
      <alignment vertical="center"/>
    </xf>
    <xf numFmtId="41" fontId="8" fillId="11" borderId="134" xfId="0" applyNumberFormat="1" applyFont="1" applyFill="1" applyBorder="1">
      <alignment vertical="center"/>
    </xf>
    <xf numFmtId="41" fontId="8" fillId="11" borderId="135" xfId="1" applyFont="1" applyFill="1" applyBorder="1">
      <alignment vertical="center"/>
    </xf>
    <xf numFmtId="41" fontId="8" fillId="11" borderId="136" xfId="1" applyFont="1" applyFill="1" applyBorder="1">
      <alignment vertical="center"/>
    </xf>
    <xf numFmtId="41" fontId="8" fillId="11" borderId="138" xfId="0" applyNumberFormat="1" applyFont="1" applyFill="1" applyBorder="1">
      <alignment vertical="center"/>
    </xf>
    <xf numFmtId="41" fontId="8" fillId="11" borderId="139" xfId="0" applyNumberFormat="1" applyFont="1" applyFill="1" applyBorder="1">
      <alignment vertical="center"/>
    </xf>
    <xf numFmtId="41" fontId="8" fillId="11" borderId="140" xfId="1" applyFont="1" applyFill="1" applyBorder="1">
      <alignment vertical="center"/>
    </xf>
    <xf numFmtId="14" fontId="9" fillId="17" borderId="131" xfId="0" applyNumberFormat="1" applyFont="1" applyFill="1" applyBorder="1" applyAlignment="1">
      <alignment horizontal="center" vertical="center" wrapText="1"/>
    </xf>
    <xf numFmtId="14" fontId="9" fillId="17" borderId="132" xfId="0" applyNumberFormat="1" applyFont="1" applyFill="1" applyBorder="1" applyAlignment="1">
      <alignment horizontal="center" vertical="center" wrapText="1"/>
    </xf>
    <xf numFmtId="14" fontId="9" fillId="17" borderId="133" xfId="0" applyNumberFormat="1" applyFont="1" applyFill="1" applyBorder="1" applyAlignment="1">
      <alignment horizontal="center" vertical="center"/>
    </xf>
    <xf numFmtId="0" fontId="9" fillId="4" borderId="143" xfId="0" applyFont="1" applyFill="1" applyBorder="1" applyAlignment="1">
      <alignment horizontal="center" vertical="center" wrapText="1"/>
    </xf>
    <xf numFmtId="0" fontId="9" fillId="4" borderId="144" xfId="0" applyFont="1" applyFill="1" applyBorder="1" applyAlignment="1">
      <alignment horizontal="center" vertical="center" wrapText="1"/>
    </xf>
    <xf numFmtId="9" fontId="8" fillId="0" borderId="134" xfId="0" applyNumberFormat="1" applyFont="1" applyFill="1" applyBorder="1" applyAlignment="1">
      <alignment horizontal="center" vertical="center"/>
    </xf>
    <xf numFmtId="9" fontId="8" fillId="0" borderId="137" xfId="0" applyNumberFormat="1" applyFont="1" applyFill="1" applyBorder="1" applyAlignment="1">
      <alignment horizontal="center" vertical="center"/>
    </xf>
    <xf numFmtId="41" fontId="0" fillId="0" borderId="145" xfId="1" applyFont="1" applyBorder="1">
      <alignment vertical="center"/>
    </xf>
    <xf numFmtId="9" fontId="8" fillId="6" borderId="146" xfId="2" applyFont="1" applyFill="1" applyBorder="1" applyAlignment="1">
      <alignment horizontal="center" vertical="center"/>
    </xf>
    <xf numFmtId="41" fontId="8" fillId="6" borderId="147" xfId="0" applyNumberFormat="1" applyFont="1" applyFill="1" applyBorder="1" applyAlignment="1">
      <alignment horizontal="center" vertical="center"/>
    </xf>
    <xf numFmtId="14" fontId="9" fillId="4" borderId="148" xfId="0" applyNumberFormat="1" applyFont="1" applyFill="1" applyBorder="1" applyAlignment="1">
      <alignment horizontal="center" vertical="center" wrapText="1"/>
    </xf>
    <xf numFmtId="41" fontId="8" fillId="11" borderId="135" xfId="0" applyNumberFormat="1" applyFont="1" applyFill="1" applyBorder="1">
      <alignment vertical="center"/>
    </xf>
    <xf numFmtId="41" fontId="8" fillId="11" borderId="149" xfId="0" applyNumberFormat="1" applyFont="1" applyFill="1" applyBorder="1">
      <alignment vertical="center"/>
    </xf>
    <xf numFmtId="41" fontId="8" fillId="11" borderId="4" xfId="1" applyFont="1" applyFill="1" applyBorder="1" applyAlignment="1">
      <alignment horizontal="center" vertical="center"/>
    </xf>
    <xf numFmtId="41" fontId="8" fillId="11" borderId="37" xfId="1" applyFont="1" applyFill="1" applyBorder="1" applyAlignment="1">
      <alignment horizontal="center" vertical="center"/>
    </xf>
    <xf numFmtId="18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10" fillId="8" borderId="150" xfId="0" applyNumberFormat="1" applyFont="1" applyFill="1" applyBorder="1">
      <alignment vertical="center"/>
    </xf>
    <xf numFmtId="41" fontId="10" fillId="14" borderId="97" xfId="0" applyNumberFormat="1" applyFont="1" applyFill="1" applyBorder="1">
      <alignment vertical="center"/>
    </xf>
    <xf numFmtId="41" fontId="12" fillId="0" borderId="2" xfId="8" applyFont="1" applyBorder="1">
      <alignment vertical="center"/>
    </xf>
    <xf numFmtId="41" fontId="10" fillId="14" borderId="51" xfId="0" applyNumberFormat="1" applyFont="1" applyFill="1" applyBorder="1">
      <alignment vertical="center"/>
    </xf>
    <xf numFmtId="41" fontId="32" fillId="0" borderId="2" xfId="1" applyFont="1" applyBorder="1">
      <alignment vertical="center"/>
    </xf>
    <xf numFmtId="41" fontId="10" fillId="14" borderId="151" xfId="0" applyNumberFormat="1" applyFont="1" applyFill="1" applyBorder="1">
      <alignment vertical="center"/>
    </xf>
    <xf numFmtId="0" fontId="51" fillId="6" borderId="55" xfId="9" applyFont="1" applyFill="1" applyBorder="1" applyAlignment="1">
      <alignment horizontal="center" vertical="center"/>
    </xf>
    <xf numFmtId="0" fontId="51" fillId="6" borderId="56" xfId="9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77" xfId="0" applyFont="1" applyFill="1" applyBorder="1" applyAlignment="1">
      <alignment horizontal="center" vertical="center" wrapText="1"/>
    </xf>
    <xf numFmtId="0" fontId="9" fillId="4" borderId="78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4" borderId="94" xfId="0" applyFont="1" applyFill="1" applyBorder="1" applyAlignment="1">
      <alignment horizontal="center" vertical="center"/>
    </xf>
    <xf numFmtId="0" fontId="9" fillId="4" borderId="95" xfId="0" applyFont="1" applyFill="1" applyBorder="1" applyAlignment="1">
      <alignment horizontal="center" vertical="center"/>
    </xf>
    <xf numFmtId="0" fontId="9" fillId="4" borderId="92" xfId="0" applyFont="1" applyFill="1" applyBorder="1" applyAlignment="1">
      <alignment horizontal="center" vertical="center" wrapText="1"/>
    </xf>
    <xf numFmtId="0" fontId="9" fillId="4" borderId="93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0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9" fillId="4" borderId="90" xfId="0" applyFont="1" applyFill="1" applyBorder="1" applyAlignment="1">
      <alignment horizontal="center" vertical="center" wrapText="1"/>
    </xf>
    <xf numFmtId="0" fontId="9" fillId="4" borderId="97" xfId="0" applyFont="1" applyFill="1" applyBorder="1" applyAlignment="1">
      <alignment horizontal="center" vertical="center" wrapText="1"/>
    </xf>
    <xf numFmtId="0" fontId="9" fillId="4" borderId="104" xfId="0" applyFont="1" applyFill="1" applyBorder="1" applyAlignment="1">
      <alignment horizontal="center" vertical="center" wrapText="1"/>
    </xf>
    <xf numFmtId="0" fontId="9" fillId="4" borderId="102" xfId="0" applyFont="1" applyFill="1" applyBorder="1" applyAlignment="1">
      <alignment horizontal="center" vertical="center" wrapText="1"/>
    </xf>
    <xf numFmtId="0" fontId="9" fillId="4" borderId="103" xfId="0" applyFont="1" applyFill="1" applyBorder="1" applyAlignment="1">
      <alignment horizontal="center" vertical="center" wrapText="1"/>
    </xf>
    <xf numFmtId="0" fontId="9" fillId="4" borderId="98" xfId="0" applyFont="1" applyFill="1" applyBorder="1" applyAlignment="1">
      <alignment horizontal="center" vertical="center" wrapText="1"/>
    </xf>
    <xf numFmtId="0" fontId="9" fillId="4" borderId="99" xfId="0" applyFont="1" applyFill="1" applyBorder="1" applyAlignment="1">
      <alignment horizontal="center" vertical="center" wrapText="1"/>
    </xf>
    <xf numFmtId="0" fontId="52" fillId="11" borderId="126" xfId="0" applyFont="1" applyFill="1" applyBorder="1" applyAlignment="1">
      <alignment horizontal="center" vertical="center" wrapText="1"/>
    </xf>
    <xf numFmtId="0" fontId="52" fillId="11" borderId="127" xfId="0" applyFont="1" applyFill="1" applyBorder="1" applyAlignment="1">
      <alignment horizontal="center" vertical="center" wrapText="1"/>
    </xf>
    <xf numFmtId="0" fontId="9" fillId="4" borderId="60" xfId="0" applyFont="1" applyFill="1" applyBorder="1" applyAlignment="1">
      <alignment horizontal="center" vertical="center" wrapText="1"/>
    </xf>
    <xf numFmtId="0" fontId="9" fillId="4" borderId="61" xfId="0" applyFont="1" applyFill="1" applyBorder="1" applyAlignment="1">
      <alignment horizontal="center" vertical="center" wrapText="1"/>
    </xf>
    <xf numFmtId="0" fontId="53" fillId="9" borderId="55" xfId="9" applyFont="1" applyFill="1" applyBorder="1" applyAlignment="1">
      <alignment horizontal="center" vertical="center"/>
    </xf>
    <xf numFmtId="0" fontId="53" fillId="9" borderId="56" xfId="9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9" fillId="4" borderId="10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58" fillId="4" borderId="109" xfId="0" applyFont="1" applyFill="1" applyBorder="1" applyAlignment="1">
      <alignment horizontal="center" vertical="center"/>
    </xf>
    <xf numFmtId="0" fontId="58" fillId="4" borderId="110" xfId="0" applyFont="1" applyFill="1" applyBorder="1" applyAlignment="1">
      <alignment horizontal="center" vertical="center"/>
    </xf>
    <xf numFmtId="0" fontId="9" fillId="4" borderId="141" xfId="0" applyFont="1" applyFill="1" applyBorder="1" applyAlignment="1">
      <alignment horizontal="center" vertical="center" wrapText="1"/>
    </xf>
    <xf numFmtId="0" fontId="9" fillId="4" borderId="14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52" fillId="11" borderId="112" xfId="0" applyFont="1" applyFill="1" applyBorder="1" applyAlignment="1">
      <alignment horizontal="center" vertical="center" wrapText="1"/>
    </xf>
    <xf numFmtId="0" fontId="52" fillId="11" borderId="107" xfId="0" applyFont="1" applyFill="1" applyBorder="1" applyAlignment="1">
      <alignment horizontal="center" vertical="center"/>
    </xf>
    <xf numFmtId="0" fontId="52" fillId="11" borderId="115" xfId="0" applyFont="1" applyFill="1" applyBorder="1" applyAlignment="1">
      <alignment horizontal="center" vertical="center" wrapText="1"/>
    </xf>
    <xf numFmtId="0" fontId="52" fillId="11" borderId="116" xfId="0" applyFont="1" applyFill="1" applyBorder="1" applyAlignment="1">
      <alignment horizontal="center" vertical="center" wrapText="1"/>
    </xf>
    <xf numFmtId="0" fontId="52" fillId="11" borderId="119" xfId="0" applyFont="1" applyFill="1" applyBorder="1" applyAlignment="1">
      <alignment horizontal="center" vertical="center" wrapText="1"/>
    </xf>
    <xf numFmtId="0" fontId="52" fillId="11" borderId="120" xfId="0" applyFont="1" applyFill="1" applyBorder="1" applyAlignment="1">
      <alignment horizontal="center" vertical="center" wrapText="1"/>
    </xf>
    <xf numFmtId="0" fontId="52" fillId="11" borderId="124" xfId="0" applyFont="1" applyFill="1" applyBorder="1" applyAlignment="1">
      <alignment horizontal="center" vertical="center" wrapText="1"/>
    </xf>
    <xf numFmtId="0" fontId="52" fillId="11" borderId="106" xfId="0" applyFont="1" applyFill="1" applyBorder="1" applyAlignment="1">
      <alignment horizontal="center" vertical="center" wrapText="1"/>
    </xf>
    <xf numFmtId="0" fontId="9" fillId="4" borderId="5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9" fillId="4" borderId="64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65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0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/>
    </xf>
    <xf numFmtId="0" fontId="10" fillId="6" borderId="12" xfId="3" applyFont="1" applyFill="1" applyBorder="1" applyAlignment="1">
      <alignment horizontal="center" vertical="center"/>
    </xf>
    <xf numFmtId="0" fontId="19" fillId="10" borderId="2" xfId="3" applyFont="1" applyFill="1" applyBorder="1" applyAlignment="1">
      <alignment horizontal="center" vertical="center"/>
    </xf>
    <xf numFmtId="0" fontId="19" fillId="10" borderId="27" xfId="3" applyFont="1" applyFill="1" applyBorder="1" applyAlignment="1">
      <alignment horizontal="center" vertical="center"/>
    </xf>
    <xf numFmtId="0" fontId="19" fillId="10" borderId="3" xfId="3" applyFont="1" applyFill="1" applyBorder="1" applyAlignment="1">
      <alignment horizontal="center" vertical="center"/>
    </xf>
    <xf numFmtId="41" fontId="10" fillId="13" borderId="0" xfId="3" applyNumberFormat="1" applyFont="1" applyFill="1" applyAlignment="1">
      <alignment horizontal="center" vertical="center"/>
    </xf>
    <xf numFmtId="0" fontId="10" fillId="13" borderId="0" xfId="3" applyFont="1" applyFill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0" fillId="10" borderId="0" xfId="3" applyFont="1" applyFill="1" applyAlignment="1">
      <alignment horizontal="center" vertical="center"/>
    </xf>
    <xf numFmtId="0" fontId="8" fillId="14" borderId="48" xfId="0" applyFont="1" applyFill="1" applyBorder="1" applyAlignment="1">
      <alignment horizontal="center" vertical="center"/>
    </xf>
    <xf numFmtId="14" fontId="8" fillId="8" borderId="2" xfId="0" applyNumberFormat="1" applyFont="1" applyFill="1" applyBorder="1" applyAlignment="1">
      <alignment horizontal="center" vertical="center"/>
    </xf>
    <xf numFmtId="14" fontId="8" fillId="8" borderId="3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</cellXfs>
  <cellStyles count="12">
    <cellStyle name="백분율" xfId="2" builtinId="5"/>
    <cellStyle name="백분율 2" xfId="5"/>
    <cellStyle name="백분율 3" xfId="10"/>
    <cellStyle name="쉼표 [0]" xfId="1" builtinId="6"/>
    <cellStyle name="쉼표 [0] 2" xfId="4"/>
    <cellStyle name="쉼표 [0] 3" xfId="8"/>
    <cellStyle name="쉼표 [0] 4" xfId="11"/>
    <cellStyle name="표준" xfId="0" builtinId="0"/>
    <cellStyle name="표준 10" xfId="6"/>
    <cellStyle name="표준 2" xfId="3"/>
    <cellStyle name="표준 3" xfId="7"/>
    <cellStyle name="표준 4" xfId="9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theme="3"/>
      </font>
      <fill>
        <patternFill patternType="lightUp">
          <fgColor theme="4" tint="0.7999816888943144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FCC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'20년설'!$C$6:$C$37</c:f>
              <c:numCache>
                <c:formatCode>_(* #,##0_);_(* \(#,##0\);_(* "-"_);_(@_)</c:formatCode>
                <c:ptCount val="32"/>
                <c:pt idx="0">
                  <c:v>150038385</c:v>
                </c:pt>
                <c:pt idx="1">
                  <c:v>108855429</c:v>
                </c:pt>
                <c:pt idx="2">
                  <c:v>107656822</c:v>
                </c:pt>
                <c:pt idx="3">
                  <c:v>173491347</c:v>
                </c:pt>
                <c:pt idx="4">
                  <c:v>171545258</c:v>
                </c:pt>
                <c:pt idx="5">
                  <c:v>163586017</c:v>
                </c:pt>
                <c:pt idx="6">
                  <c:v>158632388</c:v>
                </c:pt>
                <c:pt idx="7">
                  <c:v>148388047</c:v>
                </c:pt>
                <c:pt idx="8">
                  <c:v>102787392</c:v>
                </c:pt>
                <c:pt idx="9">
                  <c:v>101385740</c:v>
                </c:pt>
                <c:pt idx="10">
                  <c:v>157358708</c:v>
                </c:pt>
                <c:pt idx="11">
                  <c:v>150968697</c:v>
                </c:pt>
                <c:pt idx="12">
                  <c:v>140723271</c:v>
                </c:pt>
                <c:pt idx="13">
                  <c:v>113866716</c:v>
                </c:pt>
                <c:pt idx="14">
                  <c:v>72830829</c:v>
                </c:pt>
                <c:pt idx="15">
                  <c:v>68701961</c:v>
                </c:pt>
                <c:pt idx="16">
                  <c:v>79786026</c:v>
                </c:pt>
                <c:pt idx="17">
                  <c:v>107317058</c:v>
                </c:pt>
                <c:pt idx="18">
                  <c:v>173053116</c:v>
                </c:pt>
                <c:pt idx="19">
                  <c:v>172319346</c:v>
                </c:pt>
                <c:pt idx="20">
                  <c:v>166453360</c:v>
                </c:pt>
                <c:pt idx="21">
                  <c:v>151793216</c:v>
                </c:pt>
                <c:pt idx="22">
                  <c:v>104154137</c:v>
                </c:pt>
                <c:pt idx="23">
                  <c:v>102401091</c:v>
                </c:pt>
                <c:pt idx="24">
                  <c:v>172209451</c:v>
                </c:pt>
                <c:pt idx="25">
                  <c:v>167699771</c:v>
                </c:pt>
                <c:pt idx="26">
                  <c:v>174397680</c:v>
                </c:pt>
                <c:pt idx="27">
                  <c:v>170459499</c:v>
                </c:pt>
                <c:pt idx="28">
                  <c:v>157399884</c:v>
                </c:pt>
                <c:pt idx="29">
                  <c:v>108408173</c:v>
                </c:pt>
                <c:pt idx="30">
                  <c:v>105378509</c:v>
                </c:pt>
                <c:pt idx="31">
                  <c:v>181647217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4-4556-8C6C-B282E9AB1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'20년설'!$D$6:$D$37</c:f>
              <c:numCache>
                <c:formatCode>_(* #,##0_);_(* \(#,##0\);_(* "-"_);_(@_)</c:formatCode>
                <c:ptCount val="32"/>
                <c:pt idx="0">
                  <c:v>21536430</c:v>
                </c:pt>
                <c:pt idx="1">
                  <c:v>18552210</c:v>
                </c:pt>
                <c:pt idx="2">
                  <c:v>15066520</c:v>
                </c:pt>
                <c:pt idx="3">
                  <c:v>24434900</c:v>
                </c:pt>
                <c:pt idx="4">
                  <c:v>24101170</c:v>
                </c:pt>
                <c:pt idx="5">
                  <c:v>20666350</c:v>
                </c:pt>
                <c:pt idx="6">
                  <c:v>17305370</c:v>
                </c:pt>
                <c:pt idx="7">
                  <c:v>16118690</c:v>
                </c:pt>
                <c:pt idx="8">
                  <c:v>10900960</c:v>
                </c:pt>
                <c:pt idx="9">
                  <c:v>10345460</c:v>
                </c:pt>
                <c:pt idx="10">
                  <c:v>21083790</c:v>
                </c:pt>
                <c:pt idx="11">
                  <c:v>20439120</c:v>
                </c:pt>
                <c:pt idx="12">
                  <c:v>18876400</c:v>
                </c:pt>
                <c:pt idx="13">
                  <c:v>16430240</c:v>
                </c:pt>
                <c:pt idx="14">
                  <c:v>11749710</c:v>
                </c:pt>
                <c:pt idx="15">
                  <c:v>11812420</c:v>
                </c:pt>
                <c:pt idx="16">
                  <c:v>13702400</c:v>
                </c:pt>
                <c:pt idx="17">
                  <c:v>17569410</c:v>
                </c:pt>
                <c:pt idx="18">
                  <c:v>22966370</c:v>
                </c:pt>
                <c:pt idx="19">
                  <c:v>23519630</c:v>
                </c:pt>
                <c:pt idx="20">
                  <c:v>22575910</c:v>
                </c:pt>
                <c:pt idx="21">
                  <c:v>21947140</c:v>
                </c:pt>
                <c:pt idx="22">
                  <c:v>17283290</c:v>
                </c:pt>
                <c:pt idx="23">
                  <c:v>16743180</c:v>
                </c:pt>
                <c:pt idx="24">
                  <c:v>19746470</c:v>
                </c:pt>
                <c:pt idx="25">
                  <c:v>18304950</c:v>
                </c:pt>
                <c:pt idx="26">
                  <c:v>20316260</c:v>
                </c:pt>
                <c:pt idx="27">
                  <c:v>19845090</c:v>
                </c:pt>
                <c:pt idx="28">
                  <c:v>22104750</c:v>
                </c:pt>
                <c:pt idx="29">
                  <c:v>14630680</c:v>
                </c:pt>
                <c:pt idx="30">
                  <c:v>13886020</c:v>
                </c:pt>
                <c:pt idx="31">
                  <c:v>22209010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6-4D99-B1AC-9FD0245F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5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'20년설'!$E$6:$E$37</c:f>
              <c:numCache>
                <c:formatCode>_(* #,##0_);_(* \(#,##0\);_(* "-"_);_(@_)</c:formatCode>
                <c:ptCount val="32"/>
                <c:pt idx="0">
                  <c:v>70369616</c:v>
                </c:pt>
                <c:pt idx="1">
                  <c:v>64560525</c:v>
                </c:pt>
                <c:pt idx="2">
                  <c:v>76780646</c:v>
                </c:pt>
                <c:pt idx="3">
                  <c:v>83864693</c:v>
                </c:pt>
                <c:pt idx="4">
                  <c:v>77172343</c:v>
                </c:pt>
                <c:pt idx="5">
                  <c:v>75065138</c:v>
                </c:pt>
                <c:pt idx="6">
                  <c:v>69973068</c:v>
                </c:pt>
                <c:pt idx="7">
                  <c:v>64781783</c:v>
                </c:pt>
                <c:pt idx="8">
                  <c:v>61601728</c:v>
                </c:pt>
                <c:pt idx="9">
                  <c:v>70329370</c:v>
                </c:pt>
                <c:pt idx="10">
                  <c:v>67221966</c:v>
                </c:pt>
                <c:pt idx="11">
                  <c:v>48838168</c:v>
                </c:pt>
                <c:pt idx="12">
                  <c:v>43783781</c:v>
                </c:pt>
                <c:pt idx="13">
                  <c:v>34721203</c:v>
                </c:pt>
                <c:pt idx="14">
                  <c:v>33749837</c:v>
                </c:pt>
                <c:pt idx="15">
                  <c:v>36878401</c:v>
                </c:pt>
                <c:pt idx="16">
                  <c:v>45220613</c:v>
                </c:pt>
                <c:pt idx="17">
                  <c:v>59026921</c:v>
                </c:pt>
                <c:pt idx="18">
                  <c:v>65285416</c:v>
                </c:pt>
                <c:pt idx="19">
                  <c:v>58581013</c:v>
                </c:pt>
                <c:pt idx="20">
                  <c:v>54520558</c:v>
                </c:pt>
                <c:pt idx="21">
                  <c:v>53180501</c:v>
                </c:pt>
                <c:pt idx="22">
                  <c:v>56297041</c:v>
                </c:pt>
                <c:pt idx="23">
                  <c:v>63938641</c:v>
                </c:pt>
                <c:pt idx="24">
                  <c:v>63422135</c:v>
                </c:pt>
                <c:pt idx="25">
                  <c:v>60031488</c:v>
                </c:pt>
                <c:pt idx="26">
                  <c:v>63796774</c:v>
                </c:pt>
                <c:pt idx="27">
                  <c:v>66743559</c:v>
                </c:pt>
                <c:pt idx="28">
                  <c:v>62908519</c:v>
                </c:pt>
                <c:pt idx="29">
                  <c:v>59444556</c:v>
                </c:pt>
                <c:pt idx="30">
                  <c:v>66376729</c:v>
                </c:pt>
                <c:pt idx="31">
                  <c:v>65745088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FB-491E-8813-9E0C1B432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90000000"/>
          <c:min val="3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'20년설'!$F$6:$F$37</c:f>
              <c:numCache>
                <c:formatCode>_(* #,##0_);_(* \(#,##0\);_(* "-"_);_(@_)</c:formatCode>
                <c:ptCount val="32"/>
                <c:pt idx="0">
                  <c:v>18802576</c:v>
                </c:pt>
                <c:pt idx="1">
                  <c:v>25792018</c:v>
                </c:pt>
                <c:pt idx="2">
                  <c:v>21642042</c:v>
                </c:pt>
                <c:pt idx="3">
                  <c:v>21522168</c:v>
                </c:pt>
                <c:pt idx="4">
                  <c:v>21658344</c:v>
                </c:pt>
                <c:pt idx="5">
                  <c:v>21630586</c:v>
                </c:pt>
                <c:pt idx="6">
                  <c:v>19915743</c:v>
                </c:pt>
                <c:pt idx="7">
                  <c:v>18006681</c:v>
                </c:pt>
                <c:pt idx="8">
                  <c:v>18613093</c:v>
                </c:pt>
                <c:pt idx="9">
                  <c:v>21108814</c:v>
                </c:pt>
                <c:pt idx="10">
                  <c:v>20713181</c:v>
                </c:pt>
                <c:pt idx="11">
                  <c:v>17579534</c:v>
                </c:pt>
                <c:pt idx="12">
                  <c:v>15031674</c:v>
                </c:pt>
                <c:pt idx="13">
                  <c:v>13094767</c:v>
                </c:pt>
                <c:pt idx="14">
                  <c:v>13203881</c:v>
                </c:pt>
                <c:pt idx="15">
                  <c:v>14561409</c:v>
                </c:pt>
                <c:pt idx="16">
                  <c:v>17272082</c:v>
                </c:pt>
                <c:pt idx="17">
                  <c:v>21438546</c:v>
                </c:pt>
                <c:pt idx="18">
                  <c:v>23184449</c:v>
                </c:pt>
                <c:pt idx="19">
                  <c:v>22042733</c:v>
                </c:pt>
                <c:pt idx="20">
                  <c:v>21145669</c:v>
                </c:pt>
                <c:pt idx="21">
                  <c:v>18395351</c:v>
                </c:pt>
                <c:pt idx="22">
                  <c:v>20859098</c:v>
                </c:pt>
                <c:pt idx="23">
                  <c:v>23812091</c:v>
                </c:pt>
                <c:pt idx="24">
                  <c:v>21990713</c:v>
                </c:pt>
                <c:pt idx="25">
                  <c:v>22248591</c:v>
                </c:pt>
                <c:pt idx="26">
                  <c:v>21184780</c:v>
                </c:pt>
                <c:pt idx="27">
                  <c:v>20850254</c:v>
                </c:pt>
                <c:pt idx="28">
                  <c:v>18053763</c:v>
                </c:pt>
                <c:pt idx="29">
                  <c:v>18994427</c:v>
                </c:pt>
                <c:pt idx="30">
                  <c:v>21626936</c:v>
                </c:pt>
                <c:pt idx="31">
                  <c:v>21326813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1-4561-A56B-58763E2D8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3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'19년추석'!$C$6:$C$37</c:f>
              <c:numCache>
                <c:formatCode>_(* #,##0_);_(* \(#,##0\);_(* "-"_);_(@_)</c:formatCode>
                <c:ptCount val="32"/>
                <c:pt idx="0">
                  <c:v>143504149</c:v>
                </c:pt>
                <c:pt idx="1">
                  <c:v>128016142</c:v>
                </c:pt>
                <c:pt idx="2">
                  <c:v>81209754</c:v>
                </c:pt>
                <c:pt idx="3">
                  <c:v>85168215</c:v>
                </c:pt>
                <c:pt idx="4">
                  <c:v>153166128</c:v>
                </c:pt>
                <c:pt idx="5">
                  <c:v>154050297</c:v>
                </c:pt>
                <c:pt idx="6">
                  <c:v>150124880</c:v>
                </c:pt>
                <c:pt idx="7">
                  <c:v>145754763</c:v>
                </c:pt>
                <c:pt idx="8">
                  <c:v>129265424</c:v>
                </c:pt>
                <c:pt idx="9">
                  <c:v>84576575</c:v>
                </c:pt>
                <c:pt idx="10">
                  <c:v>85746970</c:v>
                </c:pt>
                <c:pt idx="11">
                  <c:v>143994013</c:v>
                </c:pt>
                <c:pt idx="12">
                  <c:v>129447940</c:v>
                </c:pt>
                <c:pt idx="13">
                  <c:v>102693338</c:v>
                </c:pt>
                <c:pt idx="14">
                  <c:v>60717000</c:v>
                </c:pt>
                <c:pt idx="15">
                  <c:v>57616318</c:v>
                </c:pt>
                <c:pt idx="16">
                  <c:v>69459682</c:v>
                </c:pt>
                <c:pt idx="17">
                  <c:v>81083313</c:v>
                </c:pt>
                <c:pt idx="18">
                  <c:v>175692066</c:v>
                </c:pt>
                <c:pt idx="19">
                  <c:v>162211588</c:v>
                </c:pt>
                <c:pt idx="20">
                  <c:v>157673112</c:v>
                </c:pt>
                <c:pt idx="21">
                  <c:v>150788457</c:v>
                </c:pt>
                <c:pt idx="22">
                  <c:v>141075733</c:v>
                </c:pt>
                <c:pt idx="23">
                  <c:v>88619210</c:v>
                </c:pt>
                <c:pt idx="24">
                  <c:v>88261143</c:v>
                </c:pt>
                <c:pt idx="25">
                  <c:v>161051709</c:v>
                </c:pt>
                <c:pt idx="26">
                  <c:v>158721040</c:v>
                </c:pt>
                <c:pt idx="27">
                  <c:v>154622864</c:v>
                </c:pt>
                <c:pt idx="28">
                  <c:v>149476021</c:v>
                </c:pt>
                <c:pt idx="29">
                  <c:v>139511814</c:v>
                </c:pt>
                <c:pt idx="30">
                  <c:v>89748279</c:v>
                </c:pt>
                <c:pt idx="31">
                  <c:v>89078152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4-4837-8A6E-E335FC5C8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'19년추석'!$D$6:$D$37</c:f>
              <c:numCache>
                <c:formatCode>_(* #,##0_);_(* \(#,##0\);_(* "-"_);_(@_)</c:formatCode>
                <c:ptCount val="32"/>
                <c:pt idx="0">
                  <c:v>24242170</c:v>
                </c:pt>
                <c:pt idx="1">
                  <c:v>22325190</c:v>
                </c:pt>
                <c:pt idx="2">
                  <c:v>15535200</c:v>
                </c:pt>
                <c:pt idx="3">
                  <c:v>15825780</c:v>
                </c:pt>
                <c:pt idx="4">
                  <c:v>25558400</c:v>
                </c:pt>
                <c:pt idx="5">
                  <c:v>22098050</c:v>
                </c:pt>
                <c:pt idx="6">
                  <c:v>18086170</c:v>
                </c:pt>
                <c:pt idx="7">
                  <c:v>17294680</c:v>
                </c:pt>
                <c:pt idx="8">
                  <c:v>21340620</c:v>
                </c:pt>
                <c:pt idx="9">
                  <c:v>16562900</c:v>
                </c:pt>
                <c:pt idx="10">
                  <c:v>15944350</c:v>
                </c:pt>
                <c:pt idx="11">
                  <c:v>23557730</c:v>
                </c:pt>
                <c:pt idx="12">
                  <c:v>23111010</c:v>
                </c:pt>
                <c:pt idx="13">
                  <c:v>19659200</c:v>
                </c:pt>
                <c:pt idx="14">
                  <c:v>10187760</c:v>
                </c:pt>
                <c:pt idx="15">
                  <c:v>10061350</c:v>
                </c:pt>
                <c:pt idx="16">
                  <c:v>12242110</c:v>
                </c:pt>
                <c:pt idx="17">
                  <c:v>13494020</c:v>
                </c:pt>
                <c:pt idx="18">
                  <c:v>24896240</c:v>
                </c:pt>
                <c:pt idx="19">
                  <c:v>22440600</c:v>
                </c:pt>
                <c:pt idx="20">
                  <c:v>20722200</c:v>
                </c:pt>
                <c:pt idx="21">
                  <c:v>21118110</c:v>
                </c:pt>
                <c:pt idx="22">
                  <c:v>20557420</c:v>
                </c:pt>
                <c:pt idx="23">
                  <c:v>13747270</c:v>
                </c:pt>
                <c:pt idx="24">
                  <c:v>13511650</c:v>
                </c:pt>
                <c:pt idx="25">
                  <c:v>22349830</c:v>
                </c:pt>
                <c:pt idx="26">
                  <c:v>21178090</c:v>
                </c:pt>
                <c:pt idx="27">
                  <c:v>20711470</c:v>
                </c:pt>
                <c:pt idx="28">
                  <c:v>19113520</c:v>
                </c:pt>
                <c:pt idx="29">
                  <c:v>17334470</c:v>
                </c:pt>
                <c:pt idx="30">
                  <c:v>11130510</c:v>
                </c:pt>
                <c:pt idx="31">
                  <c:v>10699340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A2-4FA7-A5BF-13437A723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8000000"/>
          <c:min val="9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3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'19년추석'!$E$6:$E$37</c:f>
              <c:numCache>
                <c:formatCode>_(* #,##0_);_(* \(#,##0\);_(* "-"_);_(@_)</c:formatCode>
                <c:ptCount val="32"/>
                <c:pt idx="0">
                  <c:v>54089550</c:v>
                </c:pt>
                <c:pt idx="1">
                  <c:v>40805552</c:v>
                </c:pt>
                <c:pt idx="2">
                  <c:v>40866473</c:v>
                </c:pt>
                <c:pt idx="3">
                  <c:v>52938587</c:v>
                </c:pt>
                <c:pt idx="4">
                  <c:v>58539106</c:v>
                </c:pt>
                <c:pt idx="5">
                  <c:v>55246951</c:v>
                </c:pt>
                <c:pt idx="6">
                  <c:v>55153135</c:v>
                </c:pt>
                <c:pt idx="7">
                  <c:v>52388718</c:v>
                </c:pt>
                <c:pt idx="8">
                  <c:v>44518103</c:v>
                </c:pt>
                <c:pt idx="9">
                  <c:v>44413910</c:v>
                </c:pt>
                <c:pt idx="10">
                  <c:v>50284938</c:v>
                </c:pt>
                <c:pt idx="11">
                  <c:v>41334989</c:v>
                </c:pt>
                <c:pt idx="12">
                  <c:v>34578116</c:v>
                </c:pt>
                <c:pt idx="13">
                  <c:v>29240001</c:v>
                </c:pt>
                <c:pt idx="14">
                  <c:v>26773701</c:v>
                </c:pt>
                <c:pt idx="15">
                  <c:v>27526970</c:v>
                </c:pt>
                <c:pt idx="16">
                  <c:v>33511528</c:v>
                </c:pt>
                <c:pt idx="17">
                  <c:v>45031460</c:v>
                </c:pt>
                <c:pt idx="18">
                  <c:v>55501463</c:v>
                </c:pt>
                <c:pt idx="19">
                  <c:v>64021438</c:v>
                </c:pt>
                <c:pt idx="20">
                  <c:v>51000110</c:v>
                </c:pt>
                <c:pt idx="21">
                  <c:v>47186327</c:v>
                </c:pt>
                <c:pt idx="22">
                  <c:v>44943093</c:v>
                </c:pt>
                <c:pt idx="23">
                  <c:v>40619961</c:v>
                </c:pt>
                <c:pt idx="24">
                  <c:v>47145294</c:v>
                </c:pt>
                <c:pt idx="25">
                  <c:v>51147101</c:v>
                </c:pt>
                <c:pt idx="26">
                  <c:v>49336508</c:v>
                </c:pt>
                <c:pt idx="27">
                  <c:v>47185903</c:v>
                </c:pt>
                <c:pt idx="28">
                  <c:v>45938201</c:v>
                </c:pt>
                <c:pt idx="29">
                  <c:v>41161735</c:v>
                </c:pt>
                <c:pt idx="30">
                  <c:v>38351288</c:v>
                </c:pt>
                <c:pt idx="31">
                  <c:v>45009638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8-458F-8998-355A3732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70000000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'19년추석'!$F$6:$F$37</c:f>
              <c:numCache>
                <c:formatCode>_(* #,##0_);_(* \(#,##0\);_(* "-"_);_(@_)</c:formatCode>
                <c:ptCount val="32"/>
                <c:pt idx="0">
                  <c:v>17869545</c:v>
                </c:pt>
                <c:pt idx="1">
                  <c:v>16173952</c:v>
                </c:pt>
                <c:pt idx="2">
                  <c:v>16613901</c:v>
                </c:pt>
                <c:pt idx="3">
                  <c:v>19736847</c:v>
                </c:pt>
                <c:pt idx="4">
                  <c:v>20054229</c:v>
                </c:pt>
                <c:pt idx="5">
                  <c:v>20041155</c:v>
                </c:pt>
                <c:pt idx="6">
                  <c:v>20064284</c:v>
                </c:pt>
                <c:pt idx="7">
                  <c:v>20040817</c:v>
                </c:pt>
                <c:pt idx="8">
                  <c:v>16985671</c:v>
                </c:pt>
                <c:pt idx="9">
                  <c:v>17431204</c:v>
                </c:pt>
                <c:pt idx="10">
                  <c:v>18140370</c:v>
                </c:pt>
                <c:pt idx="11">
                  <c:v>16644746</c:v>
                </c:pt>
                <c:pt idx="12">
                  <c:v>15236675</c:v>
                </c:pt>
                <c:pt idx="13">
                  <c:v>19318874</c:v>
                </c:pt>
                <c:pt idx="14">
                  <c:v>12144194</c:v>
                </c:pt>
                <c:pt idx="15">
                  <c:v>12517506</c:v>
                </c:pt>
                <c:pt idx="16">
                  <c:v>14863488</c:v>
                </c:pt>
                <c:pt idx="17">
                  <c:v>18364419</c:v>
                </c:pt>
                <c:pt idx="18">
                  <c:v>21278836</c:v>
                </c:pt>
                <c:pt idx="19">
                  <c:v>20508296</c:v>
                </c:pt>
                <c:pt idx="20">
                  <c:v>19427744</c:v>
                </c:pt>
                <c:pt idx="21">
                  <c:v>18392325</c:v>
                </c:pt>
                <c:pt idx="22">
                  <c:v>16729294</c:v>
                </c:pt>
                <c:pt idx="23">
                  <c:v>17359039</c:v>
                </c:pt>
                <c:pt idx="24">
                  <c:v>19782345</c:v>
                </c:pt>
                <c:pt idx="25">
                  <c:v>18805256</c:v>
                </c:pt>
                <c:pt idx="26">
                  <c:v>17875199</c:v>
                </c:pt>
                <c:pt idx="27">
                  <c:v>18706093</c:v>
                </c:pt>
                <c:pt idx="28">
                  <c:v>18589261</c:v>
                </c:pt>
                <c:pt idx="29">
                  <c:v>17044742</c:v>
                </c:pt>
                <c:pt idx="30">
                  <c:v>16173073</c:v>
                </c:pt>
                <c:pt idx="31">
                  <c:v>18653559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159-9ED9-8B9F81B5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3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</c:strCache>
            </c:strRef>
          </c:cat>
          <c:val>
            <c:numRef>
              <c:f>'19년설'!$C$6:$C$37</c:f>
              <c:numCache>
                <c:formatCode>_(* #,##0_);_(* \(#,##0\);_(* "-"_);_(@_)</c:formatCode>
                <c:ptCount val="32"/>
                <c:pt idx="0">
                  <c:v>101283983</c:v>
                </c:pt>
                <c:pt idx="1">
                  <c:v>99816455</c:v>
                </c:pt>
                <c:pt idx="2">
                  <c:v>174517243</c:v>
                </c:pt>
                <c:pt idx="3">
                  <c:v>170542525</c:v>
                </c:pt>
                <c:pt idx="4">
                  <c:v>163996895</c:v>
                </c:pt>
                <c:pt idx="5">
                  <c:v>163887609</c:v>
                </c:pt>
                <c:pt idx="6">
                  <c:v>148696888</c:v>
                </c:pt>
                <c:pt idx="7">
                  <c:v>99929935</c:v>
                </c:pt>
                <c:pt idx="8">
                  <c:v>96845719</c:v>
                </c:pt>
                <c:pt idx="9">
                  <c:v>170728942</c:v>
                </c:pt>
                <c:pt idx="10">
                  <c:v>160558834</c:v>
                </c:pt>
                <c:pt idx="11">
                  <c:v>150555203</c:v>
                </c:pt>
                <c:pt idx="12">
                  <c:v>134809187</c:v>
                </c:pt>
                <c:pt idx="13">
                  <c:v>106535812</c:v>
                </c:pt>
                <c:pt idx="14">
                  <c:v>73749568</c:v>
                </c:pt>
                <c:pt idx="15">
                  <c:v>68482935</c:v>
                </c:pt>
                <c:pt idx="16">
                  <c:v>63392172</c:v>
                </c:pt>
                <c:pt idx="17">
                  <c:v>63818986</c:v>
                </c:pt>
                <c:pt idx="18">
                  <c:v>86095902</c:v>
                </c:pt>
                <c:pt idx="19">
                  <c:v>171096451</c:v>
                </c:pt>
                <c:pt idx="20">
                  <c:v>159717536</c:v>
                </c:pt>
                <c:pt idx="21">
                  <c:v>102971798</c:v>
                </c:pt>
                <c:pt idx="22">
                  <c:v>97630995</c:v>
                </c:pt>
                <c:pt idx="23">
                  <c:v>171649563</c:v>
                </c:pt>
                <c:pt idx="24">
                  <c:v>166501267</c:v>
                </c:pt>
                <c:pt idx="25">
                  <c:v>162524723</c:v>
                </c:pt>
                <c:pt idx="26">
                  <c:v>157643436</c:v>
                </c:pt>
                <c:pt idx="27">
                  <c:v>145061096</c:v>
                </c:pt>
                <c:pt idx="28">
                  <c:v>92560328</c:v>
                </c:pt>
                <c:pt idx="29">
                  <c:v>89920285</c:v>
                </c:pt>
                <c:pt idx="30">
                  <c:v>172005612</c:v>
                </c:pt>
                <c:pt idx="31">
                  <c:v>165759262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0-4F76-9EB4-74D1BA5B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'19년설'!$D$6:$D$38</c:f>
              <c:numCache>
                <c:formatCode>_(* #,##0_);_(* \(#,##0\);_(* "-"_);_(@_)</c:formatCode>
                <c:ptCount val="33"/>
                <c:pt idx="0">
                  <c:v>10620460</c:v>
                </c:pt>
                <c:pt idx="1">
                  <c:v>9586350</c:v>
                </c:pt>
                <c:pt idx="2">
                  <c:v>20512930</c:v>
                </c:pt>
                <c:pt idx="3">
                  <c:v>19782970</c:v>
                </c:pt>
                <c:pt idx="4">
                  <c:v>19823880</c:v>
                </c:pt>
                <c:pt idx="5">
                  <c:v>19221760</c:v>
                </c:pt>
                <c:pt idx="6">
                  <c:v>18145060</c:v>
                </c:pt>
                <c:pt idx="7">
                  <c:v>10794050</c:v>
                </c:pt>
                <c:pt idx="8">
                  <c:v>9198370</c:v>
                </c:pt>
                <c:pt idx="9">
                  <c:v>19937110</c:v>
                </c:pt>
                <c:pt idx="10">
                  <c:v>18923840</c:v>
                </c:pt>
                <c:pt idx="11">
                  <c:v>17880030</c:v>
                </c:pt>
                <c:pt idx="12">
                  <c:v>16517290</c:v>
                </c:pt>
                <c:pt idx="13">
                  <c:v>13669420</c:v>
                </c:pt>
                <c:pt idx="14">
                  <c:v>8669100</c:v>
                </c:pt>
                <c:pt idx="15">
                  <c:v>8111720</c:v>
                </c:pt>
                <c:pt idx="16">
                  <c:v>7730310</c:v>
                </c:pt>
                <c:pt idx="17">
                  <c:v>7824610</c:v>
                </c:pt>
                <c:pt idx="18">
                  <c:v>9427160</c:v>
                </c:pt>
                <c:pt idx="19">
                  <c:v>19840990</c:v>
                </c:pt>
                <c:pt idx="20">
                  <c:v>19491200</c:v>
                </c:pt>
                <c:pt idx="21">
                  <c:v>11995380</c:v>
                </c:pt>
                <c:pt idx="22">
                  <c:v>10517120</c:v>
                </c:pt>
                <c:pt idx="23">
                  <c:v>21066170</c:v>
                </c:pt>
                <c:pt idx="24">
                  <c:v>21248180</c:v>
                </c:pt>
                <c:pt idx="25">
                  <c:v>22394580</c:v>
                </c:pt>
                <c:pt idx="26">
                  <c:v>21031440</c:v>
                </c:pt>
                <c:pt idx="27">
                  <c:v>20148590</c:v>
                </c:pt>
                <c:pt idx="28">
                  <c:v>11686190</c:v>
                </c:pt>
                <c:pt idx="29">
                  <c:v>10556170</c:v>
                </c:pt>
                <c:pt idx="30">
                  <c:v>21540310</c:v>
                </c:pt>
                <c:pt idx="31">
                  <c:v>21747730</c:v>
                </c:pt>
                <c:pt idx="32">
                  <c:v>20433120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9-4773-B37C-4A1B3830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5000000"/>
          <c:min val="6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3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'19년설'!$E$6:$E$38</c:f>
              <c:numCache>
                <c:formatCode>_(* #,##0_);_(* \(#,##0\);_(* "-"_);_(@_)</c:formatCode>
                <c:ptCount val="33"/>
                <c:pt idx="0">
                  <c:v>47594177</c:v>
                </c:pt>
                <c:pt idx="1">
                  <c:v>47534684</c:v>
                </c:pt>
                <c:pt idx="2">
                  <c:v>51329078</c:v>
                </c:pt>
                <c:pt idx="3">
                  <c:v>50052444</c:v>
                </c:pt>
                <c:pt idx="4">
                  <c:v>48984705</c:v>
                </c:pt>
                <c:pt idx="5">
                  <c:v>47126831</c:v>
                </c:pt>
                <c:pt idx="6">
                  <c:v>43558204</c:v>
                </c:pt>
                <c:pt idx="7">
                  <c:v>44860798</c:v>
                </c:pt>
                <c:pt idx="8">
                  <c:v>49716466</c:v>
                </c:pt>
                <c:pt idx="9">
                  <c:v>51761437</c:v>
                </c:pt>
                <c:pt idx="10">
                  <c:v>47523821</c:v>
                </c:pt>
                <c:pt idx="11">
                  <c:v>44760164</c:v>
                </c:pt>
                <c:pt idx="12">
                  <c:v>38326112</c:v>
                </c:pt>
                <c:pt idx="13">
                  <c:v>31556831</c:v>
                </c:pt>
                <c:pt idx="14">
                  <c:v>30511212</c:v>
                </c:pt>
                <c:pt idx="15">
                  <c:v>30297168</c:v>
                </c:pt>
                <c:pt idx="16">
                  <c:v>27811990</c:v>
                </c:pt>
                <c:pt idx="17">
                  <c:v>28297291</c:v>
                </c:pt>
                <c:pt idx="18">
                  <c:v>42880932</c:v>
                </c:pt>
                <c:pt idx="19">
                  <c:v>52375393</c:v>
                </c:pt>
                <c:pt idx="20">
                  <c:v>45927361</c:v>
                </c:pt>
                <c:pt idx="21">
                  <c:v>45020758</c:v>
                </c:pt>
                <c:pt idx="22">
                  <c:v>49347509</c:v>
                </c:pt>
                <c:pt idx="23">
                  <c:v>51103915</c:v>
                </c:pt>
                <c:pt idx="24">
                  <c:v>47626334</c:v>
                </c:pt>
                <c:pt idx="25">
                  <c:v>47512240</c:v>
                </c:pt>
                <c:pt idx="26">
                  <c:v>45006670</c:v>
                </c:pt>
                <c:pt idx="27">
                  <c:v>42332184</c:v>
                </c:pt>
                <c:pt idx="28">
                  <c:v>40229080</c:v>
                </c:pt>
                <c:pt idx="29">
                  <c:v>46287017</c:v>
                </c:pt>
                <c:pt idx="30">
                  <c:v>54719125</c:v>
                </c:pt>
                <c:pt idx="31">
                  <c:v>53960247</c:v>
                </c:pt>
                <c:pt idx="32">
                  <c:v>50350733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C-4789-AA46-2ADF9538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60000000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'19년설'!$F$6:$F$38</c:f>
              <c:numCache>
                <c:formatCode>_(* #,##0_);_(* \(#,##0\);_(* "-"_);_(@_)</c:formatCode>
                <c:ptCount val="33"/>
                <c:pt idx="0">
                  <c:v>14863172</c:v>
                </c:pt>
                <c:pt idx="1">
                  <c:v>17246180</c:v>
                </c:pt>
                <c:pt idx="2">
                  <c:v>17558439</c:v>
                </c:pt>
                <c:pt idx="3">
                  <c:v>17256817</c:v>
                </c:pt>
                <c:pt idx="4">
                  <c:v>16625466</c:v>
                </c:pt>
                <c:pt idx="5">
                  <c:v>15776485</c:v>
                </c:pt>
                <c:pt idx="6">
                  <c:v>14903815</c:v>
                </c:pt>
                <c:pt idx="7">
                  <c:v>14526566</c:v>
                </c:pt>
                <c:pt idx="8">
                  <c:v>16644852</c:v>
                </c:pt>
                <c:pt idx="9">
                  <c:v>16861211</c:v>
                </c:pt>
                <c:pt idx="10">
                  <c:v>14461564</c:v>
                </c:pt>
                <c:pt idx="11">
                  <c:v>12832126</c:v>
                </c:pt>
                <c:pt idx="12">
                  <c:v>11411413</c:v>
                </c:pt>
                <c:pt idx="13">
                  <c:v>10004704</c:v>
                </c:pt>
                <c:pt idx="14">
                  <c:v>10179526</c:v>
                </c:pt>
                <c:pt idx="15">
                  <c:v>11221874</c:v>
                </c:pt>
                <c:pt idx="16">
                  <c:v>10240481</c:v>
                </c:pt>
                <c:pt idx="17">
                  <c:v>10882166</c:v>
                </c:pt>
                <c:pt idx="18">
                  <c:v>15026875</c:v>
                </c:pt>
                <c:pt idx="19">
                  <c:v>17363019</c:v>
                </c:pt>
                <c:pt idx="20">
                  <c:v>15937877</c:v>
                </c:pt>
                <c:pt idx="21">
                  <c:v>15567360</c:v>
                </c:pt>
                <c:pt idx="22">
                  <c:v>17902594</c:v>
                </c:pt>
                <c:pt idx="23">
                  <c:v>22538932</c:v>
                </c:pt>
                <c:pt idx="24">
                  <c:v>16995681</c:v>
                </c:pt>
                <c:pt idx="25">
                  <c:v>16614972</c:v>
                </c:pt>
                <c:pt idx="26">
                  <c:v>15819776</c:v>
                </c:pt>
                <c:pt idx="27">
                  <c:v>14126364</c:v>
                </c:pt>
                <c:pt idx="28">
                  <c:v>14508565</c:v>
                </c:pt>
                <c:pt idx="29">
                  <c:v>17820992</c:v>
                </c:pt>
                <c:pt idx="30">
                  <c:v>17224450</c:v>
                </c:pt>
                <c:pt idx="31">
                  <c:v>17926012</c:v>
                </c:pt>
                <c:pt idx="32">
                  <c:v>17266201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4-40F6-A267-FB77B1F19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5000000"/>
          <c:min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3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'18년추석'!$C$6:$C$38</c:f>
              <c:numCache>
                <c:formatCode>_(* #,##0_);_(* \(#,##0\);_(* "-"_);_(@_)</c:formatCode>
                <c:ptCount val="33"/>
                <c:pt idx="0">
                  <c:v>90201432</c:v>
                </c:pt>
                <c:pt idx="1">
                  <c:v>89320379</c:v>
                </c:pt>
                <c:pt idx="2">
                  <c:v>167438693</c:v>
                </c:pt>
                <c:pt idx="3">
                  <c:v>164377372</c:v>
                </c:pt>
                <c:pt idx="4">
                  <c:v>161301345</c:v>
                </c:pt>
                <c:pt idx="5">
                  <c:v>156981935</c:v>
                </c:pt>
                <c:pt idx="6">
                  <c:v>146403435</c:v>
                </c:pt>
                <c:pt idx="7">
                  <c:v>92771161</c:v>
                </c:pt>
                <c:pt idx="8">
                  <c:v>90129549</c:v>
                </c:pt>
                <c:pt idx="9">
                  <c:v>167834984</c:v>
                </c:pt>
                <c:pt idx="10">
                  <c:v>157014875</c:v>
                </c:pt>
                <c:pt idx="11">
                  <c:v>142973150</c:v>
                </c:pt>
                <c:pt idx="12">
                  <c:v>134633744</c:v>
                </c:pt>
                <c:pt idx="13">
                  <c:v>112678726</c:v>
                </c:pt>
                <c:pt idx="14">
                  <c:v>69651317</c:v>
                </c:pt>
                <c:pt idx="15">
                  <c:v>58793396</c:v>
                </c:pt>
                <c:pt idx="16">
                  <c:v>62105661</c:v>
                </c:pt>
                <c:pt idx="17">
                  <c:v>73700751</c:v>
                </c:pt>
                <c:pt idx="18">
                  <c:v>90921789</c:v>
                </c:pt>
                <c:pt idx="19">
                  <c:v>167345187</c:v>
                </c:pt>
                <c:pt idx="20">
                  <c:v>151507199</c:v>
                </c:pt>
                <c:pt idx="21">
                  <c:v>94174678</c:v>
                </c:pt>
                <c:pt idx="22">
                  <c:v>88251760</c:v>
                </c:pt>
                <c:pt idx="23">
                  <c:v>169538451</c:v>
                </c:pt>
                <c:pt idx="24">
                  <c:v>163546756</c:v>
                </c:pt>
                <c:pt idx="25">
                  <c:v>107671948</c:v>
                </c:pt>
                <c:pt idx="26">
                  <c:v>140938006</c:v>
                </c:pt>
                <c:pt idx="27">
                  <c:v>90013090</c:v>
                </c:pt>
                <c:pt idx="28">
                  <c:v>89633124</c:v>
                </c:pt>
                <c:pt idx="29">
                  <c:v>162417352</c:v>
                </c:pt>
                <c:pt idx="30">
                  <c:v>149725670</c:v>
                </c:pt>
                <c:pt idx="31">
                  <c:v>105099690</c:v>
                </c:pt>
                <c:pt idx="32">
                  <c:v>155540077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C-477B-9DD2-1209D9A5E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'18년추석'!$D$6:$D$38</c:f>
              <c:numCache>
                <c:formatCode>_(* #,##0_);_(* \(#,##0\);_(* "-"_);_(@_)</c:formatCode>
                <c:ptCount val="33"/>
                <c:pt idx="0">
                  <c:v>9529450</c:v>
                </c:pt>
                <c:pt idx="1">
                  <c:v>8416920</c:v>
                </c:pt>
                <c:pt idx="2">
                  <c:v>18340460</c:v>
                </c:pt>
                <c:pt idx="3">
                  <c:v>18521910</c:v>
                </c:pt>
                <c:pt idx="4">
                  <c:v>17403710</c:v>
                </c:pt>
                <c:pt idx="5">
                  <c:v>17192160</c:v>
                </c:pt>
                <c:pt idx="6">
                  <c:v>16459520</c:v>
                </c:pt>
                <c:pt idx="7">
                  <c:v>9518790</c:v>
                </c:pt>
                <c:pt idx="8">
                  <c:v>8965420</c:v>
                </c:pt>
                <c:pt idx="9">
                  <c:v>17093960</c:v>
                </c:pt>
                <c:pt idx="10">
                  <c:v>15819010</c:v>
                </c:pt>
                <c:pt idx="11">
                  <c:v>15175170</c:v>
                </c:pt>
                <c:pt idx="12">
                  <c:v>15757630</c:v>
                </c:pt>
                <c:pt idx="13">
                  <c:v>13879400</c:v>
                </c:pt>
                <c:pt idx="14">
                  <c:v>7394140</c:v>
                </c:pt>
                <c:pt idx="15">
                  <c:v>6321650</c:v>
                </c:pt>
                <c:pt idx="16">
                  <c:v>6342250</c:v>
                </c:pt>
                <c:pt idx="17">
                  <c:v>7842870</c:v>
                </c:pt>
                <c:pt idx="18">
                  <c:v>9100080</c:v>
                </c:pt>
                <c:pt idx="19">
                  <c:v>18179100</c:v>
                </c:pt>
                <c:pt idx="20">
                  <c:v>16353940</c:v>
                </c:pt>
                <c:pt idx="21">
                  <c:v>9899470</c:v>
                </c:pt>
                <c:pt idx="22">
                  <c:v>8683000</c:v>
                </c:pt>
                <c:pt idx="23">
                  <c:v>17500140</c:v>
                </c:pt>
                <c:pt idx="24">
                  <c:v>17824760</c:v>
                </c:pt>
                <c:pt idx="25">
                  <c:v>12517350</c:v>
                </c:pt>
                <c:pt idx="26">
                  <c:v>14920210</c:v>
                </c:pt>
                <c:pt idx="27">
                  <c:v>8858310</c:v>
                </c:pt>
                <c:pt idx="28">
                  <c:v>7900350</c:v>
                </c:pt>
                <c:pt idx="29">
                  <c:v>17382990</c:v>
                </c:pt>
                <c:pt idx="30">
                  <c:v>18952970</c:v>
                </c:pt>
                <c:pt idx="31">
                  <c:v>16552710</c:v>
                </c:pt>
                <c:pt idx="32">
                  <c:v>21823240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A-436E-82E6-E76A6FAAD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0000000"/>
          <c:min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'18년추석'!$E$6:$E$38</c:f>
              <c:numCache>
                <c:formatCode>_(* #,##0_);_(* \(#,##0\);_(* "-"_);_(@_)</c:formatCode>
                <c:ptCount val="33"/>
                <c:pt idx="0">
                  <c:v>39082362</c:v>
                </c:pt>
                <c:pt idx="1">
                  <c:v>45278428</c:v>
                </c:pt>
                <c:pt idx="2">
                  <c:v>53021819</c:v>
                </c:pt>
                <c:pt idx="3">
                  <c:v>51936923</c:v>
                </c:pt>
                <c:pt idx="4">
                  <c:v>50642594</c:v>
                </c:pt>
                <c:pt idx="5">
                  <c:v>47306759</c:v>
                </c:pt>
                <c:pt idx="6">
                  <c:v>46697173</c:v>
                </c:pt>
                <c:pt idx="7">
                  <c:v>41715628</c:v>
                </c:pt>
                <c:pt idx="8">
                  <c:v>47793330</c:v>
                </c:pt>
                <c:pt idx="9">
                  <c:v>48520455</c:v>
                </c:pt>
                <c:pt idx="10">
                  <c:v>43933614</c:v>
                </c:pt>
                <c:pt idx="11">
                  <c:v>37382613</c:v>
                </c:pt>
                <c:pt idx="12">
                  <c:v>32518427</c:v>
                </c:pt>
                <c:pt idx="13">
                  <c:v>25765503</c:v>
                </c:pt>
                <c:pt idx="14">
                  <c:v>23880720</c:v>
                </c:pt>
                <c:pt idx="15">
                  <c:v>22395323</c:v>
                </c:pt>
                <c:pt idx="16">
                  <c:v>23840688</c:v>
                </c:pt>
                <c:pt idx="17">
                  <c:v>32247792</c:v>
                </c:pt>
                <c:pt idx="18">
                  <c:v>42827820</c:v>
                </c:pt>
                <c:pt idx="19">
                  <c:v>50905771</c:v>
                </c:pt>
                <c:pt idx="20">
                  <c:v>44562873</c:v>
                </c:pt>
                <c:pt idx="21">
                  <c:v>39392983</c:v>
                </c:pt>
                <c:pt idx="22">
                  <c:v>41704635</c:v>
                </c:pt>
                <c:pt idx="23">
                  <c:v>54877145</c:v>
                </c:pt>
                <c:pt idx="24">
                  <c:v>47397681</c:v>
                </c:pt>
                <c:pt idx="25">
                  <c:v>45582516</c:v>
                </c:pt>
                <c:pt idx="26">
                  <c:v>44720043</c:v>
                </c:pt>
                <c:pt idx="27">
                  <c:v>41886529</c:v>
                </c:pt>
                <c:pt idx="28">
                  <c:v>49893962</c:v>
                </c:pt>
                <c:pt idx="29">
                  <c:v>54768347</c:v>
                </c:pt>
                <c:pt idx="30">
                  <c:v>47491253</c:v>
                </c:pt>
                <c:pt idx="31">
                  <c:v>50217831</c:v>
                </c:pt>
                <c:pt idx="32">
                  <c:v>49324071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5-4D22-A114-F0F6A4451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60000000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'18년추석'!$F$6:$F$38</c:f>
              <c:numCache>
                <c:formatCode>_(* #,##0_);_(* \(#,##0\);_(* "-"_);_(@_)</c:formatCode>
                <c:ptCount val="33"/>
                <c:pt idx="0">
                  <c:v>18082339</c:v>
                </c:pt>
                <c:pt idx="1">
                  <c:v>19798846</c:v>
                </c:pt>
                <c:pt idx="2">
                  <c:v>21742596</c:v>
                </c:pt>
                <c:pt idx="3">
                  <c:v>26155751</c:v>
                </c:pt>
                <c:pt idx="4">
                  <c:v>20402364</c:v>
                </c:pt>
                <c:pt idx="5">
                  <c:v>19348658</c:v>
                </c:pt>
                <c:pt idx="6">
                  <c:v>18476920</c:v>
                </c:pt>
                <c:pt idx="7">
                  <c:v>18479528</c:v>
                </c:pt>
                <c:pt idx="8">
                  <c:v>19948728</c:v>
                </c:pt>
                <c:pt idx="9">
                  <c:v>19708185</c:v>
                </c:pt>
                <c:pt idx="10">
                  <c:v>18677976</c:v>
                </c:pt>
                <c:pt idx="11">
                  <c:v>18656801</c:v>
                </c:pt>
                <c:pt idx="12">
                  <c:v>16765212</c:v>
                </c:pt>
                <c:pt idx="13">
                  <c:v>14548052</c:v>
                </c:pt>
                <c:pt idx="14">
                  <c:v>14554674</c:v>
                </c:pt>
                <c:pt idx="15">
                  <c:v>14061404</c:v>
                </c:pt>
                <c:pt idx="16">
                  <c:v>14515291</c:v>
                </c:pt>
                <c:pt idx="17">
                  <c:v>19145762</c:v>
                </c:pt>
                <c:pt idx="18">
                  <c:v>20932500</c:v>
                </c:pt>
                <c:pt idx="19">
                  <c:v>23506446</c:v>
                </c:pt>
                <c:pt idx="20">
                  <c:v>21345619</c:v>
                </c:pt>
                <c:pt idx="21">
                  <c:v>21601281</c:v>
                </c:pt>
                <c:pt idx="22">
                  <c:v>22352350</c:v>
                </c:pt>
                <c:pt idx="23">
                  <c:v>20468389</c:v>
                </c:pt>
                <c:pt idx="24">
                  <c:v>18147716</c:v>
                </c:pt>
                <c:pt idx="25">
                  <c:v>18958711</c:v>
                </c:pt>
                <c:pt idx="26">
                  <c:v>17093784</c:v>
                </c:pt>
                <c:pt idx="27">
                  <c:v>17191385</c:v>
                </c:pt>
                <c:pt idx="28">
                  <c:v>20050606</c:v>
                </c:pt>
                <c:pt idx="29">
                  <c:v>21100590</c:v>
                </c:pt>
                <c:pt idx="30">
                  <c:v>18380078</c:v>
                </c:pt>
                <c:pt idx="31">
                  <c:v>21150762</c:v>
                </c:pt>
                <c:pt idx="32">
                  <c:v>20733797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7-4937-838D-2B3E4D642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3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'20년설'!$C$6:$C$37</c:f>
              <c:numCache>
                <c:formatCode>_(* #,##0_);_(* \(#,##0\);_(* "-"_);_(@_)</c:formatCode>
                <c:ptCount val="32"/>
                <c:pt idx="0">
                  <c:v>150038385</c:v>
                </c:pt>
                <c:pt idx="1">
                  <c:v>108855429</c:v>
                </c:pt>
                <c:pt idx="2">
                  <c:v>107656822</c:v>
                </c:pt>
                <c:pt idx="3">
                  <c:v>173491347</c:v>
                </c:pt>
                <c:pt idx="4">
                  <c:v>171545258</c:v>
                </c:pt>
                <c:pt idx="5">
                  <c:v>163586017</c:v>
                </c:pt>
                <c:pt idx="6">
                  <c:v>158632388</c:v>
                </c:pt>
                <c:pt idx="7">
                  <c:v>148388047</c:v>
                </c:pt>
                <c:pt idx="8">
                  <c:v>102787392</c:v>
                </c:pt>
                <c:pt idx="9">
                  <c:v>101385740</c:v>
                </c:pt>
                <c:pt idx="10">
                  <c:v>157358708</c:v>
                </c:pt>
                <c:pt idx="11">
                  <c:v>150968697</c:v>
                </c:pt>
                <c:pt idx="12">
                  <c:v>140723271</c:v>
                </c:pt>
                <c:pt idx="13">
                  <c:v>113866716</c:v>
                </c:pt>
                <c:pt idx="14">
                  <c:v>72830829</c:v>
                </c:pt>
                <c:pt idx="15">
                  <c:v>68701961</c:v>
                </c:pt>
                <c:pt idx="16">
                  <c:v>79786026</c:v>
                </c:pt>
                <c:pt idx="17">
                  <c:v>107317058</c:v>
                </c:pt>
                <c:pt idx="18">
                  <c:v>173053116</c:v>
                </c:pt>
                <c:pt idx="19">
                  <c:v>172319346</c:v>
                </c:pt>
                <c:pt idx="20">
                  <c:v>166453360</c:v>
                </c:pt>
                <c:pt idx="21">
                  <c:v>151793216</c:v>
                </c:pt>
                <c:pt idx="22">
                  <c:v>104154137</c:v>
                </c:pt>
                <c:pt idx="23">
                  <c:v>102401091</c:v>
                </c:pt>
                <c:pt idx="24">
                  <c:v>172209451</c:v>
                </c:pt>
                <c:pt idx="25">
                  <c:v>167699771</c:v>
                </c:pt>
                <c:pt idx="26">
                  <c:v>174397680</c:v>
                </c:pt>
                <c:pt idx="27">
                  <c:v>170459499</c:v>
                </c:pt>
                <c:pt idx="28">
                  <c:v>157399884</c:v>
                </c:pt>
                <c:pt idx="29">
                  <c:v>108408173</c:v>
                </c:pt>
                <c:pt idx="30">
                  <c:v>105378509</c:v>
                </c:pt>
                <c:pt idx="31">
                  <c:v>181647217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B-4621-935D-AFB56FBB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'20년설'!$D$6:$D$37</c:f>
              <c:numCache>
                <c:formatCode>_(* #,##0_);_(* \(#,##0\);_(* "-"_);_(@_)</c:formatCode>
                <c:ptCount val="32"/>
                <c:pt idx="0">
                  <c:v>21536430</c:v>
                </c:pt>
                <c:pt idx="1">
                  <c:v>18552210</c:v>
                </c:pt>
                <c:pt idx="2">
                  <c:v>15066520</c:v>
                </c:pt>
                <c:pt idx="3">
                  <c:v>24434900</c:v>
                </c:pt>
                <c:pt idx="4">
                  <c:v>24101170</c:v>
                </c:pt>
                <c:pt idx="5">
                  <c:v>20666350</c:v>
                </c:pt>
                <c:pt idx="6">
                  <c:v>17305370</c:v>
                </c:pt>
                <c:pt idx="7">
                  <c:v>16118690</c:v>
                </c:pt>
                <c:pt idx="8">
                  <c:v>10900960</c:v>
                </c:pt>
                <c:pt idx="9">
                  <c:v>10345460</c:v>
                </c:pt>
                <c:pt idx="10">
                  <c:v>21083790</c:v>
                </c:pt>
                <c:pt idx="11">
                  <c:v>20439120</c:v>
                </c:pt>
                <c:pt idx="12">
                  <c:v>18876400</c:v>
                </c:pt>
                <c:pt idx="13">
                  <c:v>16430240</c:v>
                </c:pt>
                <c:pt idx="14">
                  <c:v>11749710</c:v>
                </c:pt>
                <c:pt idx="15">
                  <c:v>11812420</c:v>
                </c:pt>
                <c:pt idx="16">
                  <c:v>13702400</c:v>
                </c:pt>
                <c:pt idx="17">
                  <c:v>17569410</c:v>
                </c:pt>
                <c:pt idx="18">
                  <c:v>22966370</c:v>
                </c:pt>
                <c:pt idx="19">
                  <c:v>23519630</c:v>
                </c:pt>
                <c:pt idx="20">
                  <c:v>22575910</c:v>
                </c:pt>
                <c:pt idx="21">
                  <c:v>21947140</c:v>
                </c:pt>
                <c:pt idx="22">
                  <c:v>17283290</c:v>
                </c:pt>
                <c:pt idx="23">
                  <c:v>16743180</c:v>
                </c:pt>
                <c:pt idx="24">
                  <c:v>19746470</c:v>
                </c:pt>
                <c:pt idx="25">
                  <c:v>18304950</c:v>
                </c:pt>
                <c:pt idx="26">
                  <c:v>20316260</c:v>
                </c:pt>
                <c:pt idx="27">
                  <c:v>19845090</c:v>
                </c:pt>
                <c:pt idx="28">
                  <c:v>22104750</c:v>
                </c:pt>
                <c:pt idx="29">
                  <c:v>14630680</c:v>
                </c:pt>
                <c:pt idx="30">
                  <c:v>13886020</c:v>
                </c:pt>
                <c:pt idx="31">
                  <c:v>22209010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1-4E93-9C23-E0DF57D02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5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'20년설'!$E$6:$E$37</c:f>
              <c:numCache>
                <c:formatCode>_(* #,##0_);_(* \(#,##0\);_(* "-"_);_(@_)</c:formatCode>
                <c:ptCount val="32"/>
                <c:pt idx="0">
                  <c:v>70369616</c:v>
                </c:pt>
                <c:pt idx="1">
                  <c:v>64560525</c:v>
                </c:pt>
                <c:pt idx="2">
                  <c:v>76780646</c:v>
                </c:pt>
                <c:pt idx="3">
                  <c:v>83864693</c:v>
                </c:pt>
                <c:pt idx="4">
                  <c:v>77172343</c:v>
                </c:pt>
                <c:pt idx="5">
                  <c:v>75065138</c:v>
                </c:pt>
                <c:pt idx="6">
                  <c:v>69973068</c:v>
                </c:pt>
                <c:pt idx="7">
                  <c:v>64781783</c:v>
                </c:pt>
                <c:pt idx="8">
                  <c:v>61601728</c:v>
                </c:pt>
                <c:pt idx="9">
                  <c:v>70329370</c:v>
                </c:pt>
                <c:pt idx="10">
                  <c:v>67221966</c:v>
                </c:pt>
                <c:pt idx="11">
                  <c:v>48838168</c:v>
                </c:pt>
                <c:pt idx="12">
                  <c:v>43783781</c:v>
                </c:pt>
                <c:pt idx="13">
                  <c:v>34721203</c:v>
                </c:pt>
                <c:pt idx="14">
                  <c:v>33749837</c:v>
                </c:pt>
                <c:pt idx="15">
                  <c:v>36878401</c:v>
                </c:pt>
                <c:pt idx="16">
                  <c:v>45220613</c:v>
                </c:pt>
                <c:pt idx="17">
                  <c:v>59026921</c:v>
                </c:pt>
                <c:pt idx="18">
                  <c:v>65285416</c:v>
                </c:pt>
                <c:pt idx="19">
                  <c:v>58581013</c:v>
                </c:pt>
                <c:pt idx="20">
                  <c:v>54520558</c:v>
                </c:pt>
                <c:pt idx="21">
                  <c:v>53180501</c:v>
                </c:pt>
                <c:pt idx="22">
                  <c:v>56297041</c:v>
                </c:pt>
                <c:pt idx="23">
                  <c:v>63938641</c:v>
                </c:pt>
                <c:pt idx="24">
                  <c:v>63422135</c:v>
                </c:pt>
                <c:pt idx="25">
                  <c:v>60031488</c:v>
                </c:pt>
                <c:pt idx="26">
                  <c:v>63796774</c:v>
                </c:pt>
                <c:pt idx="27">
                  <c:v>66743559</c:v>
                </c:pt>
                <c:pt idx="28">
                  <c:v>62908519</c:v>
                </c:pt>
                <c:pt idx="29">
                  <c:v>59444556</c:v>
                </c:pt>
                <c:pt idx="30">
                  <c:v>66376729</c:v>
                </c:pt>
                <c:pt idx="31">
                  <c:v>65745088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FD-485B-9026-89654CECE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90000000"/>
          <c:min val="3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'20년설'!$F$5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'20년설'!$B$6:$B$37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'20년설'!$F$6:$F$37</c:f>
              <c:numCache>
                <c:formatCode>_(* #,##0_);_(* \(#,##0\);_(* "-"_);_(@_)</c:formatCode>
                <c:ptCount val="32"/>
                <c:pt idx="0">
                  <c:v>18802576</c:v>
                </c:pt>
                <c:pt idx="1">
                  <c:v>25792018</c:v>
                </c:pt>
                <c:pt idx="2">
                  <c:v>21642042</c:v>
                </c:pt>
                <c:pt idx="3">
                  <c:v>21522168</c:v>
                </c:pt>
                <c:pt idx="4">
                  <c:v>21658344</c:v>
                </c:pt>
                <c:pt idx="5">
                  <c:v>21630586</c:v>
                </c:pt>
                <c:pt idx="6">
                  <c:v>19915743</c:v>
                </c:pt>
                <c:pt idx="7">
                  <c:v>18006681</c:v>
                </c:pt>
                <c:pt idx="8">
                  <c:v>18613093</c:v>
                </c:pt>
                <c:pt idx="9">
                  <c:v>21108814</c:v>
                </c:pt>
                <c:pt idx="10">
                  <c:v>20713181</c:v>
                </c:pt>
                <c:pt idx="11">
                  <c:v>17579534</c:v>
                </c:pt>
                <c:pt idx="12">
                  <c:v>15031674</c:v>
                </c:pt>
                <c:pt idx="13">
                  <c:v>13094767</c:v>
                </c:pt>
                <c:pt idx="14">
                  <c:v>13203881</c:v>
                </c:pt>
                <c:pt idx="15">
                  <c:v>14561409</c:v>
                </c:pt>
                <c:pt idx="16">
                  <c:v>17272082</c:v>
                </c:pt>
                <c:pt idx="17">
                  <c:v>21438546</c:v>
                </c:pt>
                <c:pt idx="18">
                  <c:v>23184449</c:v>
                </c:pt>
                <c:pt idx="19">
                  <c:v>22042733</c:v>
                </c:pt>
                <c:pt idx="20">
                  <c:v>21145669</c:v>
                </c:pt>
                <c:pt idx="21">
                  <c:v>18395351</c:v>
                </c:pt>
                <c:pt idx="22">
                  <c:v>20859098</c:v>
                </c:pt>
                <c:pt idx="23">
                  <c:v>23812091</c:v>
                </c:pt>
                <c:pt idx="24">
                  <c:v>21990713</c:v>
                </c:pt>
                <c:pt idx="25">
                  <c:v>22248591</c:v>
                </c:pt>
                <c:pt idx="26">
                  <c:v>21184780</c:v>
                </c:pt>
                <c:pt idx="27">
                  <c:v>20850254</c:v>
                </c:pt>
                <c:pt idx="28">
                  <c:v>18053763</c:v>
                </c:pt>
                <c:pt idx="29">
                  <c:v>18994427</c:v>
                </c:pt>
                <c:pt idx="30">
                  <c:v>21626936</c:v>
                </c:pt>
                <c:pt idx="31">
                  <c:v>21326813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1-4F9D-86D7-730DD6ECA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3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'19년추석'!$C$6:$C$37</c:f>
              <c:numCache>
                <c:formatCode>_(* #,##0_);_(* \(#,##0\);_(* "-"_);_(@_)</c:formatCode>
                <c:ptCount val="32"/>
                <c:pt idx="0">
                  <c:v>143504149</c:v>
                </c:pt>
                <c:pt idx="1">
                  <c:v>128016142</c:v>
                </c:pt>
                <c:pt idx="2">
                  <c:v>81209754</c:v>
                </c:pt>
                <c:pt idx="3">
                  <c:v>85168215</c:v>
                </c:pt>
                <c:pt idx="4">
                  <c:v>153166128</c:v>
                </c:pt>
                <c:pt idx="5">
                  <c:v>154050297</c:v>
                </c:pt>
                <c:pt idx="6">
                  <c:v>150124880</c:v>
                </c:pt>
                <c:pt idx="7">
                  <c:v>145754763</c:v>
                </c:pt>
                <c:pt idx="8">
                  <c:v>129265424</c:v>
                </c:pt>
                <c:pt idx="9">
                  <c:v>84576575</c:v>
                </c:pt>
                <c:pt idx="10">
                  <c:v>85746970</c:v>
                </c:pt>
                <c:pt idx="11">
                  <c:v>143994013</c:v>
                </c:pt>
                <c:pt idx="12">
                  <c:v>129447940</c:v>
                </c:pt>
                <c:pt idx="13">
                  <c:v>102693338</c:v>
                </c:pt>
                <c:pt idx="14">
                  <c:v>60717000</c:v>
                </c:pt>
                <c:pt idx="15">
                  <c:v>57616318</c:v>
                </c:pt>
                <c:pt idx="16">
                  <c:v>69459682</c:v>
                </c:pt>
                <c:pt idx="17">
                  <c:v>81083313</c:v>
                </c:pt>
                <c:pt idx="18">
                  <c:v>175692066</c:v>
                </c:pt>
                <c:pt idx="19">
                  <c:v>162211588</c:v>
                </c:pt>
                <c:pt idx="20">
                  <c:v>157673112</c:v>
                </c:pt>
                <c:pt idx="21">
                  <c:v>150788457</c:v>
                </c:pt>
                <c:pt idx="22">
                  <c:v>141075733</c:v>
                </c:pt>
                <c:pt idx="23">
                  <c:v>88619210</c:v>
                </c:pt>
                <c:pt idx="24">
                  <c:v>88261143</c:v>
                </c:pt>
                <c:pt idx="25">
                  <c:v>161051709</c:v>
                </c:pt>
                <c:pt idx="26">
                  <c:v>158721040</c:v>
                </c:pt>
                <c:pt idx="27">
                  <c:v>154622864</c:v>
                </c:pt>
                <c:pt idx="28">
                  <c:v>149476021</c:v>
                </c:pt>
                <c:pt idx="29">
                  <c:v>139511814</c:v>
                </c:pt>
                <c:pt idx="30">
                  <c:v>89748279</c:v>
                </c:pt>
                <c:pt idx="31">
                  <c:v>89078152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4-4069-88C8-2FF1C7226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'19년추석'!$D$6:$D$37</c:f>
              <c:numCache>
                <c:formatCode>_(* #,##0_);_(* \(#,##0\);_(* "-"_);_(@_)</c:formatCode>
                <c:ptCount val="32"/>
                <c:pt idx="0">
                  <c:v>24242170</c:v>
                </c:pt>
                <c:pt idx="1">
                  <c:v>22325190</c:v>
                </c:pt>
                <c:pt idx="2">
                  <c:v>15535200</c:v>
                </c:pt>
                <c:pt idx="3">
                  <c:v>15825780</c:v>
                </c:pt>
                <c:pt idx="4">
                  <c:v>25558400</c:v>
                </c:pt>
                <c:pt idx="5">
                  <c:v>22098050</c:v>
                </c:pt>
                <c:pt idx="6">
                  <c:v>18086170</c:v>
                </c:pt>
                <c:pt idx="7">
                  <c:v>17294680</c:v>
                </c:pt>
                <c:pt idx="8">
                  <c:v>21340620</c:v>
                </c:pt>
                <c:pt idx="9">
                  <c:v>16562900</c:v>
                </c:pt>
                <c:pt idx="10">
                  <c:v>15944350</c:v>
                </c:pt>
                <c:pt idx="11">
                  <c:v>23557730</c:v>
                </c:pt>
                <c:pt idx="12">
                  <c:v>23111010</c:v>
                </c:pt>
                <c:pt idx="13">
                  <c:v>19659200</c:v>
                </c:pt>
                <c:pt idx="14">
                  <c:v>10187760</c:v>
                </c:pt>
                <c:pt idx="15">
                  <c:v>10061350</c:v>
                </c:pt>
                <c:pt idx="16">
                  <c:v>12242110</c:v>
                </c:pt>
                <c:pt idx="17">
                  <c:v>13494020</c:v>
                </c:pt>
                <c:pt idx="18">
                  <c:v>24896240</c:v>
                </c:pt>
                <c:pt idx="19">
                  <c:v>22440600</c:v>
                </c:pt>
                <c:pt idx="20">
                  <c:v>20722200</c:v>
                </c:pt>
                <c:pt idx="21">
                  <c:v>21118110</c:v>
                </c:pt>
                <c:pt idx="22">
                  <c:v>20557420</c:v>
                </c:pt>
                <c:pt idx="23">
                  <c:v>13747270</c:v>
                </c:pt>
                <c:pt idx="24">
                  <c:v>13511650</c:v>
                </c:pt>
                <c:pt idx="25">
                  <c:v>22349830</c:v>
                </c:pt>
                <c:pt idx="26">
                  <c:v>21178090</c:v>
                </c:pt>
                <c:pt idx="27">
                  <c:v>20711470</c:v>
                </c:pt>
                <c:pt idx="28">
                  <c:v>19113520</c:v>
                </c:pt>
                <c:pt idx="29">
                  <c:v>17334470</c:v>
                </c:pt>
                <c:pt idx="30">
                  <c:v>11130510</c:v>
                </c:pt>
                <c:pt idx="31">
                  <c:v>10699340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9-424C-BCF0-F7DA5A1A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5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'19년추석'!$E$6:$E$37</c:f>
              <c:numCache>
                <c:formatCode>_(* #,##0_);_(* \(#,##0\);_(* "-"_);_(@_)</c:formatCode>
                <c:ptCount val="32"/>
                <c:pt idx="0">
                  <c:v>54089550</c:v>
                </c:pt>
                <c:pt idx="1">
                  <c:v>40805552</c:v>
                </c:pt>
                <c:pt idx="2">
                  <c:v>40866473</c:v>
                </c:pt>
                <c:pt idx="3">
                  <c:v>52938587</c:v>
                </c:pt>
                <c:pt idx="4">
                  <c:v>58539106</c:v>
                </c:pt>
                <c:pt idx="5">
                  <c:v>55246951</c:v>
                </c:pt>
                <c:pt idx="6">
                  <c:v>55153135</c:v>
                </c:pt>
                <c:pt idx="7">
                  <c:v>52388718</c:v>
                </c:pt>
                <c:pt idx="8">
                  <c:v>44518103</c:v>
                </c:pt>
                <c:pt idx="9">
                  <c:v>44413910</c:v>
                </c:pt>
                <c:pt idx="10">
                  <c:v>50284938</c:v>
                </c:pt>
                <c:pt idx="11">
                  <c:v>41334989</c:v>
                </c:pt>
                <c:pt idx="12">
                  <c:v>34578116</c:v>
                </c:pt>
                <c:pt idx="13">
                  <c:v>29240001</c:v>
                </c:pt>
                <c:pt idx="14">
                  <c:v>26773701</c:v>
                </c:pt>
                <c:pt idx="15">
                  <c:v>27526970</c:v>
                </c:pt>
                <c:pt idx="16">
                  <c:v>33511528</c:v>
                </c:pt>
                <c:pt idx="17">
                  <c:v>45031460</c:v>
                </c:pt>
                <c:pt idx="18">
                  <c:v>55501463</c:v>
                </c:pt>
                <c:pt idx="19">
                  <c:v>64021438</c:v>
                </c:pt>
                <c:pt idx="20">
                  <c:v>51000110</c:v>
                </c:pt>
                <c:pt idx="21">
                  <c:v>47186327</c:v>
                </c:pt>
                <c:pt idx="22">
                  <c:v>44943093</c:v>
                </c:pt>
                <c:pt idx="23">
                  <c:v>40619961</c:v>
                </c:pt>
                <c:pt idx="24">
                  <c:v>47145294</c:v>
                </c:pt>
                <c:pt idx="25">
                  <c:v>51147101</c:v>
                </c:pt>
                <c:pt idx="26">
                  <c:v>49336508</c:v>
                </c:pt>
                <c:pt idx="27">
                  <c:v>47185903</c:v>
                </c:pt>
                <c:pt idx="28">
                  <c:v>45938201</c:v>
                </c:pt>
                <c:pt idx="29">
                  <c:v>41161735</c:v>
                </c:pt>
                <c:pt idx="30">
                  <c:v>38351288</c:v>
                </c:pt>
                <c:pt idx="31">
                  <c:v>45009638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7-467A-8AB4-FC31BBB2D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70000000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'19년추석'!$F$5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'19년추석'!$B$6:$B$37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+1일</c:v>
                </c:pt>
                <c:pt idx="19">
                  <c:v>+2일</c:v>
                </c:pt>
                <c:pt idx="20">
                  <c:v>+3일</c:v>
                </c:pt>
                <c:pt idx="21">
                  <c:v>+4일</c:v>
                </c:pt>
                <c:pt idx="22">
                  <c:v>+5일</c:v>
                </c:pt>
                <c:pt idx="23">
                  <c:v>+6일</c:v>
                </c:pt>
                <c:pt idx="24">
                  <c:v>+7일</c:v>
                </c:pt>
                <c:pt idx="25">
                  <c:v>+8일</c:v>
                </c:pt>
                <c:pt idx="26">
                  <c:v>+9일</c:v>
                </c:pt>
                <c:pt idx="27">
                  <c:v>+10일</c:v>
                </c:pt>
                <c:pt idx="28">
                  <c:v>+11일</c:v>
                </c:pt>
                <c:pt idx="29">
                  <c:v>+12일</c:v>
                </c:pt>
                <c:pt idx="30">
                  <c:v>+13일</c:v>
                </c:pt>
                <c:pt idx="31">
                  <c:v>+14일</c:v>
                </c:pt>
              </c:strCache>
            </c:strRef>
          </c:cat>
          <c:val>
            <c:numRef>
              <c:f>'19년추석'!$F$6:$F$37</c:f>
              <c:numCache>
                <c:formatCode>_(* #,##0_);_(* \(#,##0\);_(* "-"_);_(@_)</c:formatCode>
                <c:ptCount val="32"/>
                <c:pt idx="0">
                  <c:v>17869545</c:v>
                </c:pt>
                <c:pt idx="1">
                  <c:v>16173952</c:v>
                </c:pt>
                <c:pt idx="2">
                  <c:v>16613901</c:v>
                </c:pt>
                <c:pt idx="3">
                  <c:v>19736847</c:v>
                </c:pt>
                <c:pt idx="4">
                  <c:v>20054229</c:v>
                </c:pt>
                <c:pt idx="5">
                  <c:v>20041155</c:v>
                </c:pt>
                <c:pt idx="6">
                  <c:v>20064284</c:v>
                </c:pt>
                <c:pt idx="7">
                  <c:v>20040817</c:v>
                </c:pt>
                <c:pt idx="8">
                  <c:v>16985671</c:v>
                </c:pt>
                <c:pt idx="9">
                  <c:v>17431204</c:v>
                </c:pt>
                <c:pt idx="10">
                  <c:v>18140370</c:v>
                </c:pt>
                <c:pt idx="11">
                  <c:v>16644746</c:v>
                </c:pt>
                <c:pt idx="12">
                  <c:v>15236675</c:v>
                </c:pt>
                <c:pt idx="13">
                  <c:v>19318874</c:v>
                </c:pt>
                <c:pt idx="14">
                  <c:v>12144194</c:v>
                </c:pt>
                <c:pt idx="15">
                  <c:v>12517506</c:v>
                </c:pt>
                <c:pt idx="16">
                  <c:v>14863488</c:v>
                </c:pt>
                <c:pt idx="17">
                  <c:v>18364419</c:v>
                </c:pt>
                <c:pt idx="18">
                  <c:v>21278836</c:v>
                </c:pt>
                <c:pt idx="19">
                  <c:v>20508296</c:v>
                </c:pt>
                <c:pt idx="20">
                  <c:v>19427744</c:v>
                </c:pt>
                <c:pt idx="21">
                  <c:v>18392325</c:v>
                </c:pt>
                <c:pt idx="22">
                  <c:v>16729294</c:v>
                </c:pt>
                <c:pt idx="23">
                  <c:v>17359039</c:v>
                </c:pt>
                <c:pt idx="24">
                  <c:v>19782345</c:v>
                </c:pt>
                <c:pt idx="25">
                  <c:v>18805256</c:v>
                </c:pt>
                <c:pt idx="26">
                  <c:v>17875199</c:v>
                </c:pt>
                <c:pt idx="27">
                  <c:v>18706093</c:v>
                </c:pt>
                <c:pt idx="28">
                  <c:v>18589261</c:v>
                </c:pt>
                <c:pt idx="29">
                  <c:v>17044742</c:v>
                </c:pt>
                <c:pt idx="30">
                  <c:v>16173073</c:v>
                </c:pt>
                <c:pt idx="31">
                  <c:v>18653559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2-4BF4-9763-3B4A7744F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3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'19년설'!$B$6:$B$37</c:f>
              <c:strCache>
                <c:ptCount val="32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</c:strCache>
            </c:strRef>
          </c:cat>
          <c:val>
            <c:numRef>
              <c:f>'19년설'!$C$6:$C$37</c:f>
              <c:numCache>
                <c:formatCode>_(* #,##0_);_(* \(#,##0\);_(* "-"_);_(@_)</c:formatCode>
                <c:ptCount val="32"/>
                <c:pt idx="0">
                  <c:v>101283983</c:v>
                </c:pt>
                <c:pt idx="1">
                  <c:v>99816455</c:v>
                </c:pt>
                <c:pt idx="2">
                  <c:v>174517243</c:v>
                </c:pt>
                <c:pt idx="3">
                  <c:v>170542525</c:v>
                </c:pt>
                <c:pt idx="4">
                  <c:v>163996895</c:v>
                </c:pt>
                <c:pt idx="5">
                  <c:v>163887609</c:v>
                </c:pt>
                <c:pt idx="6">
                  <c:v>148696888</c:v>
                </c:pt>
                <c:pt idx="7">
                  <c:v>99929935</c:v>
                </c:pt>
                <c:pt idx="8">
                  <c:v>96845719</c:v>
                </c:pt>
                <c:pt idx="9">
                  <c:v>170728942</c:v>
                </c:pt>
                <c:pt idx="10">
                  <c:v>160558834</c:v>
                </c:pt>
                <c:pt idx="11">
                  <c:v>150555203</c:v>
                </c:pt>
                <c:pt idx="12">
                  <c:v>134809187</c:v>
                </c:pt>
                <c:pt idx="13">
                  <c:v>106535812</c:v>
                </c:pt>
                <c:pt idx="14">
                  <c:v>73749568</c:v>
                </c:pt>
                <c:pt idx="15">
                  <c:v>68482935</c:v>
                </c:pt>
                <c:pt idx="16">
                  <c:v>63392172</c:v>
                </c:pt>
                <c:pt idx="17">
                  <c:v>63818986</c:v>
                </c:pt>
                <c:pt idx="18">
                  <c:v>86095902</c:v>
                </c:pt>
                <c:pt idx="19">
                  <c:v>171096451</c:v>
                </c:pt>
                <c:pt idx="20">
                  <c:v>159717536</c:v>
                </c:pt>
                <c:pt idx="21">
                  <c:v>102971798</c:v>
                </c:pt>
                <c:pt idx="22">
                  <c:v>97630995</c:v>
                </c:pt>
                <c:pt idx="23">
                  <c:v>171649563</c:v>
                </c:pt>
                <c:pt idx="24">
                  <c:v>166501267</c:v>
                </c:pt>
                <c:pt idx="25">
                  <c:v>162524723</c:v>
                </c:pt>
                <c:pt idx="26">
                  <c:v>157643436</c:v>
                </c:pt>
                <c:pt idx="27">
                  <c:v>145061096</c:v>
                </c:pt>
                <c:pt idx="28">
                  <c:v>92560328</c:v>
                </c:pt>
                <c:pt idx="29">
                  <c:v>89920285</c:v>
                </c:pt>
                <c:pt idx="30">
                  <c:v>172005612</c:v>
                </c:pt>
                <c:pt idx="31">
                  <c:v>165759262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4-46DB-AAA8-0D6833DBE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'19년설'!$D$6:$D$38</c:f>
              <c:numCache>
                <c:formatCode>_(* #,##0_);_(* \(#,##0\);_(* "-"_);_(@_)</c:formatCode>
                <c:ptCount val="33"/>
                <c:pt idx="0">
                  <c:v>10620460</c:v>
                </c:pt>
                <c:pt idx="1">
                  <c:v>9586350</c:v>
                </c:pt>
                <c:pt idx="2">
                  <c:v>20512930</c:v>
                </c:pt>
                <c:pt idx="3">
                  <c:v>19782970</c:v>
                </c:pt>
                <c:pt idx="4">
                  <c:v>19823880</c:v>
                </c:pt>
                <c:pt idx="5">
                  <c:v>19221760</c:v>
                </c:pt>
                <c:pt idx="6">
                  <c:v>18145060</c:v>
                </c:pt>
                <c:pt idx="7">
                  <c:v>10794050</c:v>
                </c:pt>
                <c:pt idx="8">
                  <c:v>9198370</c:v>
                </c:pt>
                <c:pt idx="9">
                  <c:v>19937110</c:v>
                </c:pt>
                <c:pt idx="10">
                  <c:v>18923840</c:v>
                </c:pt>
                <c:pt idx="11">
                  <c:v>17880030</c:v>
                </c:pt>
                <c:pt idx="12">
                  <c:v>16517290</c:v>
                </c:pt>
                <c:pt idx="13">
                  <c:v>13669420</c:v>
                </c:pt>
                <c:pt idx="14">
                  <c:v>8669100</c:v>
                </c:pt>
                <c:pt idx="15">
                  <c:v>8111720</c:v>
                </c:pt>
                <c:pt idx="16">
                  <c:v>7730310</c:v>
                </c:pt>
                <c:pt idx="17">
                  <c:v>7824610</c:v>
                </c:pt>
                <c:pt idx="18">
                  <c:v>9427160</c:v>
                </c:pt>
                <c:pt idx="19">
                  <c:v>19840990</c:v>
                </c:pt>
                <c:pt idx="20">
                  <c:v>19491200</c:v>
                </c:pt>
                <c:pt idx="21">
                  <c:v>11995380</c:v>
                </c:pt>
                <c:pt idx="22">
                  <c:v>10517120</c:v>
                </c:pt>
                <c:pt idx="23">
                  <c:v>21066170</c:v>
                </c:pt>
                <c:pt idx="24">
                  <c:v>21248180</c:v>
                </c:pt>
                <c:pt idx="25">
                  <c:v>22394580</c:v>
                </c:pt>
                <c:pt idx="26">
                  <c:v>21031440</c:v>
                </c:pt>
                <c:pt idx="27">
                  <c:v>20148590</c:v>
                </c:pt>
                <c:pt idx="28">
                  <c:v>11686190</c:v>
                </c:pt>
                <c:pt idx="29">
                  <c:v>10556170</c:v>
                </c:pt>
                <c:pt idx="30">
                  <c:v>21540310</c:v>
                </c:pt>
                <c:pt idx="31">
                  <c:v>21747730</c:v>
                </c:pt>
                <c:pt idx="32">
                  <c:v>20433120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1F-45FE-BA9E-1DFC94FA0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5000000"/>
          <c:min val="6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3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'19년설'!$E$6:$E$38</c:f>
              <c:numCache>
                <c:formatCode>_(* #,##0_);_(* \(#,##0\);_(* "-"_);_(@_)</c:formatCode>
                <c:ptCount val="33"/>
                <c:pt idx="0">
                  <c:v>47594177</c:v>
                </c:pt>
                <c:pt idx="1">
                  <c:v>47534684</c:v>
                </c:pt>
                <c:pt idx="2">
                  <c:v>51329078</c:v>
                </c:pt>
                <c:pt idx="3">
                  <c:v>50052444</c:v>
                </c:pt>
                <c:pt idx="4">
                  <c:v>48984705</c:v>
                </c:pt>
                <c:pt idx="5">
                  <c:v>47126831</c:v>
                </c:pt>
                <c:pt idx="6">
                  <c:v>43558204</c:v>
                </c:pt>
                <c:pt idx="7">
                  <c:v>44860798</c:v>
                </c:pt>
                <c:pt idx="8">
                  <c:v>49716466</c:v>
                </c:pt>
                <c:pt idx="9">
                  <c:v>51761437</c:v>
                </c:pt>
                <c:pt idx="10">
                  <c:v>47523821</c:v>
                </c:pt>
                <c:pt idx="11">
                  <c:v>44760164</c:v>
                </c:pt>
                <c:pt idx="12">
                  <c:v>38326112</c:v>
                </c:pt>
                <c:pt idx="13">
                  <c:v>31556831</c:v>
                </c:pt>
                <c:pt idx="14">
                  <c:v>30511212</c:v>
                </c:pt>
                <c:pt idx="15">
                  <c:v>30297168</c:v>
                </c:pt>
                <c:pt idx="16">
                  <c:v>27811990</c:v>
                </c:pt>
                <c:pt idx="17">
                  <c:v>28297291</c:v>
                </c:pt>
                <c:pt idx="18">
                  <c:v>42880932</c:v>
                </c:pt>
                <c:pt idx="19">
                  <c:v>52375393</c:v>
                </c:pt>
                <c:pt idx="20">
                  <c:v>45927361</c:v>
                </c:pt>
                <c:pt idx="21">
                  <c:v>45020758</c:v>
                </c:pt>
                <c:pt idx="22">
                  <c:v>49347509</c:v>
                </c:pt>
                <c:pt idx="23">
                  <c:v>51103915</c:v>
                </c:pt>
                <c:pt idx="24">
                  <c:v>47626334</c:v>
                </c:pt>
                <c:pt idx="25">
                  <c:v>47512240</c:v>
                </c:pt>
                <c:pt idx="26">
                  <c:v>45006670</c:v>
                </c:pt>
                <c:pt idx="27">
                  <c:v>42332184</c:v>
                </c:pt>
                <c:pt idx="28">
                  <c:v>40229080</c:v>
                </c:pt>
                <c:pt idx="29">
                  <c:v>46287017</c:v>
                </c:pt>
                <c:pt idx="30">
                  <c:v>54719125</c:v>
                </c:pt>
                <c:pt idx="31">
                  <c:v>53960247</c:v>
                </c:pt>
                <c:pt idx="32">
                  <c:v>50350733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E-4523-A791-E13478A69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60000000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'19년설'!$F$5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'19년설'!$B$6:$B$38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'19년설'!$F$6:$F$38</c:f>
              <c:numCache>
                <c:formatCode>_(* #,##0_);_(* \(#,##0\);_(* "-"_);_(@_)</c:formatCode>
                <c:ptCount val="33"/>
                <c:pt idx="0">
                  <c:v>14863172</c:v>
                </c:pt>
                <c:pt idx="1">
                  <c:v>17246180</c:v>
                </c:pt>
                <c:pt idx="2">
                  <c:v>17558439</c:v>
                </c:pt>
                <c:pt idx="3">
                  <c:v>17256817</c:v>
                </c:pt>
                <c:pt idx="4">
                  <c:v>16625466</c:v>
                </c:pt>
                <c:pt idx="5">
                  <c:v>15776485</c:v>
                </c:pt>
                <c:pt idx="6">
                  <c:v>14903815</c:v>
                </c:pt>
                <c:pt idx="7">
                  <c:v>14526566</c:v>
                </c:pt>
                <c:pt idx="8">
                  <c:v>16644852</c:v>
                </c:pt>
                <c:pt idx="9">
                  <c:v>16861211</c:v>
                </c:pt>
                <c:pt idx="10">
                  <c:v>14461564</c:v>
                </c:pt>
                <c:pt idx="11">
                  <c:v>12832126</c:v>
                </c:pt>
                <c:pt idx="12">
                  <c:v>11411413</c:v>
                </c:pt>
                <c:pt idx="13">
                  <c:v>10004704</c:v>
                </c:pt>
                <c:pt idx="14">
                  <c:v>10179526</c:v>
                </c:pt>
                <c:pt idx="15">
                  <c:v>11221874</c:v>
                </c:pt>
                <c:pt idx="16">
                  <c:v>10240481</c:v>
                </c:pt>
                <c:pt idx="17">
                  <c:v>10882166</c:v>
                </c:pt>
                <c:pt idx="18">
                  <c:v>15026875</c:v>
                </c:pt>
                <c:pt idx="19">
                  <c:v>17363019</c:v>
                </c:pt>
                <c:pt idx="20">
                  <c:v>15937877</c:v>
                </c:pt>
                <c:pt idx="21">
                  <c:v>15567360</c:v>
                </c:pt>
                <c:pt idx="22">
                  <c:v>17902594</c:v>
                </c:pt>
                <c:pt idx="23">
                  <c:v>22538932</c:v>
                </c:pt>
                <c:pt idx="24">
                  <c:v>16995681</c:v>
                </c:pt>
                <c:pt idx="25">
                  <c:v>16614972</c:v>
                </c:pt>
                <c:pt idx="26">
                  <c:v>15819776</c:v>
                </c:pt>
                <c:pt idx="27">
                  <c:v>14126364</c:v>
                </c:pt>
                <c:pt idx="28">
                  <c:v>14508565</c:v>
                </c:pt>
                <c:pt idx="29">
                  <c:v>17820992</c:v>
                </c:pt>
                <c:pt idx="30">
                  <c:v>17224450</c:v>
                </c:pt>
                <c:pt idx="31">
                  <c:v>17926012</c:v>
                </c:pt>
                <c:pt idx="32">
                  <c:v>17266201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9B9-B9F7-EC31C0848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5000000"/>
          <c:min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3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'18년추석'!$C$5</c:f>
              <c:strCache>
                <c:ptCount val="1"/>
                <c:pt idx="0">
                  <c:v>네이버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'18년추석'!$C$6:$C$38</c:f>
              <c:numCache>
                <c:formatCode>_(* #,##0_);_(* \(#,##0\);_(* "-"_);_(@_)</c:formatCode>
                <c:ptCount val="33"/>
                <c:pt idx="0">
                  <c:v>90201432</c:v>
                </c:pt>
                <c:pt idx="1">
                  <c:v>89320379</c:v>
                </c:pt>
                <c:pt idx="2">
                  <c:v>167438693</c:v>
                </c:pt>
                <c:pt idx="3">
                  <c:v>164377372</c:v>
                </c:pt>
                <c:pt idx="4">
                  <c:v>161301345</c:v>
                </c:pt>
                <c:pt idx="5">
                  <c:v>156981935</c:v>
                </c:pt>
                <c:pt idx="6">
                  <c:v>146403435</c:v>
                </c:pt>
                <c:pt idx="7">
                  <c:v>92771161</c:v>
                </c:pt>
                <c:pt idx="8">
                  <c:v>90129549</c:v>
                </c:pt>
                <c:pt idx="9">
                  <c:v>167834984</c:v>
                </c:pt>
                <c:pt idx="10">
                  <c:v>157014875</c:v>
                </c:pt>
                <c:pt idx="11">
                  <c:v>142973150</c:v>
                </c:pt>
                <c:pt idx="12">
                  <c:v>134633744</c:v>
                </c:pt>
                <c:pt idx="13">
                  <c:v>112678726</c:v>
                </c:pt>
                <c:pt idx="14">
                  <c:v>69651317</c:v>
                </c:pt>
                <c:pt idx="15">
                  <c:v>58793396</c:v>
                </c:pt>
                <c:pt idx="16">
                  <c:v>62105661</c:v>
                </c:pt>
                <c:pt idx="17">
                  <c:v>73700751</c:v>
                </c:pt>
                <c:pt idx="18">
                  <c:v>90921789</c:v>
                </c:pt>
                <c:pt idx="19">
                  <c:v>167345187</c:v>
                </c:pt>
                <c:pt idx="20">
                  <c:v>151507199</c:v>
                </c:pt>
                <c:pt idx="21">
                  <c:v>94174678</c:v>
                </c:pt>
                <c:pt idx="22">
                  <c:v>88251760</c:v>
                </c:pt>
                <c:pt idx="23">
                  <c:v>169538451</c:v>
                </c:pt>
                <c:pt idx="24">
                  <c:v>163546756</c:v>
                </c:pt>
                <c:pt idx="25">
                  <c:v>107671948</c:v>
                </c:pt>
                <c:pt idx="26">
                  <c:v>140938006</c:v>
                </c:pt>
                <c:pt idx="27">
                  <c:v>90013090</c:v>
                </c:pt>
                <c:pt idx="28">
                  <c:v>89633124</c:v>
                </c:pt>
                <c:pt idx="29">
                  <c:v>162417352</c:v>
                </c:pt>
                <c:pt idx="30">
                  <c:v>149725670</c:v>
                </c:pt>
                <c:pt idx="31">
                  <c:v>105099690</c:v>
                </c:pt>
                <c:pt idx="32">
                  <c:v>155540077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C-441F-833D-CDF1CCBC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'18년추석'!$D$5</c:f>
              <c:strCache>
                <c:ptCount val="1"/>
                <c:pt idx="0">
                  <c:v>카카오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'18년추석'!$D$6:$D$38</c:f>
              <c:numCache>
                <c:formatCode>_(* #,##0_);_(* \(#,##0\);_(* "-"_);_(@_)</c:formatCode>
                <c:ptCount val="33"/>
                <c:pt idx="0">
                  <c:v>9529450</c:v>
                </c:pt>
                <c:pt idx="1">
                  <c:v>8416920</c:v>
                </c:pt>
                <c:pt idx="2">
                  <c:v>18340460</c:v>
                </c:pt>
                <c:pt idx="3">
                  <c:v>18521910</c:v>
                </c:pt>
                <c:pt idx="4">
                  <c:v>17403710</c:v>
                </c:pt>
                <c:pt idx="5">
                  <c:v>17192160</c:v>
                </c:pt>
                <c:pt idx="6">
                  <c:v>16459520</c:v>
                </c:pt>
                <c:pt idx="7">
                  <c:v>9518790</c:v>
                </c:pt>
                <c:pt idx="8">
                  <c:v>8965420</c:v>
                </c:pt>
                <c:pt idx="9">
                  <c:v>17093960</c:v>
                </c:pt>
                <c:pt idx="10">
                  <c:v>15819010</c:v>
                </c:pt>
                <c:pt idx="11">
                  <c:v>15175170</c:v>
                </c:pt>
                <c:pt idx="12">
                  <c:v>15757630</c:v>
                </c:pt>
                <c:pt idx="13">
                  <c:v>13879400</c:v>
                </c:pt>
                <c:pt idx="14">
                  <c:v>7394140</c:v>
                </c:pt>
                <c:pt idx="15">
                  <c:v>6321650</c:v>
                </c:pt>
                <c:pt idx="16">
                  <c:v>6342250</c:v>
                </c:pt>
                <c:pt idx="17">
                  <c:v>7842870</c:v>
                </c:pt>
                <c:pt idx="18">
                  <c:v>9100080</c:v>
                </c:pt>
                <c:pt idx="19">
                  <c:v>18179100</c:v>
                </c:pt>
                <c:pt idx="20">
                  <c:v>16353940</c:v>
                </c:pt>
                <c:pt idx="21">
                  <c:v>9899470</c:v>
                </c:pt>
                <c:pt idx="22">
                  <c:v>8683000</c:v>
                </c:pt>
                <c:pt idx="23">
                  <c:v>17500140</c:v>
                </c:pt>
                <c:pt idx="24">
                  <c:v>17824760</c:v>
                </c:pt>
                <c:pt idx="25">
                  <c:v>12517350</c:v>
                </c:pt>
                <c:pt idx="26">
                  <c:v>14920210</c:v>
                </c:pt>
                <c:pt idx="27">
                  <c:v>8858310</c:v>
                </c:pt>
                <c:pt idx="28">
                  <c:v>7900350</c:v>
                </c:pt>
                <c:pt idx="29">
                  <c:v>17382990</c:v>
                </c:pt>
                <c:pt idx="30">
                  <c:v>18952970</c:v>
                </c:pt>
                <c:pt idx="31">
                  <c:v>16552710</c:v>
                </c:pt>
                <c:pt idx="32">
                  <c:v>21823240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6-4640-A78F-749D225D6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20000000"/>
          <c:min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2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이베이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'18년추석'!$E$5</c:f>
              <c:strCache>
                <c:ptCount val="1"/>
                <c:pt idx="0">
                  <c:v>이베이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'18년추석'!$E$6:$E$38</c:f>
              <c:numCache>
                <c:formatCode>_(* #,##0_);_(* \(#,##0\);_(* "-"_);_(@_)</c:formatCode>
                <c:ptCount val="33"/>
                <c:pt idx="0">
                  <c:v>39082362</c:v>
                </c:pt>
                <c:pt idx="1">
                  <c:v>45278428</c:v>
                </c:pt>
                <c:pt idx="2">
                  <c:v>53021819</c:v>
                </c:pt>
                <c:pt idx="3">
                  <c:v>51936923</c:v>
                </c:pt>
                <c:pt idx="4">
                  <c:v>50642594</c:v>
                </c:pt>
                <c:pt idx="5">
                  <c:v>47306759</c:v>
                </c:pt>
                <c:pt idx="6">
                  <c:v>46697173</c:v>
                </c:pt>
                <c:pt idx="7">
                  <c:v>41715628</c:v>
                </c:pt>
                <c:pt idx="8">
                  <c:v>47793330</c:v>
                </c:pt>
                <c:pt idx="9">
                  <c:v>48520455</c:v>
                </c:pt>
                <c:pt idx="10">
                  <c:v>43933614</c:v>
                </c:pt>
                <c:pt idx="11">
                  <c:v>37382613</c:v>
                </c:pt>
                <c:pt idx="12">
                  <c:v>32518427</c:v>
                </c:pt>
                <c:pt idx="13">
                  <c:v>25765503</c:v>
                </c:pt>
                <c:pt idx="14">
                  <c:v>23880720</c:v>
                </c:pt>
                <c:pt idx="15">
                  <c:v>22395323</c:v>
                </c:pt>
                <c:pt idx="16">
                  <c:v>23840688</c:v>
                </c:pt>
                <c:pt idx="17">
                  <c:v>32247792</c:v>
                </c:pt>
                <c:pt idx="18">
                  <c:v>42827820</c:v>
                </c:pt>
                <c:pt idx="19">
                  <c:v>50905771</c:v>
                </c:pt>
                <c:pt idx="20">
                  <c:v>44562873</c:v>
                </c:pt>
                <c:pt idx="21">
                  <c:v>39392983</c:v>
                </c:pt>
                <c:pt idx="22">
                  <c:v>41704635</c:v>
                </c:pt>
                <c:pt idx="23">
                  <c:v>54877145</c:v>
                </c:pt>
                <c:pt idx="24">
                  <c:v>47397681</c:v>
                </c:pt>
                <c:pt idx="25">
                  <c:v>45582516</c:v>
                </c:pt>
                <c:pt idx="26">
                  <c:v>44720043</c:v>
                </c:pt>
                <c:pt idx="27">
                  <c:v>41886529</c:v>
                </c:pt>
                <c:pt idx="28">
                  <c:v>49893962</c:v>
                </c:pt>
                <c:pt idx="29">
                  <c:v>54768347</c:v>
                </c:pt>
                <c:pt idx="30">
                  <c:v>47491253</c:v>
                </c:pt>
                <c:pt idx="31">
                  <c:v>50217831</c:v>
                </c:pt>
                <c:pt idx="32">
                  <c:v>49324071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D-4F83-9AA0-3DA7E2E08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60000000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</a:t>
            </a:r>
            <a:r>
              <a:rPr lang="ko-KR" altLang="en-US"/>
              <a:t>번가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'18년추석'!$F$5</c:f>
              <c:strCache>
                <c:ptCount val="1"/>
                <c:pt idx="0">
                  <c:v>11번가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'18년추석'!$B$6:$B$38</c:f>
              <c:strCache>
                <c:ptCount val="33"/>
                <c:pt idx="0">
                  <c:v>-14일</c:v>
                </c:pt>
                <c:pt idx="1">
                  <c:v>-13일</c:v>
                </c:pt>
                <c:pt idx="2">
                  <c:v>-12일</c:v>
                </c:pt>
                <c:pt idx="3">
                  <c:v>-11일</c:v>
                </c:pt>
                <c:pt idx="4">
                  <c:v>-10일</c:v>
                </c:pt>
                <c:pt idx="5">
                  <c:v>-9일</c:v>
                </c:pt>
                <c:pt idx="6">
                  <c:v>-8일</c:v>
                </c:pt>
                <c:pt idx="7">
                  <c:v>-7일</c:v>
                </c:pt>
                <c:pt idx="8">
                  <c:v>-6일</c:v>
                </c:pt>
                <c:pt idx="9">
                  <c:v>-5일</c:v>
                </c:pt>
                <c:pt idx="10">
                  <c:v>-4일</c:v>
                </c:pt>
                <c:pt idx="11">
                  <c:v>-3일</c:v>
                </c:pt>
                <c:pt idx="12">
                  <c:v>-2일</c:v>
                </c:pt>
                <c:pt idx="13">
                  <c:v>-1일</c:v>
                </c:pt>
                <c:pt idx="14">
                  <c:v>연휴1일차</c:v>
                </c:pt>
                <c:pt idx="15">
                  <c:v>연휴2일차</c:v>
                </c:pt>
                <c:pt idx="16">
                  <c:v>연휴3일차</c:v>
                </c:pt>
                <c:pt idx="17">
                  <c:v>연휴4일차</c:v>
                </c:pt>
                <c:pt idx="18">
                  <c:v>연휴5일차</c:v>
                </c:pt>
                <c:pt idx="19">
                  <c:v>+1일</c:v>
                </c:pt>
                <c:pt idx="20">
                  <c:v>+2일</c:v>
                </c:pt>
                <c:pt idx="21">
                  <c:v>+3일</c:v>
                </c:pt>
                <c:pt idx="22">
                  <c:v>+4일</c:v>
                </c:pt>
                <c:pt idx="23">
                  <c:v>+5일</c:v>
                </c:pt>
                <c:pt idx="24">
                  <c:v>+6일</c:v>
                </c:pt>
                <c:pt idx="25">
                  <c:v>+7일</c:v>
                </c:pt>
                <c:pt idx="26">
                  <c:v>+8일</c:v>
                </c:pt>
                <c:pt idx="27">
                  <c:v>+9일</c:v>
                </c:pt>
                <c:pt idx="28">
                  <c:v>+10일</c:v>
                </c:pt>
                <c:pt idx="29">
                  <c:v>+11일</c:v>
                </c:pt>
                <c:pt idx="30">
                  <c:v>+12일</c:v>
                </c:pt>
                <c:pt idx="31">
                  <c:v>+13일</c:v>
                </c:pt>
                <c:pt idx="32">
                  <c:v>+14일</c:v>
                </c:pt>
              </c:strCache>
            </c:strRef>
          </c:cat>
          <c:val>
            <c:numRef>
              <c:f>'18년추석'!$F$6:$F$38</c:f>
              <c:numCache>
                <c:formatCode>_(* #,##0_);_(* \(#,##0\);_(* "-"_);_(@_)</c:formatCode>
                <c:ptCount val="33"/>
                <c:pt idx="0">
                  <c:v>18082339</c:v>
                </c:pt>
                <c:pt idx="1">
                  <c:v>19798846</c:v>
                </c:pt>
                <c:pt idx="2">
                  <c:v>21742596</c:v>
                </c:pt>
                <c:pt idx="3">
                  <c:v>26155751</c:v>
                </c:pt>
                <c:pt idx="4">
                  <c:v>20402364</c:v>
                </c:pt>
                <c:pt idx="5">
                  <c:v>19348658</c:v>
                </c:pt>
                <c:pt idx="6">
                  <c:v>18476920</c:v>
                </c:pt>
                <c:pt idx="7">
                  <c:v>18479528</c:v>
                </c:pt>
                <c:pt idx="8">
                  <c:v>19948728</c:v>
                </c:pt>
                <c:pt idx="9">
                  <c:v>19708185</c:v>
                </c:pt>
                <c:pt idx="10">
                  <c:v>18677976</c:v>
                </c:pt>
                <c:pt idx="11">
                  <c:v>18656801</c:v>
                </c:pt>
                <c:pt idx="12">
                  <c:v>16765212</c:v>
                </c:pt>
                <c:pt idx="13">
                  <c:v>14548052</c:v>
                </c:pt>
                <c:pt idx="14">
                  <c:v>14554674</c:v>
                </c:pt>
                <c:pt idx="15">
                  <c:v>14061404</c:v>
                </c:pt>
                <c:pt idx="16">
                  <c:v>14515291</c:v>
                </c:pt>
                <c:pt idx="17">
                  <c:v>19145762</c:v>
                </c:pt>
                <c:pt idx="18">
                  <c:v>20932500</c:v>
                </c:pt>
                <c:pt idx="19">
                  <c:v>23506446</c:v>
                </c:pt>
                <c:pt idx="20">
                  <c:v>21345619</c:v>
                </c:pt>
                <c:pt idx="21">
                  <c:v>21601281</c:v>
                </c:pt>
                <c:pt idx="22">
                  <c:v>22352350</c:v>
                </c:pt>
                <c:pt idx="23">
                  <c:v>20468389</c:v>
                </c:pt>
                <c:pt idx="24">
                  <c:v>18147716</c:v>
                </c:pt>
                <c:pt idx="25">
                  <c:v>18958711</c:v>
                </c:pt>
                <c:pt idx="26">
                  <c:v>17093784</c:v>
                </c:pt>
                <c:pt idx="27">
                  <c:v>17191385</c:v>
                </c:pt>
                <c:pt idx="28">
                  <c:v>20050606</c:v>
                </c:pt>
                <c:pt idx="29">
                  <c:v>21100590</c:v>
                </c:pt>
                <c:pt idx="30">
                  <c:v>18380078</c:v>
                </c:pt>
                <c:pt idx="31">
                  <c:v>21150762</c:v>
                </c:pt>
                <c:pt idx="32">
                  <c:v>20733797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C-4F9B-94BD-F9768C4FC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67824"/>
        <c:axId val="483640576"/>
      </c:lineChart>
      <c:catAx>
        <c:axId val="3410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640576"/>
        <c:crosses val="autoZero"/>
        <c:auto val="1"/>
        <c:lblAlgn val="ctr"/>
        <c:lblOffset val="100"/>
        <c:noMultiLvlLbl val="0"/>
      </c:catAx>
      <c:valAx>
        <c:axId val="483640576"/>
        <c:scaling>
          <c:orientation val="minMax"/>
          <c:max val="3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067824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49</xdr:row>
      <xdr:rowOff>190499</xdr:rowOff>
    </xdr:from>
    <xdr:to>
      <xdr:col>7</xdr:col>
      <xdr:colOff>1019176</xdr:colOff>
      <xdr:row>59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3050B96-2328-4952-B174-4474CEDFFC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124" t="6224" r="5653" b="13267"/>
        <a:stretch/>
      </xdr:blipFill>
      <xdr:spPr>
        <a:xfrm>
          <a:off x="104776" y="10134599"/>
          <a:ext cx="7696200" cy="1847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15</xdr:row>
      <xdr:rowOff>200024</xdr:rowOff>
    </xdr:from>
    <xdr:to>
      <xdr:col>10</xdr:col>
      <xdr:colOff>342900</xdr:colOff>
      <xdr:row>17</xdr:row>
      <xdr:rowOff>19049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C1BF7E5-7F96-4115-8B63-78A40716BBC0}"/>
            </a:ext>
          </a:extLst>
        </xdr:cNvPr>
        <xdr:cNvSpPr txBox="1"/>
      </xdr:nvSpPr>
      <xdr:spPr>
        <a:xfrm>
          <a:off x="6219825" y="2438399"/>
          <a:ext cx="28194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※</a:t>
          </a:r>
          <a:r>
            <a:rPr lang="ko-KR" altLang="en-US" sz="900"/>
            <a:t>참고</a:t>
          </a:r>
          <a:r>
            <a:rPr lang="en-US" altLang="ko-KR" sz="900"/>
            <a:t>) </a:t>
          </a:r>
          <a:r>
            <a:rPr lang="ko-KR" altLang="en-US" sz="900"/>
            <a:t>연휴기간 매출 추이 그래프 </a:t>
          </a:r>
          <a:r>
            <a:rPr lang="en-US" altLang="ko-KR" sz="900"/>
            <a:t>(</a:t>
          </a:r>
          <a:r>
            <a:rPr lang="ko-KR" altLang="en-US" sz="900"/>
            <a:t>연휴 </a:t>
          </a:r>
          <a:r>
            <a:rPr lang="en-US" altLang="ko-KR" sz="900"/>
            <a:t>±14</a:t>
          </a:r>
          <a:r>
            <a:rPr lang="ko-KR" altLang="en-US" sz="900"/>
            <a:t>일</a:t>
          </a:r>
          <a:r>
            <a:rPr lang="en-US" altLang="ko-KR" sz="900"/>
            <a:t>)</a:t>
          </a:r>
          <a:endParaRPr lang="ko-KR" altLang="en-US" sz="900"/>
        </a:p>
      </xdr:txBody>
    </xdr:sp>
    <xdr:clientData/>
  </xdr:twoCellAnchor>
  <xdr:twoCellAnchor>
    <xdr:from>
      <xdr:col>7</xdr:col>
      <xdr:colOff>428625</xdr:colOff>
      <xdr:row>17</xdr:row>
      <xdr:rowOff>76200</xdr:rowOff>
    </xdr:from>
    <xdr:to>
      <xdr:col>16</xdr:col>
      <xdr:colOff>266700</xdr:colOff>
      <xdr:row>28</xdr:row>
      <xdr:rowOff>133350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D85CC5BA-F37D-4BF6-BB69-5ED831F67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29</xdr:row>
      <xdr:rowOff>123825</xdr:rowOff>
    </xdr:from>
    <xdr:to>
      <xdr:col>16</xdr:col>
      <xdr:colOff>257175</xdr:colOff>
      <xdr:row>41</xdr:row>
      <xdr:rowOff>9525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C237D53-F8B2-4647-A7D7-DE35718C0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466725</xdr:colOff>
      <xdr:row>42</xdr:row>
      <xdr:rowOff>95250</xdr:rowOff>
    </xdr:from>
    <xdr:to>
      <xdr:col>16</xdr:col>
      <xdr:colOff>304800</xdr:colOff>
      <xdr:row>53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1D499BB-509E-4029-8F62-56AEEAE17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514350</xdr:colOff>
      <xdr:row>54</xdr:row>
      <xdr:rowOff>95250</xdr:rowOff>
    </xdr:from>
    <xdr:to>
      <xdr:col>16</xdr:col>
      <xdr:colOff>352425</xdr:colOff>
      <xdr:row>65</xdr:row>
      <xdr:rowOff>152400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25DFAD5A-6FEB-4FB3-9CC8-3E7D3FB25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17</xdr:row>
      <xdr:rowOff>95250</xdr:rowOff>
    </xdr:from>
    <xdr:to>
      <xdr:col>16</xdr:col>
      <xdr:colOff>130350</xdr:colOff>
      <xdr:row>28</xdr:row>
      <xdr:rowOff>152400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6BDB50E7-3DCE-4D80-A952-F49B0974D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352425</xdr:colOff>
      <xdr:row>29</xdr:row>
      <xdr:rowOff>158750</xdr:rowOff>
    </xdr:from>
    <xdr:to>
      <xdr:col>16</xdr:col>
      <xdr:colOff>130350</xdr:colOff>
      <xdr:row>41</xdr:row>
      <xdr:rowOff>44450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C407355-A364-4539-BEBA-876CEDCE9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352425</xdr:colOff>
      <xdr:row>42</xdr:row>
      <xdr:rowOff>50800</xdr:rowOff>
    </xdr:from>
    <xdr:to>
      <xdr:col>16</xdr:col>
      <xdr:colOff>130350</xdr:colOff>
      <xdr:row>53</xdr:row>
      <xdr:rowOff>107950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B55C2CC1-A940-40F4-BF7C-A7641C6C6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352425</xdr:colOff>
      <xdr:row>54</xdr:row>
      <xdr:rowOff>114300</xdr:rowOff>
    </xdr:from>
    <xdr:to>
      <xdr:col>16</xdr:col>
      <xdr:colOff>130350</xdr:colOff>
      <xdr:row>66</xdr:row>
      <xdr:rowOff>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78889DB0-182A-4B79-820A-4BBCE3EAE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200025</xdr:colOff>
      <xdr:row>46</xdr:row>
      <xdr:rowOff>76200</xdr:rowOff>
    </xdr:from>
    <xdr:to>
      <xdr:col>16</xdr:col>
      <xdr:colOff>0</xdr:colOff>
      <xdr:row>46</xdr:row>
      <xdr:rowOff>76200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BF30EDA0-7F1B-43D8-BC90-271376E73ED2}"/>
            </a:ext>
          </a:extLst>
        </xdr:cNvPr>
        <xdr:cNvCxnSpPr/>
      </xdr:nvCxnSpPr>
      <xdr:spPr>
        <a:xfrm>
          <a:off x="6715125" y="7762875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59</xdr:row>
      <xdr:rowOff>152400</xdr:rowOff>
    </xdr:from>
    <xdr:to>
      <xdr:col>15</xdr:col>
      <xdr:colOff>895350</xdr:colOff>
      <xdr:row>59</xdr:row>
      <xdr:rowOff>152400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53258E84-48F3-4C69-A220-15A7C8A166EB}"/>
            </a:ext>
          </a:extLst>
        </xdr:cNvPr>
        <xdr:cNvCxnSpPr/>
      </xdr:nvCxnSpPr>
      <xdr:spPr>
        <a:xfrm>
          <a:off x="6705600" y="10067925"/>
          <a:ext cx="5438775" cy="0"/>
        </a:xfrm>
        <a:prstGeom prst="line">
          <a:avLst/>
        </a:prstGeom>
        <a:ln w="19050">
          <a:solidFill>
            <a:srgbClr val="00B0F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33</xdr:row>
      <xdr:rowOff>123825</xdr:rowOff>
    </xdr:from>
    <xdr:to>
      <xdr:col>15</xdr:col>
      <xdr:colOff>895350</xdr:colOff>
      <xdr:row>33</xdr:row>
      <xdr:rowOff>123825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AAB20FAE-3866-44C8-9548-E8785682869A}"/>
            </a:ext>
          </a:extLst>
        </xdr:cNvPr>
        <xdr:cNvCxnSpPr/>
      </xdr:nvCxnSpPr>
      <xdr:spPr>
        <a:xfrm>
          <a:off x="6705600" y="5581650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21</xdr:row>
      <xdr:rowOff>133350</xdr:rowOff>
    </xdr:from>
    <xdr:to>
      <xdr:col>16</xdr:col>
      <xdr:colOff>47625</xdr:colOff>
      <xdr:row>21</xdr:row>
      <xdr:rowOff>133350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E4F32B0-A430-44FF-AC79-62E93BC9D765}"/>
            </a:ext>
          </a:extLst>
        </xdr:cNvPr>
        <xdr:cNvCxnSpPr/>
      </xdr:nvCxnSpPr>
      <xdr:spPr>
        <a:xfrm>
          <a:off x="6762750" y="3533775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16</xdr:row>
      <xdr:rowOff>28575</xdr:rowOff>
    </xdr:from>
    <xdr:to>
      <xdr:col>10</xdr:col>
      <xdr:colOff>361950</xdr:colOff>
      <xdr:row>17</xdr:row>
      <xdr:rowOff>85725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FAD0E91-A521-4D3D-B419-64196A4CA6B5}"/>
            </a:ext>
          </a:extLst>
        </xdr:cNvPr>
        <xdr:cNvSpPr txBox="1"/>
      </xdr:nvSpPr>
      <xdr:spPr>
        <a:xfrm>
          <a:off x="5943600" y="2505075"/>
          <a:ext cx="28194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※</a:t>
          </a:r>
          <a:r>
            <a:rPr lang="ko-KR" altLang="en-US" sz="900"/>
            <a:t>참고</a:t>
          </a:r>
          <a:r>
            <a:rPr lang="en-US" altLang="ko-KR" sz="900"/>
            <a:t>) </a:t>
          </a:r>
          <a:r>
            <a:rPr lang="ko-KR" altLang="en-US" sz="900"/>
            <a:t>연휴기간 매출 추이 그래프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연휴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±14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17</xdr:row>
      <xdr:rowOff>28575</xdr:rowOff>
    </xdr:from>
    <xdr:to>
      <xdr:col>16</xdr:col>
      <xdr:colOff>134322</xdr:colOff>
      <xdr:row>28</xdr:row>
      <xdr:rowOff>85725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4A0211-95E5-4BE5-A67E-6902F8B09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29</xdr:row>
      <xdr:rowOff>92075</xdr:rowOff>
    </xdr:from>
    <xdr:to>
      <xdr:col>16</xdr:col>
      <xdr:colOff>134322</xdr:colOff>
      <xdr:row>40</xdr:row>
      <xdr:rowOff>149225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A71B478-25E3-4A6B-B660-7CA7E7850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41</xdr:row>
      <xdr:rowOff>155575</xdr:rowOff>
    </xdr:from>
    <xdr:to>
      <xdr:col>16</xdr:col>
      <xdr:colOff>152400</xdr:colOff>
      <xdr:row>53</xdr:row>
      <xdr:rowOff>41275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759F893-D48F-4E39-AACF-E574CA822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314325</xdr:colOff>
      <xdr:row>54</xdr:row>
      <xdr:rowOff>47625</xdr:rowOff>
    </xdr:from>
    <xdr:to>
      <xdr:col>16</xdr:col>
      <xdr:colOff>152400</xdr:colOff>
      <xdr:row>65</xdr:row>
      <xdr:rowOff>104775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2732044-7979-4B2E-A755-97DF0E5A2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219075</xdr:colOff>
      <xdr:row>20</xdr:row>
      <xdr:rowOff>133350</xdr:rowOff>
    </xdr:from>
    <xdr:to>
      <xdr:col>16</xdr:col>
      <xdr:colOff>19050</xdr:colOff>
      <xdr:row>20</xdr:row>
      <xdr:rowOff>133350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F084709-9324-4C1C-A379-F901802BC208}"/>
            </a:ext>
          </a:extLst>
        </xdr:cNvPr>
        <xdr:cNvCxnSpPr/>
      </xdr:nvCxnSpPr>
      <xdr:spPr>
        <a:xfrm>
          <a:off x="6734175" y="3533775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33</xdr:row>
      <xdr:rowOff>114300</xdr:rowOff>
    </xdr:from>
    <xdr:to>
      <xdr:col>15</xdr:col>
      <xdr:colOff>866775</xdr:colOff>
      <xdr:row>33</xdr:row>
      <xdr:rowOff>114300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DDB5FE2B-FFCA-430C-BB87-A9CE524971BF}"/>
            </a:ext>
          </a:extLst>
        </xdr:cNvPr>
        <xdr:cNvCxnSpPr/>
      </xdr:nvCxnSpPr>
      <xdr:spPr>
        <a:xfrm>
          <a:off x="6677025" y="5743575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45</xdr:row>
      <xdr:rowOff>152400</xdr:rowOff>
    </xdr:from>
    <xdr:to>
      <xdr:col>15</xdr:col>
      <xdr:colOff>866775</xdr:colOff>
      <xdr:row>45</xdr:row>
      <xdr:rowOff>152400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335EC1E6-1C32-400A-84CC-F414ED46400E}"/>
            </a:ext>
          </a:extLst>
        </xdr:cNvPr>
        <xdr:cNvCxnSpPr/>
      </xdr:nvCxnSpPr>
      <xdr:spPr>
        <a:xfrm>
          <a:off x="6677025" y="7839075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58</xdr:row>
      <xdr:rowOff>152400</xdr:rowOff>
    </xdr:from>
    <xdr:to>
      <xdr:col>15</xdr:col>
      <xdr:colOff>866775</xdr:colOff>
      <xdr:row>58</xdr:row>
      <xdr:rowOff>152400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61665D10-3442-41CB-BE69-21DF53855AF9}"/>
            </a:ext>
          </a:extLst>
        </xdr:cNvPr>
        <xdr:cNvCxnSpPr/>
      </xdr:nvCxnSpPr>
      <xdr:spPr>
        <a:xfrm>
          <a:off x="6677025" y="10067925"/>
          <a:ext cx="5438775" cy="0"/>
        </a:xfrm>
        <a:prstGeom prst="line">
          <a:avLst/>
        </a:prstGeom>
        <a:ln w="19050">
          <a:solidFill>
            <a:srgbClr val="00B0F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15</xdr:row>
      <xdr:rowOff>180975</xdr:rowOff>
    </xdr:from>
    <xdr:to>
      <xdr:col>10</xdr:col>
      <xdr:colOff>323850</xdr:colOff>
      <xdr:row>17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0862148-7441-42C3-9C8D-42FEFC41FDA2}"/>
            </a:ext>
          </a:extLst>
        </xdr:cNvPr>
        <xdr:cNvSpPr txBox="1"/>
      </xdr:nvSpPr>
      <xdr:spPr>
        <a:xfrm>
          <a:off x="5905500" y="2590800"/>
          <a:ext cx="28194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※</a:t>
          </a:r>
          <a:r>
            <a:rPr lang="ko-KR" altLang="en-US" sz="900"/>
            <a:t>참고</a:t>
          </a:r>
          <a:r>
            <a:rPr lang="en-US" altLang="ko-KR" sz="900"/>
            <a:t>) </a:t>
          </a:r>
          <a:r>
            <a:rPr lang="ko-KR" altLang="en-US" sz="900"/>
            <a:t>연휴기간 매출 추이 </a:t>
          </a:r>
          <a:r>
            <a:rPr lang="ko-KR" altLang="en-US" sz="1000"/>
            <a:t>그래프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연휴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±14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16</xdr:row>
      <xdr:rowOff>228600</xdr:rowOff>
    </xdr:from>
    <xdr:to>
      <xdr:col>16</xdr:col>
      <xdr:colOff>177975</xdr:colOff>
      <xdr:row>28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CE5A2D1-ABFE-407E-B6B1-9C1E776E2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29</xdr:row>
      <xdr:rowOff>53975</xdr:rowOff>
    </xdr:from>
    <xdr:to>
      <xdr:col>16</xdr:col>
      <xdr:colOff>177975</xdr:colOff>
      <xdr:row>40</xdr:row>
      <xdr:rowOff>111125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18E543C-4D41-49E5-B686-8F884EAFB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314325</xdr:colOff>
      <xdr:row>41</xdr:row>
      <xdr:rowOff>117475</xdr:rowOff>
    </xdr:from>
    <xdr:to>
      <xdr:col>16</xdr:col>
      <xdr:colOff>177975</xdr:colOff>
      <xdr:row>53</xdr:row>
      <xdr:rowOff>3175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6F501D3-704B-4967-813A-7C1D1F98E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314325</xdr:colOff>
      <xdr:row>54</xdr:row>
      <xdr:rowOff>9525</xdr:rowOff>
    </xdr:from>
    <xdr:to>
      <xdr:col>16</xdr:col>
      <xdr:colOff>177975</xdr:colOff>
      <xdr:row>65</xdr:row>
      <xdr:rowOff>66675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918A332-F74E-4106-822B-0D30B281E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285750</xdr:colOff>
      <xdr:row>20</xdr:row>
      <xdr:rowOff>123825</xdr:rowOff>
    </xdr:from>
    <xdr:to>
      <xdr:col>16</xdr:col>
      <xdr:colOff>95250</xdr:colOff>
      <xdr:row>20</xdr:row>
      <xdr:rowOff>123825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37210137-EA43-4517-9FF9-868662159B56}"/>
            </a:ext>
          </a:extLst>
        </xdr:cNvPr>
        <xdr:cNvCxnSpPr/>
      </xdr:nvCxnSpPr>
      <xdr:spPr>
        <a:xfrm>
          <a:off x="6772275" y="3524250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32</xdr:row>
      <xdr:rowOff>142875</xdr:rowOff>
    </xdr:from>
    <xdr:to>
      <xdr:col>16</xdr:col>
      <xdr:colOff>47625</xdr:colOff>
      <xdr:row>32</xdr:row>
      <xdr:rowOff>142875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98B908B9-F313-4CE9-AD17-AECC9272884B}"/>
            </a:ext>
          </a:extLst>
        </xdr:cNvPr>
        <xdr:cNvCxnSpPr/>
      </xdr:nvCxnSpPr>
      <xdr:spPr>
        <a:xfrm>
          <a:off x="6724650" y="5600700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45</xdr:row>
      <xdr:rowOff>95250</xdr:rowOff>
    </xdr:from>
    <xdr:to>
      <xdr:col>16</xdr:col>
      <xdr:colOff>57150</xdr:colOff>
      <xdr:row>45</xdr:row>
      <xdr:rowOff>95250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BAAA15D5-3E09-4AE2-A5C1-4AF7439A7B17}"/>
            </a:ext>
          </a:extLst>
        </xdr:cNvPr>
        <xdr:cNvCxnSpPr/>
      </xdr:nvCxnSpPr>
      <xdr:spPr>
        <a:xfrm>
          <a:off x="6734175" y="7781925"/>
          <a:ext cx="54387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58</xdr:row>
      <xdr:rowOff>19050</xdr:rowOff>
    </xdr:from>
    <xdr:to>
      <xdr:col>16</xdr:col>
      <xdr:colOff>47625</xdr:colOff>
      <xdr:row>58</xdr:row>
      <xdr:rowOff>19050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27B3772B-901D-4B9F-88A4-AAADAEDCBD77}"/>
            </a:ext>
          </a:extLst>
        </xdr:cNvPr>
        <xdr:cNvCxnSpPr/>
      </xdr:nvCxnSpPr>
      <xdr:spPr>
        <a:xfrm>
          <a:off x="6724650" y="9934575"/>
          <a:ext cx="5438775" cy="0"/>
        </a:xfrm>
        <a:prstGeom prst="line">
          <a:avLst/>
        </a:prstGeom>
        <a:ln w="19050">
          <a:solidFill>
            <a:srgbClr val="00B0F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15</xdr:row>
      <xdr:rowOff>171450</xdr:rowOff>
    </xdr:from>
    <xdr:to>
      <xdr:col>10</xdr:col>
      <xdr:colOff>476250</xdr:colOff>
      <xdr:row>16</xdr:row>
      <xdr:rowOff>228600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A2FAF42-29D4-47AC-9297-8629ECA9660B}"/>
            </a:ext>
          </a:extLst>
        </xdr:cNvPr>
        <xdr:cNvSpPr txBox="1"/>
      </xdr:nvSpPr>
      <xdr:spPr>
        <a:xfrm>
          <a:off x="5953125" y="2581275"/>
          <a:ext cx="28194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※</a:t>
          </a:r>
          <a:r>
            <a:rPr lang="ko-KR" altLang="en-US" sz="900"/>
            <a:t>참고</a:t>
          </a:r>
          <a:r>
            <a:rPr lang="en-US" altLang="ko-KR" sz="900"/>
            <a:t>) </a:t>
          </a:r>
          <a:r>
            <a:rPr lang="ko-KR" altLang="en-US" sz="900"/>
            <a:t>연휴기간 매출 추이 그래프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연휴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±14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</xdr:row>
      <xdr:rowOff>161925</xdr:rowOff>
    </xdr:from>
    <xdr:to>
      <xdr:col>17</xdr:col>
      <xdr:colOff>542925</xdr:colOff>
      <xdr:row>11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FB42B65-D6DE-4A87-BF26-B2A39DF00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11</xdr:row>
      <xdr:rowOff>171450</xdr:rowOff>
    </xdr:from>
    <xdr:to>
      <xdr:col>17</xdr:col>
      <xdr:colOff>533400</xdr:colOff>
      <xdr:row>21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3B7C012-827C-4A8F-B05C-D0629E317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561975</xdr:colOff>
      <xdr:row>22</xdr:row>
      <xdr:rowOff>66675</xdr:rowOff>
    </xdr:from>
    <xdr:to>
      <xdr:col>17</xdr:col>
      <xdr:colOff>581025</xdr:colOff>
      <xdr:row>31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763CAA1-0EB1-40D8-8539-CA0BBCD3B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32</xdr:row>
      <xdr:rowOff>28575</xdr:rowOff>
    </xdr:from>
    <xdr:to>
      <xdr:col>18</xdr:col>
      <xdr:colOff>19050</xdr:colOff>
      <xdr:row>41</xdr:row>
      <xdr:rowOff>85725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8FBC62F-8884-4A3C-9C71-0B10ECFC7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</xdr:row>
      <xdr:rowOff>152400</xdr:rowOff>
    </xdr:from>
    <xdr:to>
      <xdr:col>18</xdr:col>
      <xdr:colOff>257175</xdr:colOff>
      <xdr:row>12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F88FC67-53FF-45D6-A19D-B746A2F175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12</xdr:row>
      <xdr:rowOff>161925</xdr:rowOff>
    </xdr:from>
    <xdr:to>
      <xdr:col>18</xdr:col>
      <xdr:colOff>247650</xdr:colOff>
      <xdr:row>22</xdr:row>
      <xdr:rowOff>9525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695E73A-D45F-4D22-B7F8-C33DB64A2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276225</xdr:colOff>
      <xdr:row>23</xdr:row>
      <xdr:rowOff>57150</xdr:rowOff>
    </xdr:from>
    <xdr:to>
      <xdr:col>18</xdr:col>
      <xdr:colOff>295275</xdr:colOff>
      <xdr:row>32</xdr:row>
      <xdr:rowOff>114300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DCBC4B1-ACF7-46D6-A185-456500B92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400050</xdr:colOff>
      <xdr:row>33</xdr:row>
      <xdr:rowOff>19050</xdr:rowOff>
    </xdr:from>
    <xdr:to>
      <xdr:col>18</xdr:col>
      <xdr:colOff>419100</xdr:colOff>
      <xdr:row>42</xdr:row>
      <xdr:rowOff>76200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DEF3AAC-A43C-4E2D-BC7D-AF0B97555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2</xdr:row>
      <xdr:rowOff>0</xdr:rowOff>
    </xdr:from>
    <xdr:to>
      <xdr:col>17</xdr:col>
      <xdr:colOff>676275</xdr:colOff>
      <xdr:row>11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EC6DB48-ACE1-4214-B8AD-51E579113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12</xdr:row>
      <xdr:rowOff>9525</xdr:rowOff>
    </xdr:from>
    <xdr:to>
      <xdr:col>17</xdr:col>
      <xdr:colOff>666750</xdr:colOff>
      <xdr:row>21</xdr:row>
      <xdr:rowOff>66675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455C933-97A9-4B1A-BEBE-B0AF477B4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22</xdr:row>
      <xdr:rowOff>114300</xdr:rowOff>
    </xdr:from>
    <xdr:to>
      <xdr:col>18</xdr:col>
      <xdr:colOff>28575</xdr:colOff>
      <xdr:row>31</xdr:row>
      <xdr:rowOff>171450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4488AAC-48F2-41A7-AA16-A6E53BF93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133350</xdr:colOff>
      <xdr:row>32</xdr:row>
      <xdr:rowOff>76200</xdr:rowOff>
    </xdr:from>
    <xdr:to>
      <xdr:col>18</xdr:col>
      <xdr:colOff>152400</xdr:colOff>
      <xdr:row>41</xdr:row>
      <xdr:rowOff>133350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DF8B06E-0247-49D9-9636-F17AC7BB9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28575</xdr:rowOff>
    </xdr:from>
    <xdr:to>
      <xdr:col>19</xdr:col>
      <xdr:colOff>19050</xdr:colOff>
      <xdr:row>15</xdr:row>
      <xdr:rowOff>85725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0BCE475-21EE-461F-87D3-BB8F403ED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16</xdr:row>
      <xdr:rowOff>38100</xdr:rowOff>
    </xdr:from>
    <xdr:to>
      <xdr:col>19</xdr:col>
      <xdr:colOff>9525</xdr:colOff>
      <xdr:row>25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B9F1A1C-2572-4032-892F-0938B76A2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</xdr:colOff>
      <xdr:row>26</xdr:row>
      <xdr:rowOff>142875</xdr:rowOff>
    </xdr:from>
    <xdr:to>
      <xdr:col>19</xdr:col>
      <xdr:colOff>57150</xdr:colOff>
      <xdr:row>35</xdr:row>
      <xdr:rowOff>200025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19AD04E-AB30-45C5-8E9F-F46312C1C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161925</xdr:colOff>
      <xdr:row>36</xdr:row>
      <xdr:rowOff>104775</xdr:rowOff>
    </xdr:from>
    <xdr:to>
      <xdr:col>19</xdr:col>
      <xdr:colOff>180975</xdr:colOff>
      <xdr:row>45</xdr:row>
      <xdr:rowOff>161925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C394C3-B1EA-4F47-A071-82484C3C1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V120"/>
  <sheetViews>
    <sheetView showGridLines="0" workbookViewId="0"/>
  </sheetViews>
  <sheetFormatPr defaultColWidth="8.85546875" defaultRowHeight="13.5"/>
  <cols>
    <col min="1" max="1" width="2.42578125" customWidth="1"/>
    <col min="2" max="2" width="2.28515625" customWidth="1"/>
    <col min="3" max="3" width="14.28515625" customWidth="1"/>
    <col min="4" max="10" width="17.28515625" customWidth="1"/>
    <col min="11" max="11" width="15" bestFit="1" customWidth="1"/>
    <col min="12" max="13" width="15" customWidth="1"/>
    <col min="14" max="14" width="15" hidden="1" customWidth="1"/>
    <col min="15" max="15" width="13.28515625" hidden="1" customWidth="1"/>
    <col min="16" max="17" width="17.28515625" hidden="1" customWidth="1"/>
    <col min="18" max="19" width="14.28515625" hidden="1" customWidth="1"/>
    <col min="20" max="20" width="16.42578125" hidden="1" customWidth="1"/>
    <col min="21" max="22" width="0" hidden="1" customWidth="1"/>
  </cols>
  <sheetData>
    <row r="2" spans="2:9" ht="26.25">
      <c r="B2" s="86" t="s">
        <v>115</v>
      </c>
      <c r="C2" s="1"/>
    </row>
    <row r="3" spans="2:9" ht="8.25" customHeight="1"/>
    <row r="4" spans="2:9" ht="16.5">
      <c r="B4" s="94" t="s">
        <v>243</v>
      </c>
      <c r="C4" s="2"/>
    </row>
    <row r="5" spans="2:9" hidden="1">
      <c r="B5" s="105" t="s">
        <v>111</v>
      </c>
      <c r="C5" s="2"/>
    </row>
    <row r="6" spans="2:9" hidden="1">
      <c r="B6" s="129" t="s">
        <v>86</v>
      </c>
      <c r="C6" s="129"/>
    </row>
    <row r="7" spans="2:9" hidden="1">
      <c r="B7" t="s">
        <v>0</v>
      </c>
    </row>
    <row r="8" spans="2:9" hidden="1">
      <c r="B8" t="s">
        <v>1</v>
      </c>
    </row>
    <row r="9" spans="2:9" hidden="1">
      <c r="B9" t="s">
        <v>116</v>
      </c>
    </row>
    <row r="10" spans="2:9" ht="7.5" customHeight="1"/>
    <row r="11" spans="2:9" ht="16.5">
      <c r="B11" s="208" t="s">
        <v>251</v>
      </c>
    </row>
    <row r="12" spans="2:9" ht="16.5">
      <c r="B12" s="208"/>
      <c r="C12" s="369" t="s">
        <v>240</v>
      </c>
      <c r="D12" s="370"/>
      <c r="E12" s="274" t="s">
        <v>197</v>
      </c>
      <c r="F12" s="274" t="s">
        <v>196</v>
      </c>
      <c r="G12" s="274" t="s">
        <v>87</v>
      </c>
      <c r="H12" s="274" t="s">
        <v>88</v>
      </c>
      <c r="I12" s="274" t="s">
        <v>76</v>
      </c>
    </row>
    <row r="13" spans="2:9" ht="16.5">
      <c r="B13" s="208"/>
      <c r="C13" s="340" t="s">
        <v>244</v>
      </c>
      <c r="D13" s="341"/>
      <c r="E13" s="216">
        <f>102.282167262959%</f>
        <v>1.02282167262959</v>
      </c>
      <c r="F13" s="216">
        <f>95.8159670484923%</f>
        <v>0.95815967048492301</v>
      </c>
      <c r="G13" s="216">
        <f>113.825035321766%</f>
        <v>1.13825035321766</v>
      </c>
      <c r="H13" s="216">
        <f>108.295246747894%</f>
        <v>1.0829524674789399</v>
      </c>
      <c r="I13" s="272">
        <f>AVERAGE(E13:H13)</f>
        <v>1.0505460409527783</v>
      </c>
    </row>
    <row r="14" spans="2:9" ht="16.5">
      <c r="B14" s="208"/>
      <c r="C14" s="340" t="s">
        <v>246</v>
      </c>
      <c r="D14" s="341"/>
      <c r="E14" s="216">
        <f>E35</f>
        <v>0.58053232307663027</v>
      </c>
      <c r="F14" s="216">
        <f t="shared" ref="F14:H14" si="0">F35</f>
        <v>0.59981363971972534</v>
      </c>
      <c r="G14" s="216">
        <f t="shared" si="0"/>
        <v>0.73159421300750216</v>
      </c>
      <c r="H14" s="216">
        <f t="shared" si="0"/>
        <v>0.85979098387168862</v>
      </c>
      <c r="I14" s="272">
        <f>AVERAGE(E14:H14)</f>
        <v>0.69293278991888663</v>
      </c>
    </row>
    <row r="15" spans="2:9" ht="16.5">
      <c r="B15" s="208"/>
      <c r="C15" s="340" t="s">
        <v>245</v>
      </c>
      <c r="D15" s="341"/>
      <c r="E15" s="216">
        <f>103.833132088189%</f>
        <v>1.0383313208818901</v>
      </c>
      <c r="F15" s="216">
        <f>100.231479614142%</f>
        <v>1.0023147961414201</v>
      </c>
      <c r="G15" s="216">
        <f>106.327572578225%</f>
        <v>1.06327572578225</v>
      </c>
      <c r="H15" s="216">
        <f>112.552960495797%</f>
        <v>1.1255296049579699</v>
      </c>
      <c r="I15" s="272">
        <f>AVERAGE(E15:H15)</f>
        <v>1.0573628619408826</v>
      </c>
    </row>
    <row r="16" spans="2:9" ht="6.95" customHeight="1">
      <c r="B16" s="208"/>
      <c r="C16" s="275"/>
    </row>
    <row r="17" spans="2:17" ht="15" customHeight="1">
      <c r="B17" s="208"/>
      <c r="C17" s="280" t="s">
        <v>269</v>
      </c>
    </row>
    <row r="18" spans="2:17" ht="15" customHeight="1">
      <c r="B18" s="208"/>
      <c r="C18" s="281" t="s">
        <v>270</v>
      </c>
    </row>
    <row r="19" spans="2:17" ht="15" customHeight="1">
      <c r="B19" s="208"/>
      <c r="C19" s="281" t="s">
        <v>268</v>
      </c>
    </row>
    <row r="21" spans="2:17" ht="16.5">
      <c r="B21" s="106" t="s">
        <v>249</v>
      </c>
      <c r="C21" s="87"/>
    </row>
    <row r="22" spans="2:17" ht="5.25" customHeight="1" thickBot="1">
      <c r="B22" s="106"/>
      <c r="C22" s="87"/>
    </row>
    <row r="23" spans="2:17" ht="14.1" customHeight="1" thickBot="1">
      <c r="C23" s="386" t="s">
        <v>271</v>
      </c>
      <c r="D23" s="387"/>
      <c r="E23" s="286" t="s">
        <v>3</v>
      </c>
      <c r="F23" s="286" t="s">
        <v>5</v>
      </c>
      <c r="G23" s="286" t="s">
        <v>6</v>
      </c>
      <c r="H23" s="286" t="s">
        <v>7</v>
      </c>
      <c r="I23" s="287" t="s">
        <v>67</v>
      </c>
    </row>
    <row r="24" spans="2:17" ht="14.1" customHeight="1" thickTop="1">
      <c r="C24" s="392" t="s">
        <v>250</v>
      </c>
      <c r="D24" s="288" t="s">
        <v>236</v>
      </c>
      <c r="E24" s="289">
        <v>199896619.25</v>
      </c>
      <c r="F24" s="289">
        <v>15002065</v>
      </c>
      <c r="G24" s="289">
        <v>65336685.25</v>
      </c>
      <c r="H24" s="289">
        <v>21450852</v>
      </c>
      <c r="I24" s="290">
        <f>SUM(E24:H24)</f>
        <v>301686221.5</v>
      </c>
    </row>
    <row r="25" spans="2:17" ht="14.1" customHeight="1">
      <c r="C25" s="393"/>
      <c r="D25" s="282" t="s">
        <v>235</v>
      </c>
      <c r="E25" s="283">
        <v>196677728.5</v>
      </c>
      <c r="F25" s="283">
        <v>14965197.5</v>
      </c>
      <c r="G25" s="283">
        <v>67658882.5</v>
      </c>
      <c r="H25" s="283">
        <v>22808229.75</v>
      </c>
      <c r="I25" s="285">
        <f t="shared" ref="I25:I30" si="1">SUM(E25:H25)</f>
        <v>302110038.25</v>
      </c>
      <c r="N25" t="s">
        <v>272</v>
      </c>
    </row>
    <row r="26" spans="2:17" ht="14.1" customHeight="1">
      <c r="C26" s="393"/>
      <c r="D26" s="282" t="s">
        <v>49</v>
      </c>
      <c r="E26" s="283">
        <v>194630293</v>
      </c>
      <c r="F26" s="283">
        <v>14854317.5</v>
      </c>
      <c r="G26" s="283">
        <v>68462386</v>
      </c>
      <c r="H26" s="283">
        <v>20428129.25</v>
      </c>
      <c r="I26" s="285">
        <f t="shared" si="1"/>
        <v>298375125.75</v>
      </c>
      <c r="N26" s="111">
        <f>E28*0.63</f>
        <v>113687377.65000001</v>
      </c>
      <c r="O26" s="122">
        <v>9470118.9000000004</v>
      </c>
      <c r="P26" s="122">
        <v>55150066.942500003</v>
      </c>
      <c r="Q26" s="122">
        <v>17567753.25</v>
      </c>
    </row>
    <row r="27" spans="2:17" ht="14.1" customHeight="1">
      <c r="C27" s="393"/>
      <c r="D27" s="282" t="s">
        <v>109</v>
      </c>
      <c r="E27" s="283">
        <v>193607868.75</v>
      </c>
      <c r="F27" s="283">
        <v>14914880</v>
      </c>
      <c r="G27" s="283">
        <v>63852136.25</v>
      </c>
      <c r="H27" s="283">
        <v>19107435.25</v>
      </c>
      <c r="I27" s="285">
        <f t="shared" si="1"/>
        <v>291482320.25</v>
      </c>
      <c r="N27" s="333"/>
      <c r="O27" s="283"/>
    </row>
    <row r="28" spans="2:17" ht="14.1" customHeight="1">
      <c r="C28" s="393"/>
      <c r="D28" s="282" t="s">
        <v>40</v>
      </c>
      <c r="E28" s="283">
        <v>180456155</v>
      </c>
      <c r="F28" s="283">
        <v>14348665</v>
      </c>
      <c r="G28" s="283">
        <v>59301147.25</v>
      </c>
      <c r="H28" s="283">
        <v>17223287.5</v>
      </c>
      <c r="I28" s="285">
        <f t="shared" si="1"/>
        <v>271329254.75</v>
      </c>
      <c r="L28" s="332"/>
      <c r="N28" s="333"/>
      <c r="O28" s="283"/>
    </row>
    <row r="29" spans="2:17" ht="14.1" customHeight="1">
      <c r="C29" s="393"/>
      <c r="D29" s="282" t="s">
        <v>70</v>
      </c>
      <c r="E29" s="283">
        <v>131724558.5</v>
      </c>
      <c r="F29" s="283">
        <v>9318917.5</v>
      </c>
      <c r="G29" s="283">
        <v>54739921.5</v>
      </c>
      <c r="H29" s="283">
        <v>19108183.5</v>
      </c>
      <c r="I29" s="285">
        <f t="shared" si="1"/>
        <v>214891581</v>
      </c>
      <c r="N29" s="333"/>
      <c r="O29" s="283"/>
    </row>
    <row r="30" spans="2:17" ht="14.1" customHeight="1">
      <c r="C30" s="393"/>
      <c r="D30" s="282" t="s">
        <v>47</v>
      </c>
      <c r="E30" s="283">
        <v>130576087.2</v>
      </c>
      <c r="F30" s="283">
        <v>8601904</v>
      </c>
      <c r="G30" s="283">
        <v>62319442.799999997</v>
      </c>
      <c r="H30" s="283">
        <v>20436370</v>
      </c>
      <c r="I30" s="285">
        <f t="shared" si="1"/>
        <v>221933804</v>
      </c>
      <c r="J30" s="111"/>
    </row>
    <row r="31" spans="2:17" ht="14.1" customHeight="1" thickBot="1">
      <c r="C31" s="394" t="s">
        <v>255</v>
      </c>
      <c r="D31" s="395"/>
      <c r="E31" s="292">
        <f>SUM(E24:E30)</f>
        <v>1227569310.2</v>
      </c>
      <c r="F31" s="293">
        <f>SUM(F24:F30)</f>
        <v>92005946.5</v>
      </c>
      <c r="G31" s="292">
        <f>SUM(G24:G30)</f>
        <v>441670601.55000001</v>
      </c>
      <c r="H31" s="292">
        <f>SUM(H24:H30)</f>
        <v>140562487.25</v>
      </c>
      <c r="I31" s="294">
        <f>SUM(E31:H31)</f>
        <v>1901808345.5</v>
      </c>
      <c r="J31" s="277" t="s">
        <v>259</v>
      </c>
    </row>
    <row r="32" spans="2:17" ht="25.5" customHeight="1">
      <c r="C32" s="396" t="s">
        <v>258</v>
      </c>
      <c r="D32" s="397"/>
      <c r="E32" s="295">
        <f>E31*E13</f>
        <v>1255584495.127516</v>
      </c>
      <c r="F32" s="296">
        <f>F31*F13</f>
        <v>88156387.381093457</v>
      </c>
      <c r="G32" s="297">
        <f>G31*G13</f>
        <v>502731718.22014385</v>
      </c>
      <c r="H32" s="297">
        <f>H31*H13</f>
        <v>152222492.40236452</v>
      </c>
      <c r="I32" s="298">
        <f>SUM(E32:H32)</f>
        <v>1998695093.1311178</v>
      </c>
      <c r="J32" s="276">
        <f>I32-$I$31</f>
        <v>96886747.631117821</v>
      </c>
    </row>
    <row r="33" spans="2:13" ht="25.5" customHeight="1">
      <c r="C33" s="398" t="s">
        <v>256</v>
      </c>
      <c r="D33" s="399"/>
      <c r="E33" s="284">
        <f>E37*E35</f>
        <v>482419436.01607567</v>
      </c>
      <c r="F33" s="273">
        <f t="shared" ref="F33:H33" si="2">F37*F35</f>
        <v>37211648.853461891</v>
      </c>
      <c r="G33" s="291">
        <f t="shared" si="2"/>
        <v>225824868.42797515</v>
      </c>
      <c r="H33" s="291">
        <f t="shared" si="2"/>
        <v>82800799.765039191</v>
      </c>
      <c r="I33" s="299">
        <f>SUM(E33:H33)</f>
        <v>828256753.06255198</v>
      </c>
      <c r="J33" s="276">
        <f>I33-(SUM(I26:I30))</f>
        <v>-469755332.68744802</v>
      </c>
      <c r="K33" s="111"/>
    </row>
    <row r="34" spans="2:13" ht="25.5" customHeight="1" thickBot="1">
      <c r="C34" s="365" t="s">
        <v>257</v>
      </c>
      <c r="D34" s="366"/>
      <c r="E34" s="300">
        <f>SUM(E24:E27,E29:E30,N26)*E15</f>
        <v>1205295550.5545425</v>
      </c>
      <c r="F34" s="301">
        <f>SUM(F24:F27,F29:F30,O26)*F15</f>
        <v>87329082.570257887</v>
      </c>
      <c r="G34" s="302">
        <f t="shared" ref="G34:H34" si="3">SUM(G24:G27,G29:G30,P26)*G15</f>
        <v>465203886.49302179</v>
      </c>
      <c r="H34" s="302">
        <f t="shared" si="3"/>
        <v>158594947.14592123</v>
      </c>
      <c r="I34" s="303">
        <f>SUM(E34:H34)</f>
        <v>1916423466.7637434</v>
      </c>
      <c r="J34" s="276">
        <f>I34-$I$31</f>
        <v>14615121.263743401</v>
      </c>
      <c r="K34" s="111"/>
    </row>
    <row r="35" spans="2:13" ht="14.1" customHeight="1" thickBot="1">
      <c r="C35" s="352" t="s">
        <v>72</v>
      </c>
      <c r="D35" s="353"/>
      <c r="E35" s="259">
        <f>H44</f>
        <v>0.58053232307663027</v>
      </c>
      <c r="F35" s="260">
        <f>H45</f>
        <v>0.59981363971972534</v>
      </c>
      <c r="G35" s="260">
        <f>H46</f>
        <v>0.73159421300750216</v>
      </c>
      <c r="H35" s="261">
        <f>H47</f>
        <v>0.85979098387168862</v>
      </c>
      <c r="I35" s="93"/>
      <c r="J35" s="111"/>
    </row>
    <row r="36" spans="2:13" ht="11.25" customHeight="1">
      <c r="C36" s="350" t="s">
        <v>57</v>
      </c>
      <c r="D36" s="351"/>
      <c r="E36" s="262">
        <f>E33-E31</f>
        <v>-745149874.18392444</v>
      </c>
      <c r="F36" s="263">
        <f>F33-F31</f>
        <v>-54794297.646538109</v>
      </c>
      <c r="G36" s="263">
        <f>G33-G31</f>
        <v>-215845733.12202486</v>
      </c>
      <c r="H36" s="264">
        <f>H33-H31</f>
        <v>-57761687.484960809</v>
      </c>
      <c r="I36" s="265">
        <f>I33-I31</f>
        <v>-1073551592.437448</v>
      </c>
      <c r="J36" s="111">
        <f>I36-$I$31</f>
        <v>-2975359937.937448</v>
      </c>
    </row>
    <row r="37" spans="2:13" ht="11.25" customHeight="1">
      <c r="E37" s="111">
        <f>SUM(E26:E30)</f>
        <v>830994962.45000005</v>
      </c>
      <c r="F37" s="111">
        <f>SUM(F26:F30)</f>
        <v>62038684</v>
      </c>
      <c r="G37" s="111">
        <f t="shared" ref="G37:H37" si="4">SUM(G26:G30)</f>
        <v>308675033.80000001</v>
      </c>
      <c r="H37" s="111">
        <f t="shared" si="4"/>
        <v>96303405.5</v>
      </c>
      <c r="I37" s="111">
        <f>SUM(E37:H37)</f>
        <v>1298012085.75</v>
      </c>
      <c r="J37" s="111">
        <f>I37-$I$31</f>
        <v>-603796259.75</v>
      </c>
    </row>
    <row r="38" spans="2:13" ht="11.25" customHeight="1">
      <c r="E38" s="111"/>
      <c r="F38" s="111"/>
      <c r="G38" s="111"/>
      <c r="H38" s="111"/>
    </row>
    <row r="39" spans="2:13" ht="10.5" customHeight="1"/>
    <row r="40" spans="2:13" ht="10.5" customHeight="1"/>
    <row r="41" spans="2:13" s="198" customFormat="1">
      <c r="B41" s="87" t="s">
        <v>253</v>
      </c>
      <c r="C41" s="209"/>
      <c r="M41"/>
    </row>
    <row r="42" spans="2:13">
      <c r="B42" s="127" t="s">
        <v>128</v>
      </c>
      <c r="C42" s="88"/>
    </row>
    <row r="43" spans="2:13" ht="18" customHeight="1">
      <c r="C43" s="53" t="s">
        <v>4</v>
      </c>
      <c r="D43" s="136" t="s">
        <v>54</v>
      </c>
      <c r="E43" s="136" t="s">
        <v>55</v>
      </c>
      <c r="F43" s="137" t="s">
        <v>97</v>
      </c>
      <c r="G43" s="137" t="s">
        <v>117</v>
      </c>
      <c r="H43" s="229" t="s">
        <v>118</v>
      </c>
    </row>
    <row r="44" spans="2:13">
      <c r="C44" s="134" t="s">
        <v>3</v>
      </c>
      <c r="D44" s="138">
        <v>0.5718966102888664</v>
      </c>
      <c r="E44" s="138">
        <v>0.50521867742752669</v>
      </c>
      <c r="F44" s="138">
        <v>0.5948221501793769</v>
      </c>
      <c r="G44" s="138">
        <v>0.65019185441075111</v>
      </c>
      <c r="H44" s="135">
        <f>AVERAGE(D44:G44)</f>
        <v>0.58053232307663027</v>
      </c>
      <c r="I44" s="132"/>
    </row>
    <row r="45" spans="2:13">
      <c r="C45" s="134" t="s">
        <v>5</v>
      </c>
      <c r="D45" s="138">
        <v>0.51370481137617752</v>
      </c>
      <c r="E45" s="138">
        <v>0.50107757895330651</v>
      </c>
      <c r="F45" s="138">
        <v>0.64021484710138443</v>
      </c>
      <c r="G45" s="138">
        <v>0.7442573214480328</v>
      </c>
      <c r="H45" s="135">
        <f>AVERAGE(D45:G45)</f>
        <v>0.59981363971972534</v>
      </c>
      <c r="I45" s="132"/>
    </row>
    <row r="46" spans="2:13">
      <c r="C46" s="134" t="s">
        <v>6</v>
      </c>
      <c r="D46" s="138">
        <v>0.67898116921163565</v>
      </c>
      <c r="E46" s="138">
        <v>0.67673414665710818</v>
      </c>
      <c r="F46" s="138">
        <v>0.75035614889108837</v>
      </c>
      <c r="G46" s="138">
        <v>0.82030538727017599</v>
      </c>
      <c r="H46" s="135">
        <f>AVERAGE(D46:G46)</f>
        <v>0.73159421300750216</v>
      </c>
      <c r="I46" s="132"/>
    </row>
    <row r="47" spans="2:13">
      <c r="C47" s="134" t="s">
        <v>7</v>
      </c>
      <c r="D47" s="138">
        <v>1.0034679928029138</v>
      </c>
      <c r="E47" s="138">
        <v>0.75379845715960192</v>
      </c>
      <c r="F47" s="138">
        <v>0.83858778395864841</v>
      </c>
      <c r="G47" s="138">
        <v>0.84330970156559037</v>
      </c>
      <c r="H47" s="135">
        <f>AVERAGE(D47:G47)</f>
        <v>0.85979098387168862</v>
      </c>
      <c r="I47" s="132"/>
    </row>
    <row r="49" spans="2:22">
      <c r="B49" s="87" t="s">
        <v>252</v>
      </c>
      <c r="C49" s="87"/>
      <c r="L49" s="111"/>
      <c r="M49" s="111"/>
      <c r="N49" s="111"/>
    </row>
    <row r="50" spans="2:22">
      <c r="B50" s="87"/>
      <c r="C50" s="165" t="s">
        <v>226</v>
      </c>
    </row>
    <row r="51" spans="2:22" ht="14.25" thickBot="1">
      <c r="B51" s="87"/>
      <c r="C51" s="199" t="s">
        <v>227</v>
      </c>
    </row>
    <row r="52" spans="2:22" s="198" customFormat="1" ht="14.25" thickBot="1">
      <c r="B52" s="87"/>
      <c r="C52" s="355" t="s">
        <v>4</v>
      </c>
      <c r="D52" s="358" t="s">
        <v>129</v>
      </c>
      <c r="E52" s="358" t="s">
        <v>223</v>
      </c>
      <c r="F52" s="361"/>
      <c r="G52" s="361"/>
      <c r="H52" s="361"/>
      <c r="I52" s="361"/>
      <c r="J52" s="362"/>
    </row>
    <row r="53" spans="2:22" ht="14.25" customHeight="1">
      <c r="C53" s="356"/>
      <c r="D53" s="359"/>
      <c r="E53" s="363" t="s">
        <v>222</v>
      </c>
      <c r="F53" s="364"/>
      <c r="G53" s="383" t="s">
        <v>224</v>
      </c>
      <c r="H53" s="384"/>
      <c r="I53" s="406" t="s">
        <v>225</v>
      </c>
      <c r="J53" s="407"/>
    </row>
    <row r="54" spans="2:22" ht="14.25" customHeight="1" thickBot="1">
      <c r="C54" s="357"/>
      <c r="D54" s="360"/>
      <c r="E54" s="235" t="s">
        <v>220</v>
      </c>
      <c r="F54" s="236" t="s">
        <v>221</v>
      </c>
      <c r="G54" s="227" t="s">
        <v>220</v>
      </c>
      <c r="H54" s="225" t="s">
        <v>221</v>
      </c>
      <c r="I54" s="225" t="s">
        <v>220</v>
      </c>
      <c r="J54" s="226" t="s">
        <v>221</v>
      </c>
    </row>
    <row r="55" spans="2:22" ht="13.5" customHeight="1" thickTop="1">
      <c r="C55" s="205" t="s">
        <v>3</v>
      </c>
      <c r="D55" s="230">
        <v>819986609.58333337</v>
      </c>
      <c r="E55" s="237">
        <v>0.58053232307663027</v>
      </c>
      <c r="F55" s="238">
        <f>D55*E55</f>
        <v>476028731.35314238</v>
      </c>
      <c r="G55" s="223">
        <v>0.61536208874369069</v>
      </c>
      <c r="H55" s="90">
        <f>D55*G55</f>
        <v>504588672.81505722</v>
      </c>
      <c r="I55" s="223">
        <v>0.65019185441075111</v>
      </c>
      <c r="J55" s="224">
        <f>D55*I55</f>
        <v>533148614.27697212</v>
      </c>
    </row>
    <row r="56" spans="2:22" ht="13.5" customHeight="1">
      <c r="C56" s="204" t="s">
        <v>5</v>
      </c>
      <c r="D56" s="231">
        <v>61651015</v>
      </c>
      <c r="E56" s="239">
        <v>0.59981363971972534</v>
      </c>
      <c r="F56" s="240">
        <f t="shared" ref="F56:F58" si="5">D56*E56</f>
        <v>36979119.699565381</v>
      </c>
      <c r="G56" s="166">
        <v>0.67203548058387907</v>
      </c>
      <c r="H56" s="85">
        <f t="shared" ref="H56:H58" si="6">D56*G56</f>
        <v>41431669.494008936</v>
      </c>
      <c r="I56" s="166">
        <v>0.7442573214480328</v>
      </c>
      <c r="J56" s="220">
        <f t="shared" ref="J56:J58" si="7">D56*I56</f>
        <v>45884219.288452491</v>
      </c>
    </row>
    <row r="57" spans="2:22" ht="13.5" customHeight="1">
      <c r="C57" s="204" t="s">
        <v>6</v>
      </c>
      <c r="D57" s="231">
        <v>303328928.41666663</v>
      </c>
      <c r="E57" s="239">
        <v>0.73159421300750216</v>
      </c>
      <c r="F57" s="240">
        <f t="shared" si="5"/>
        <v>221913688.66740018</v>
      </c>
      <c r="G57" s="166">
        <v>0.77594980013883907</v>
      </c>
      <c r="H57" s="85">
        <f t="shared" si="6"/>
        <v>235368021.3812407</v>
      </c>
      <c r="I57" s="166">
        <v>0.82030538727017599</v>
      </c>
      <c r="J57" s="220">
        <f t="shared" si="7"/>
        <v>248822354.09508121</v>
      </c>
    </row>
    <row r="58" spans="2:22" ht="13.5" customHeight="1" thickBot="1">
      <c r="C58" s="228" t="s">
        <v>7</v>
      </c>
      <c r="D58" s="232">
        <v>93943641.25</v>
      </c>
      <c r="E58" s="239">
        <v>0.85979098387168862</v>
      </c>
      <c r="F58" s="241">
        <f t="shared" si="5"/>
        <v>80771895.738826454</v>
      </c>
      <c r="G58" s="166">
        <v>0.93162948833730119</v>
      </c>
      <c r="H58" s="168">
        <f t="shared" si="6"/>
        <v>87520666.430280477</v>
      </c>
      <c r="I58" s="166">
        <v>1.0034679928029138</v>
      </c>
      <c r="J58" s="221">
        <f t="shared" si="7"/>
        <v>94269437.121734515</v>
      </c>
    </row>
    <row r="59" spans="2:22" ht="13.5" customHeight="1" thickTop="1" thickBot="1">
      <c r="C59" s="92" t="s">
        <v>67</v>
      </c>
      <c r="D59" s="233">
        <f>SUM(D55:D58)</f>
        <v>1278910194.25</v>
      </c>
      <c r="E59" s="242">
        <f>AVERAGE(E55:E58)</f>
        <v>0.69293278991888663</v>
      </c>
      <c r="F59" s="243">
        <f t="shared" ref="F59" si="8">SUM(F55:F58)</f>
        <v>815693435.45893455</v>
      </c>
      <c r="G59" s="234">
        <f>AVERAGE(G55:G58)</f>
        <v>0.74874421445092754</v>
      </c>
      <c r="H59" s="167">
        <f>SUM(H55:H58)</f>
        <v>868909030.12058735</v>
      </c>
      <c r="I59" s="197">
        <f>AVERAGE(I55:I58)</f>
        <v>0.80455563898296834</v>
      </c>
      <c r="J59" s="222">
        <f>SUM(J55:J58)</f>
        <v>922124624.78224027</v>
      </c>
      <c r="N59" s="334">
        <f t="shared" ref="N59:Q62" si="9">N64+N69+N74+N79</f>
        <v>0</v>
      </c>
      <c r="O59" s="334">
        <f t="shared" si="9"/>
        <v>0</v>
      </c>
      <c r="P59" s="334">
        <f t="shared" si="9"/>
        <v>0</v>
      </c>
      <c r="Q59" s="334">
        <f t="shared" si="9"/>
        <v>0</v>
      </c>
      <c r="R59" s="334">
        <f t="shared" ref="R59:T62" si="10">R64+R69+R74+R79</f>
        <v>1192302347.1533146</v>
      </c>
      <c r="S59" s="334">
        <f t="shared" si="10"/>
        <v>1170668492.6047018</v>
      </c>
      <c r="T59" s="334">
        <f t="shared" si="10"/>
        <v>2362970839.7580161</v>
      </c>
      <c r="U59" s="334">
        <f t="shared" ref="U59:U62" si="11">U64+U69+U74+U79</f>
        <v>2359049671</v>
      </c>
      <c r="V59">
        <f>U59/T59</f>
        <v>0.9983405767468474</v>
      </c>
    </row>
    <row r="60" spans="2:22" ht="10.5" customHeight="1">
      <c r="N60" s="334">
        <f t="shared" si="9"/>
        <v>0</v>
      </c>
      <c r="O60" s="334">
        <f t="shared" si="9"/>
        <v>0</v>
      </c>
      <c r="P60" s="334">
        <f t="shared" si="9"/>
        <v>0</v>
      </c>
      <c r="Q60" s="334">
        <f t="shared" si="9"/>
        <v>0</v>
      </c>
      <c r="R60" s="334">
        <f t="shared" si="10"/>
        <v>91723566.664833426</v>
      </c>
      <c r="S60" s="334">
        <f t="shared" si="10"/>
        <v>87061056.721065223</v>
      </c>
      <c r="T60" s="334">
        <f t="shared" si="10"/>
        <v>178784623.38589865</v>
      </c>
      <c r="U60" s="334">
        <f t="shared" si="11"/>
        <v>169070210</v>
      </c>
      <c r="V60">
        <f t="shared" ref="V60:V63" si="12">U60/T60</f>
        <v>0.94566415611184573</v>
      </c>
    </row>
    <row r="61" spans="2:22">
      <c r="B61" s="87" t="s">
        <v>264</v>
      </c>
      <c r="N61" s="334">
        <f t="shared" si="9"/>
        <v>0</v>
      </c>
      <c r="O61" s="334">
        <f t="shared" si="9"/>
        <v>0</v>
      </c>
      <c r="P61" s="334">
        <f t="shared" si="9"/>
        <v>0</v>
      </c>
      <c r="Q61" s="334">
        <f t="shared" si="9"/>
        <v>0</v>
      </c>
      <c r="R61" s="334">
        <f t="shared" si="10"/>
        <v>429501847.67109346</v>
      </c>
      <c r="S61" s="334">
        <f t="shared" si="10"/>
        <v>452386751.78136605</v>
      </c>
      <c r="T61" s="334">
        <f t="shared" si="10"/>
        <v>881888599.45245945</v>
      </c>
      <c r="U61" s="334">
        <f t="shared" si="11"/>
        <v>825647208</v>
      </c>
      <c r="V61">
        <f t="shared" si="12"/>
        <v>0.93622619513691618</v>
      </c>
    </row>
    <row r="62" spans="2:22" ht="14.25" thickBot="1">
      <c r="B62" s="127"/>
      <c r="C62" s="126" t="s">
        <v>254</v>
      </c>
      <c r="N62" s="334">
        <f t="shared" si="9"/>
        <v>0</v>
      </c>
      <c r="O62" s="334">
        <f t="shared" si="9"/>
        <v>0</v>
      </c>
      <c r="P62" s="334">
        <f t="shared" si="9"/>
        <v>0</v>
      </c>
      <c r="Q62" s="334">
        <f t="shared" si="9"/>
        <v>0</v>
      </c>
      <c r="R62" s="334">
        <f t="shared" si="10"/>
        <v>120999985.44571467</v>
      </c>
      <c r="S62" s="334">
        <f t="shared" si="10"/>
        <v>136522813.95881712</v>
      </c>
      <c r="T62" s="334">
        <f t="shared" si="10"/>
        <v>257522799.40453178</v>
      </c>
      <c r="U62" s="334">
        <f t="shared" si="11"/>
        <v>262154302</v>
      </c>
      <c r="V62">
        <f t="shared" si="12"/>
        <v>1.0179848254452717</v>
      </c>
    </row>
    <row r="63" spans="2:22" ht="46.5" customHeight="1" thickBot="1">
      <c r="C63" s="278" t="s">
        <v>104</v>
      </c>
      <c r="D63" s="279" t="s">
        <v>59</v>
      </c>
      <c r="E63" s="279" t="s">
        <v>119</v>
      </c>
      <c r="F63" s="279" t="s">
        <v>265</v>
      </c>
      <c r="G63" s="327" t="s">
        <v>263</v>
      </c>
      <c r="H63" s="317" t="s">
        <v>261</v>
      </c>
      <c r="I63" s="318" t="s">
        <v>262</v>
      </c>
      <c r="J63" s="318" t="s">
        <v>273</v>
      </c>
      <c r="K63" s="319" t="s">
        <v>260</v>
      </c>
      <c r="T63" s="335">
        <f>SUM(T59:T62)</f>
        <v>3681166862.000906</v>
      </c>
      <c r="U63" s="337">
        <f>SUM(U59:U62)</f>
        <v>3615921391</v>
      </c>
      <c r="V63">
        <f t="shared" si="12"/>
        <v>0.98227587244837855</v>
      </c>
    </row>
    <row r="64" spans="2:22" ht="14.25" thickTop="1">
      <c r="C64" s="385" t="s">
        <v>99</v>
      </c>
      <c r="D64" s="95" t="s">
        <v>60</v>
      </c>
      <c r="E64" s="96">
        <f>'8월_매출 현황'!D52</f>
        <v>0.36975780444665063</v>
      </c>
      <c r="F64" s="269">
        <f>$E$31*E64</f>
        <v>453903332.9456414</v>
      </c>
      <c r="G64" s="305">
        <f>E64*$E$37</f>
        <v>307266872.8217389</v>
      </c>
      <c r="H64" s="304">
        <f>(F64*$E$13)-F64</f>
        <v>10358833.269965231</v>
      </c>
      <c r="I64" s="90">
        <f>(G64*$E$14)-G64</f>
        <v>-128888521.3380433</v>
      </c>
      <c r="J64" s="90">
        <f>$E$34*E64</f>
        <v>445667436.48236465</v>
      </c>
      <c r="K64" s="305">
        <f>SUM(H64:J64)</f>
        <v>327137748.41428661</v>
      </c>
      <c r="R64" s="269">
        <v>453903332.9456414</v>
      </c>
      <c r="S64" s="333">
        <f>$E$34*E64</f>
        <v>445667436.48236465</v>
      </c>
      <c r="T64" s="333">
        <f>R64+S64</f>
        <v>899570769.42800605</v>
      </c>
      <c r="U64" s="336">
        <v>892634493</v>
      </c>
      <c r="V64">
        <f>U64/T64</f>
        <v>0.99228934880530129</v>
      </c>
    </row>
    <row r="65" spans="3:22">
      <c r="C65" s="354"/>
      <c r="D65" s="89" t="s">
        <v>61</v>
      </c>
      <c r="E65" s="52">
        <f>'8월_매출 현황'!E52</f>
        <v>0.36008366874010866</v>
      </c>
      <c r="F65" s="267">
        <f>$F$31*E65</f>
        <v>33129838.761626162</v>
      </c>
      <c r="G65" s="306">
        <f>$F$37*E65</f>
        <v>22339116.938528281</v>
      </c>
      <c r="H65" s="304">
        <f>(F65*$F$13)-F65</f>
        <v>-1386163.3705678098</v>
      </c>
      <c r="I65" s="90">
        <f>(G65*$F$14)-G65</f>
        <v>-8939809.8995050639</v>
      </c>
      <c r="J65" s="90">
        <f>$F$34*E65</f>
        <v>31445776.439606339</v>
      </c>
      <c r="K65" s="305">
        <f t="shared" ref="K65:K88" si="13">SUM(H65:J65)</f>
        <v>21119803.169533465</v>
      </c>
      <c r="R65" s="267">
        <v>33129838.761626162</v>
      </c>
      <c r="S65" s="333">
        <f>$F$34*E65</f>
        <v>31445776.439606339</v>
      </c>
      <c r="T65" s="333">
        <f>R65+S65</f>
        <v>64575615.2012325</v>
      </c>
      <c r="U65" s="336">
        <v>64404270</v>
      </c>
      <c r="V65">
        <f t="shared" ref="V65:V83" si="14">U65/T65</f>
        <v>0.99734659591397545</v>
      </c>
    </row>
    <row r="66" spans="3:22">
      <c r="C66" s="354"/>
      <c r="D66" s="89" t="s">
        <v>62</v>
      </c>
      <c r="E66" s="52">
        <f>'8월_매출 현황'!F52</f>
        <v>7.4694761925228698E-2</v>
      </c>
      <c r="F66" s="267">
        <f>$G$31*E66</f>
        <v>32990480.432149798</v>
      </c>
      <c r="G66" s="306">
        <f>E66*$G$37</f>
        <v>23056408.161952924</v>
      </c>
      <c r="H66" s="304">
        <f>(F66*$G$13)-F66</f>
        <v>4560945.5725650117</v>
      </c>
      <c r="I66" s="90">
        <f>(G66*$G$14)-G66</f>
        <v>-6188473.3779292256</v>
      </c>
      <c r="J66" s="90">
        <f>$G$34*E66</f>
        <v>34748293.548287377</v>
      </c>
      <c r="K66" s="306">
        <f t="shared" si="13"/>
        <v>33120765.742923163</v>
      </c>
      <c r="R66" s="267">
        <v>32990480.432149798</v>
      </c>
      <c r="S66" s="333">
        <f>$G$34*E66</f>
        <v>34748293.548287377</v>
      </c>
      <c r="T66" s="333">
        <f>R66+S66</f>
        <v>67738773.980437174</v>
      </c>
      <c r="U66" s="336">
        <v>65853211</v>
      </c>
      <c r="V66">
        <f t="shared" si="14"/>
        <v>0.97216419976863289</v>
      </c>
    </row>
    <row r="67" spans="3:22">
      <c r="C67" s="354"/>
      <c r="D67" s="89" t="s">
        <v>63</v>
      </c>
      <c r="E67" s="52">
        <f>'8월_매출 현황'!G52</f>
        <v>9.2451721622788141E-2</v>
      </c>
      <c r="F67" s="267">
        <f>$H$31*E67</f>
        <v>12995243.941843707</v>
      </c>
      <c r="G67" s="306">
        <f>E67*$H$37</f>
        <v>8903415.6366124842</v>
      </c>
      <c r="H67" s="304">
        <f>(F67*$H$13)-F67</f>
        <v>1077987.5504666809</v>
      </c>
      <c r="I67" s="90">
        <f>(G67*$H$14)-G67</f>
        <v>-1248339.1465908596</v>
      </c>
      <c r="J67" s="90">
        <f>$H$34*E67</f>
        <v>14662375.904315509</v>
      </c>
      <c r="K67" s="306">
        <f t="shared" si="13"/>
        <v>14492024.308191329</v>
      </c>
      <c r="R67" s="267">
        <v>12995243.941843707</v>
      </c>
      <c r="S67" s="333">
        <f>$H$34*E67</f>
        <v>14662375.904315509</v>
      </c>
      <c r="T67" s="333">
        <f>R67+S67</f>
        <v>27657619.846159216</v>
      </c>
      <c r="U67" s="336">
        <v>25695929</v>
      </c>
      <c r="V67">
        <f t="shared" si="14"/>
        <v>0.92907231869297557</v>
      </c>
    </row>
    <row r="68" spans="3:22">
      <c r="C68" s="354"/>
      <c r="D68" s="349" t="s">
        <v>71</v>
      </c>
      <c r="E68" s="349"/>
      <c r="F68" s="271">
        <f>SUM(F64:F67)</f>
        <v>533018896.0812611</v>
      </c>
      <c r="G68" s="308">
        <f>SUM(G64:G67)</f>
        <v>361565813.55883259</v>
      </c>
      <c r="H68" s="307">
        <f>SUM(H64:H67)</f>
        <v>14611603.022429114</v>
      </c>
      <c r="I68" s="33">
        <f>SUM(I64:I67)</f>
        <v>-145265143.76206842</v>
      </c>
      <c r="J68" s="33">
        <f>SUM(J64:J67)</f>
        <v>526523882.37457389</v>
      </c>
      <c r="K68" s="308">
        <f t="shared" si="13"/>
        <v>395870341.63493454</v>
      </c>
      <c r="R68" s="271">
        <v>533018896.0812611</v>
      </c>
      <c r="S68" s="335">
        <f>SUM(S64:S67)</f>
        <v>526523882.37457389</v>
      </c>
      <c r="T68" s="335">
        <f>SUM(T64:T67)</f>
        <v>1059542778.455835</v>
      </c>
      <c r="U68" s="337">
        <f>SUM(U64:U67)</f>
        <v>1048587903</v>
      </c>
      <c r="V68">
        <f t="shared" si="14"/>
        <v>0.98966075209176496</v>
      </c>
    </row>
    <row r="69" spans="3:22">
      <c r="C69" s="354" t="s">
        <v>98</v>
      </c>
      <c r="D69" s="89" t="s">
        <v>60</v>
      </c>
      <c r="E69" s="52">
        <f>'8월_매출 현황'!D53</f>
        <v>0.12506844612111664</v>
      </c>
      <c r="F69" s="267">
        <f>$E$31*E69</f>
        <v>153530186.13268504</v>
      </c>
      <c r="G69" s="306">
        <f>E69*$E$37</f>
        <v>103931248.68809718</v>
      </c>
      <c r="H69" s="309">
        <f>(F69*$E$13)-F69</f>
        <v>3503815.6466801465</v>
      </c>
      <c r="I69" s="85">
        <f>(G69*$E$14)-G69</f>
        <v>-43595799.446941145</v>
      </c>
      <c r="J69" s="85">
        <f>$E$34*E69</f>
        <v>150744441.62455243</v>
      </c>
      <c r="K69" s="306">
        <f t="shared" si="13"/>
        <v>110652457.82429144</v>
      </c>
      <c r="R69" s="267">
        <v>153530186.13268504</v>
      </c>
      <c r="S69" s="333">
        <f>$E$34*E69</f>
        <v>150744441.62455243</v>
      </c>
      <c r="T69" s="333">
        <f>R69+S69</f>
        <v>304274627.75723743</v>
      </c>
      <c r="U69" s="336">
        <v>315444018</v>
      </c>
      <c r="V69">
        <f t="shared" si="14"/>
        <v>1.0367082537413339</v>
      </c>
    </row>
    <row r="70" spans="3:22">
      <c r="C70" s="354"/>
      <c r="D70" s="89" t="s">
        <v>61</v>
      </c>
      <c r="E70" s="52">
        <f>'8월_매출 현황'!E53</f>
        <v>3.1867735131481188E-2</v>
      </c>
      <c r="F70" s="267">
        <f>$F$31*E70</f>
        <v>2932021.1335832286</v>
      </c>
      <c r="G70" s="306">
        <f>$F$37*E70</f>
        <v>1977032.3496176598</v>
      </c>
      <c r="H70" s="309">
        <f>(F70*$F$13)-F70</f>
        <v>-122676.730374292</v>
      </c>
      <c r="I70" s="85">
        <f>(G70*$F$14)-G70</f>
        <v>-791181.38014985062</v>
      </c>
      <c r="J70" s="85">
        <f>$F$34*E70</f>
        <v>2782980.0726242289</v>
      </c>
      <c r="K70" s="306">
        <f t="shared" si="13"/>
        <v>1869121.9621000863</v>
      </c>
      <c r="R70" s="267">
        <v>2932021.1335832286</v>
      </c>
      <c r="S70" s="333">
        <f>$F$34*E70</f>
        <v>2782980.0726242289</v>
      </c>
      <c r="T70" s="333">
        <f>R70+S70</f>
        <v>5715001.2062074579</v>
      </c>
      <c r="U70" s="336">
        <v>6094990</v>
      </c>
      <c r="V70">
        <f t="shared" si="14"/>
        <v>1.0664897136644189</v>
      </c>
    </row>
    <row r="71" spans="3:22">
      <c r="C71" s="354"/>
      <c r="D71" s="89" t="s">
        <v>62</v>
      </c>
      <c r="E71" s="52">
        <f>'8월_매출 현황'!F53</f>
        <v>0.39819368436232039</v>
      </c>
      <c r="F71" s="267">
        <f>$G$31*E71</f>
        <v>175870444.10571688</v>
      </c>
      <c r="G71" s="306">
        <f>E71*$G$37</f>
        <v>122912448.97948578</v>
      </c>
      <c r="H71" s="309">
        <f>(F71*$G$13)-F71</f>
        <v>24314151.018162102</v>
      </c>
      <c r="I71" s="85">
        <f>(G71*$G$14)-G71</f>
        <v>-32990412.599514112</v>
      </c>
      <c r="J71" s="85">
        <f>$G$34*E71</f>
        <v>185241249.54232705</v>
      </c>
      <c r="K71" s="306">
        <f t="shared" si="13"/>
        <v>176564987.96097505</v>
      </c>
      <c r="R71" s="267">
        <v>175870444.10571688</v>
      </c>
      <c r="S71" s="333">
        <f>$G$34*E71</f>
        <v>185241249.54232705</v>
      </c>
      <c r="T71" s="333">
        <f>R71+S71</f>
        <v>361111693.64804393</v>
      </c>
      <c r="U71" s="336">
        <v>343361775</v>
      </c>
      <c r="V71">
        <f t="shared" si="14"/>
        <v>0.95084645842196458</v>
      </c>
    </row>
    <row r="72" spans="3:22">
      <c r="C72" s="354"/>
      <c r="D72" s="89" t="s">
        <v>63</v>
      </c>
      <c r="E72" s="52">
        <f>'8월_매출 현황'!G53</f>
        <v>0.41628290631494325</v>
      </c>
      <c r="F72" s="267">
        <f>$H$31*E72</f>
        <v>58513760.711287156</v>
      </c>
      <c r="G72" s="306">
        <f>E72*$H$37</f>
        <v>40089461.529566489</v>
      </c>
      <c r="H72" s="309">
        <f>(F72*$H$13)-F72</f>
        <v>4853860.8324735165</v>
      </c>
      <c r="I72" s="85">
        <f>(G72*$H$14)-G72</f>
        <v>-5620903.9581743032</v>
      </c>
      <c r="J72" s="85">
        <f>$H$34*E72</f>
        <v>66020365.524768904</v>
      </c>
      <c r="K72" s="306">
        <f t="shared" si="13"/>
        <v>65253322.399068117</v>
      </c>
      <c r="R72" s="267">
        <v>58513760.711287156</v>
      </c>
      <c r="S72" s="333">
        <f>$H$34*E72</f>
        <v>66020365.524768904</v>
      </c>
      <c r="T72" s="333">
        <f>R72+S72</f>
        <v>124534126.23605606</v>
      </c>
      <c r="U72" s="336">
        <v>116200727</v>
      </c>
      <c r="V72">
        <f t="shared" si="14"/>
        <v>0.93308340863724382</v>
      </c>
    </row>
    <row r="73" spans="3:22">
      <c r="C73" s="354"/>
      <c r="D73" s="349" t="s">
        <v>71</v>
      </c>
      <c r="E73" s="349"/>
      <c r="F73" s="271">
        <f>SUM(F69:F72)</f>
        <v>390846412.08327228</v>
      </c>
      <c r="G73" s="308">
        <f>SUM(G69:G72)</f>
        <v>268910191.54676712</v>
      </c>
      <c r="H73" s="307">
        <f>SUM(H69:H72)</f>
        <v>32549150.766941473</v>
      </c>
      <c r="I73" s="33">
        <f>SUM(I69:I72)</f>
        <v>-82998297.384779409</v>
      </c>
      <c r="J73" s="33">
        <f>SUM(J69:J72)</f>
        <v>404789036.76427263</v>
      </c>
      <c r="K73" s="308">
        <f t="shared" si="13"/>
        <v>354339890.14643466</v>
      </c>
      <c r="R73" s="271">
        <v>390846412.08327228</v>
      </c>
      <c r="S73" s="335">
        <f>SUM(S69:S72)</f>
        <v>404789036.76427263</v>
      </c>
      <c r="T73" s="335">
        <f>SUM(T69:T72)</f>
        <v>795635448.84754491</v>
      </c>
      <c r="U73" s="337">
        <f>SUM(U69:U72)</f>
        <v>781101510</v>
      </c>
      <c r="V73">
        <f t="shared" si="14"/>
        <v>0.98173291691741882</v>
      </c>
    </row>
    <row r="74" spans="3:22">
      <c r="C74" s="354" t="s">
        <v>100</v>
      </c>
      <c r="D74" s="89" t="s">
        <v>60</v>
      </c>
      <c r="E74" s="52">
        <f>'8월_매출 현황'!D54</f>
        <v>8.4384928387707697E-2</v>
      </c>
      <c r="F74" s="267">
        <f>$E$31*E74</f>
        <v>103588348.33217473</v>
      </c>
      <c r="G74" s="306">
        <f>E74*$E$37</f>
        <v>70123450.396889105</v>
      </c>
      <c r="H74" s="309">
        <f>(F74*$E$13)-F74</f>
        <v>2364059.373876825</v>
      </c>
      <c r="I74" s="85">
        <f>(G74*$E$14)-G74</f>
        <v>-29414520.83583422</v>
      </c>
      <c r="J74" s="85">
        <f>$E$34*E74</f>
        <v>101708778.71956779</v>
      </c>
      <c r="K74" s="306">
        <f t="shared" si="13"/>
        <v>74658317.257610396</v>
      </c>
      <c r="R74" s="267">
        <v>103588348.33217473</v>
      </c>
      <c r="S74" s="333">
        <f>$E$34*E74</f>
        <v>101708778.71956779</v>
      </c>
      <c r="T74" s="333">
        <f>R74+S74</f>
        <v>205297127.05174252</v>
      </c>
      <c r="U74" s="336">
        <v>197561290</v>
      </c>
      <c r="V74">
        <f t="shared" si="14"/>
        <v>0.96231882460881779</v>
      </c>
    </row>
    <row r="75" spans="3:22">
      <c r="C75" s="354"/>
      <c r="D75" s="89" t="s">
        <v>61</v>
      </c>
      <c r="E75" s="52">
        <f>'8월_매출 현황'!E54</f>
        <v>0.31512700583206937</v>
      </c>
      <c r="F75" s="267">
        <f>$F$31*E75</f>
        <v>28993558.439290565</v>
      </c>
      <c r="G75" s="306">
        <f>$F$37*E75</f>
        <v>19550064.734681908</v>
      </c>
      <c r="H75" s="309">
        <f>(F75*$F$13)-F75</f>
        <v>-1213100.0389145575</v>
      </c>
      <c r="I75" s="85">
        <f>(G75*$F$14)-G75</f>
        <v>-7823669.2494161054</v>
      </c>
      <c r="J75" s="85">
        <f>$F$34*E75</f>
        <v>27519752.312426925</v>
      </c>
      <c r="K75" s="306">
        <f t="shared" si="13"/>
        <v>18482983.024096262</v>
      </c>
      <c r="R75" s="267">
        <v>28993558.439290565</v>
      </c>
      <c r="S75" s="333">
        <f>$F$34*E75</f>
        <v>27519752.312426925</v>
      </c>
      <c r="T75" s="333">
        <f>R75+S75</f>
        <v>56513310.751717493</v>
      </c>
      <c r="U75" s="336">
        <v>45640670</v>
      </c>
      <c r="V75">
        <f t="shared" si="14"/>
        <v>0.80760920556424731</v>
      </c>
    </row>
    <row r="76" spans="3:22">
      <c r="C76" s="354"/>
      <c r="D76" s="89" t="s">
        <v>62</v>
      </c>
      <c r="E76" s="52">
        <f>'8월_매출 현황'!F54</f>
        <v>0.49955990359989749</v>
      </c>
      <c r="F76" s="267">
        <f>$G$31*E76</f>
        <v>220640923.13322675</v>
      </c>
      <c r="G76" s="306">
        <f>E76*$G$37</f>
        <v>154201670.1288231</v>
      </c>
      <c r="H76" s="309">
        <f>(F76*$G$13)-F76</f>
        <v>30503685.557439178</v>
      </c>
      <c r="I76" s="85">
        <f>(G76*$G$14)-G76</f>
        <v>-41388620.626484305</v>
      </c>
      <c r="J76" s="85">
        <f>$G$34*E76</f>
        <v>232397208.69075161</v>
      </c>
      <c r="K76" s="306">
        <f t="shared" si="13"/>
        <v>221512273.62170649</v>
      </c>
      <c r="R76" s="267">
        <v>220640923.13322675</v>
      </c>
      <c r="S76" s="333">
        <f>$G$34*E76</f>
        <v>232397208.69075161</v>
      </c>
      <c r="T76" s="333">
        <f>R76+S76</f>
        <v>453038131.82397836</v>
      </c>
      <c r="U76" s="336">
        <v>416432222</v>
      </c>
      <c r="V76">
        <f t="shared" si="14"/>
        <v>0.91919905356178477</v>
      </c>
    </row>
    <row r="77" spans="3:22">
      <c r="C77" s="354"/>
      <c r="D77" s="89" t="s">
        <v>63</v>
      </c>
      <c r="E77" s="52">
        <f>'8월_매출 현황'!G54</f>
        <v>0.34892305203337726</v>
      </c>
      <c r="F77" s="267">
        <f>$H$31*E77</f>
        <v>49045492.052672677</v>
      </c>
      <c r="G77" s="306">
        <f>E77*$H$37</f>
        <v>33602478.168267928</v>
      </c>
      <c r="H77" s="309">
        <f>(F77*$H$13)-F77</f>
        <v>4068444.5844879374</v>
      </c>
      <c r="I77" s="85">
        <f>(G77*$H$14)-G77</f>
        <v>-4711370.4034459107</v>
      </c>
      <c r="J77" s="85">
        <f>$H$34*E77</f>
        <v>55337432.995226987</v>
      </c>
      <c r="K77" s="306">
        <f t="shared" si="13"/>
        <v>54694507.17626901</v>
      </c>
      <c r="R77" s="267">
        <v>49045492.052672677</v>
      </c>
      <c r="S77" s="333">
        <f>$H$34*E77</f>
        <v>55337432.995226987</v>
      </c>
      <c r="T77" s="333">
        <f>R77+S77</f>
        <v>104382925.04789966</v>
      </c>
      <c r="U77" s="336">
        <v>119029266</v>
      </c>
      <c r="V77">
        <f t="shared" si="14"/>
        <v>1.1403135708774148</v>
      </c>
    </row>
    <row r="78" spans="3:22">
      <c r="C78" s="354"/>
      <c r="D78" s="349" t="s">
        <v>71</v>
      </c>
      <c r="E78" s="349"/>
      <c r="F78" s="271">
        <f>SUM(F74:F77)</f>
        <v>402268321.95736474</v>
      </c>
      <c r="G78" s="308">
        <f>SUM(G74:G77)</f>
        <v>277477663.428662</v>
      </c>
      <c r="H78" s="307">
        <f>SUM(H74:H77)</f>
        <v>35723089.476889387</v>
      </c>
      <c r="I78" s="33">
        <f>SUM(I74:I77)</f>
        <v>-83338181.115180537</v>
      </c>
      <c r="J78" s="33">
        <f>SUM(J74:J77)</f>
        <v>416963172.71797329</v>
      </c>
      <c r="K78" s="308">
        <f t="shared" si="13"/>
        <v>369348081.07968211</v>
      </c>
      <c r="R78" s="271">
        <v>402268321.95736474</v>
      </c>
      <c r="S78" s="335">
        <f>SUM(S74:S77)</f>
        <v>416963172.71797329</v>
      </c>
      <c r="T78" s="335">
        <f>SUM(T74:T77)</f>
        <v>819231494.67533803</v>
      </c>
      <c r="U78" s="337">
        <f>SUM(U74:U77)</f>
        <v>778663448</v>
      </c>
      <c r="V78">
        <f t="shared" si="14"/>
        <v>0.95048036246285283</v>
      </c>
    </row>
    <row r="79" spans="3:22">
      <c r="C79" s="354" t="s">
        <v>101</v>
      </c>
      <c r="D79" s="89" t="s">
        <v>60</v>
      </c>
      <c r="E79" s="52">
        <f>'8월_매출 현황'!D55</f>
        <v>0.39205971975985721</v>
      </c>
      <c r="F79" s="267">
        <f>$E$31*E79</f>
        <v>481280479.74281323</v>
      </c>
      <c r="G79" s="306">
        <f>E79*$E$37</f>
        <v>325799652.10000008</v>
      </c>
      <c r="H79" s="309">
        <f>(F79*$E$13)-F79</f>
        <v>10983625.551702499</v>
      </c>
      <c r="I79" s="85">
        <f>(G79*$E$14)-G79</f>
        <v>-136662423.20882908</v>
      </c>
      <c r="J79" s="85">
        <f>$E$34*E79</f>
        <v>472547835.77821678</v>
      </c>
      <c r="K79" s="306">
        <f t="shared" si="13"/>
        <v>346869038.12109017</v>
      </c>
      <c r="R79" s="267">
        <v>481280479.74281323</v>
      </c>
      <c r="S79" s="333">
        <f>$E$34*E79</f>
        <v>472547835.77821678</v>
      </c>
      <c r="T79" s="333">
        <f>R79+S79</f>
        <v>953828315.52102995</v>
      </c>
      <c r="U79" s="336">
        <v>953409870</v>
      </c>
      <c r="V79">
        <f t="shared" si="14"/>
        <v>0.99956129891069401</v>
      </c>
    </row>
    <row r="80" spans="3:22">
      <c r="C80" s="354"/>
      <c r="D80" s="89" t="s">
        <v>61</v>
      </c>
      <c r="E80" s="52">
        <f>'8월_매출 현황'!E55</f>
        <v>0.2898524426389491</v>
      </c>
      <c r="F80" s="267">
        <f>$F$31*E80</f>
        <v>26668148.330333471</v>
      </c>
      <c r="G80" s="306">
        <f>$F$37*E80</f>
        <v>17982064.09550589</v>
      </c>
      <c r="H80" s="309">
        <f>(F80*$F$13)-F80</f>
        <v>-1115804.1136981025</v>
      </c>
      <c r="I80" s="85">
        <f>(G80*$F$14)-G80</f>
        <v>-7196176.7807071116</v>
      </c>
      <c r="J80" s="85">
        <f>$F$34*E80</f>
        <v>25312547.896407723</v>
      </c>
      <c r="K80" s="306">
        <f t="shared" si="13"/>
        <v>17000567.002002507</v>
      </c>
      <c r="R80" s="267">
        <v>26668148.330333471</v>
      </c>
      <c r="S80" s="333">
        <f>$F$34*E80</f>
        <v>25312547.896407723</v>
      </c>
      <c r="T80" s="333">
        <f>R80+S80</f>
        <v>51980696.226741195</v>
      </c>
      <c r="U80" s="336">
        <v>52930280</v>
      </c>
      <c r="V80">
        <f t="shared" si="14"/>
        <v>1.0182680079758204</v>
      </c>
    </row>
    <row r="81" spans="2:22">
      <c r="C81" s="354"/>
      <c r="D81" s="89" t="s">
        <v>62</v>
      </c>
      <c r="E81" s="52">
        <f>'8월_매출 현황'!F55</f>
        <v>0</v>
      </c>
      <c r="F81" s="267">
        <f>$G$31*E81</f>
        <v>0</v>
      </c>
      <c r="G81" s="306">
        <f>E81*$G$37</f>
        <v>0</v>
      </c>
      <c r="H81" s="309">
        <f>(F81*$G$13)-F81</f>
        <v>0</v>
      </c>
      <c r="I81" s="85">
        <f>(G81*$G$14)-G81</f>
        <v>0</v>
      </c>
      <c r="J81" s="85">
        <f>$G$34*E81</f>
        <v>0</v>
      </c>
      <c r="K81" s="306">
        <f t="shared" si="13"/>
        <v>0</v>
      </c>
      <c r="R81" s="267">
        <v>0</v>
      </c>
      <c r="S81" s="333">
        <f>$G$34*E81</f>
        <v>0</v>
      </c>
      <c r="T81" s="333">
        <f>R81+S81</f>
        <v>0</v>
      </c>
      <c r="U81" s="336">
        <v>0</v>
      </c>
    </row>
    <row r="82" spans="2:22">
      <c r="C82" s="354"/>
      <c r="D82" s="89" t="s">
        <v>63</v>
      </c>
      <c r="E82" s="52">
        <f>'8월_매출 현황'!G55</f>
        <v>3.1693288061898409E-3</v>
      </c>
      <c r="F82" s="125">
        <f>$H$31*E82</f>
        <v>445488.73991111724</v>
      </c>
      <c r="G82" s="310">
        <f>E82*$H$37</f>
        <v>305217.15718533116</v>
      </c>
      <c r="H82" s="125">
        <f>(F82*$H$13)-F82</f>
        <v>36954.390209710866</v>
      </c>
      <c r="I82" s="125">
        <f>(G82*$H$14)-G82</f>
        <v>-42794.197314435442</v>
      </c>
      <c r="J82" s="125">
        <f>$H$34*E82</f>
        <v>502639.53450572345</v>
      </c>
      <c r="K82" s="310">
        <f t="shared" si="13"/>
        <v>496799.72740099888</v>
      </c>
      <c r="R82" s="125">
        <v>445488.73991111724</v>
      </c>
      <c r="S82" s="333">
        <f>$H$34*E82</f>
        <v>502639.53450572345</v>
      </c>
      <c r="T82" s="333">
        <f>R82+S82</f>
        <v>948128.27441684064</v>
      </c>
      <c r="U82" s="338">
        <v>1228380</v>
      </c>
      <c r="V82">
        <f t="shared" si="14"/>
        <v>1.2955841874408103</v>
      </c>
    </row>
    <row r="83" spans="2:22" ht="14.25" thickBot="1">
      <c r="C83" s="354"/>
      <c r="D83" s="349" t="s">
        <v>71</v>
      </c>
      <c r="E83" s="349"/>
      <c r="F83" s="271">
        <f>SUM(F79:F82)</f>
        <v>508394116.81305784</v>
      </c>
      <c r="G83" s="308">
        <f>SUM(G79:G82)</f>
        <v>344086933.35269129</v>
      </c>
      <c r="H83" s="307">
        <f>SUM(H79:H82)</f>
        <v>9904775.8282141071</v>
      </c>
      <c r="I83" s="33">
        <f>SUM(I79:I82)</f>
        <v>-143901394.18685064</v>
      </c>
      <c r="J83" s="33">
        <f>SUM(J79:J82)</f>
        <v>498363023.20913023</v>
      </c>
      <c r="K83" s="308">
        <f t="shared" si="13"/>
        <v>364366404.85049367</v>
      </c>
      <c r="S83" s="335">
        <f>SUM(S79:S82)</f>
        <v>498363023.20913023</v>
      </c>
      <c r="T83" s="335">
        <f>SUM(T79:T82)</f>
        <v>1006757140.0221879</v>
      </c>
      <c r="U83" s="339">
        <f>SUM(U79:U82)</f>
        <v>1007568530</v>
      </c>
      <c r="V83">
        <f t="shared" si="14"/>
        <v>1.0008059441006738</v>
      </c>
    </row>
    <row r="84" spans="2:22">
      <c r="C84" s="373" t="s">
        <v>68</v>
      </c>
      <c r="D84" s="97" t="s">
        <v>60</v>
      </c>
      <c r="E84" s="98">
        <f t="shared" ref="E84:J84" si="15">E64+E69+E74+E79</f>
        <v>0.97127089871533223</v>
      </c>
      <c r="F84" s="330">
        <f t="shared" si="15"/>
        <v>1192302347.1533146</v>
      </c>
      <c r="G84" s="328">
        <f t="shared" si="15"/>
        <v>807121224.00672531</v>
      </c>
      <c r="H84" s="311">
        <f t="shared" si="15"/>
        <v>27210333.842224702</v>
      </c>
      <c r="I84" s="99">
        <f t="shared" si="15"/>
        <v>-338561264.82964778</v>
      </c>
      <c r="J84" s="99">
        <f t="shared" si="15"/>
        <v>1170668492.6047018</v>
      </c>
      <c r="K84" s="312">
        <f t="shared" si="13"/>
        <v>859317561.6172787</v>
      </c>
    </row>
    <row r="85" spans="2:22">
      <c r="C85" s="374"/>
      <c r="D85" s="100" t="s">
        <v>61</v>
      </c>
      <c r="E85" s="98">
        <f t="shared" ref="E85:I87" si="16">E65+E70+E75+E80</f>
        <v>0.99693085234260836</v>
      </c>
      <c r="F85" s="330">
        <f t="shared" ref="F85" si="17">F65+F70+F75+F80</f>
        <v>91723566.664833426</v>
      </c>
      <c r="G85" s="328">
        <f t="shared" si="16"/>
        <v>61848278.118333742</v>
      </c>
      <c r="H85" s="311">
        <f t="shared" ref="H85" si="18">H65+H70+H75+H80</f>
        <v>-3837744.2535547619</v>
      </c>
      <c r="I85" s="99">
        <f t="shared" si="16"/>
        <v>-24750837.309778132</v>
      </c>
      <c r="J85" s="99">
        <f t="shared" ref="J85" si="19">J65+J70+J75+J80</f>
        <v>87061056.721065223</v>
      </c>
      <c r="K85" s="313">
        <f t="shared" si="13"/>
        <v>58472475.15773233</v>
      </c>
    </row>
    <row r="86" spans="2:22">
      <c r="C86" s="374"/>
      <c r="D86" s="100" t="s">
        <v>62</v>
      </c>
      <c r="E86" s="98">
        <f t="shared" si="16"/>
        <v>0.97244834988744655</v>
      </c>
      <c r="F86" s="330">
        <f t="shared" ref="F86" si="20">F66+F71+F76+F81</f>
        <v>429501847.67109346</v>
      </c>
      <c r="G86" s="328">
        <f t="shared" si="16"/>
        <v>300170527.27026176</v>
      </c>
      <c r="H86" s="311">
        <f t="shared" ref="H86" si="21">H66+H71+H76+H81</f>
        <v>59378782.148166291</v>
      </c>
      <c r="I86" s="99">
        <f t="shared" si="16"/>
        <v>-80567506.603927642</v>
      </c>
      <c r="J86" s="99">
        <f t="shared" ref="J86" si="22">J66+J71+J76+J81</f>
        <v>452386751.78136605</v>
      </c>
      <c r="K86" s="313">
        <f t="shared" si="13"/>
        <v>431198027.32560468</v>
      </c>
    </row>
    <row r="87" spans="2:22">
      <c r="C87" s="374"/>
      <c r="D87" s="100" t="s">
        <v>63</v>
      </c>
      <c r="E87" s="98">
        <f t="shared" si="16"/>
        <v>0.86082700877729845</v>
      </c>
      <c r="F87" s="330">
        <f t="shared" ref="F87" si="23">F67+F72+F77+F82</f>
        <v>120999985.44571467</v>
      </c>
      <c r="G87" s="328">
        <f t="shared" si="16"/>
        <v>82900572.491632238</v>
      </c>
      <c r="H87" s="311">
        <f t="shared" ref="H87" si="24">H67+H72+H77+H82</f>
        <v>10037247.357637845</v>
      </c>
      <c r="I87" s="99">
        <f t="shared" si="16"/>
        <v>-11623407.705525508</v>
      </c>
      <c r="J87" s="99">
        <f t="shared" ref="J87" si="25">J67+J72+J77+J82</f>
        <v>136522813.95881712</v>
      </c>
      <c r="K87" s="313">
        <f t="shared" si="13"/>
        <v>134936653.61092946</v>
      </c>
    </row>
    <row r="88" spans="2:22" ht="14.25" thickBot="1">
      <c r="C88" s="375"/>
      <c r="D88" s="376" t="s">
        <v>67</v>
      </c>
      <c r="E88" s="376"/>
      <c r="F88" s="331">
        <f>F68+F73+F78+F83</f>
        <v>1834527746.9349561</v>
      </c>
      <c r="G88" s="329">
        <f>G68+G73+G78+G83</f>
        <v>1252040601.8869529</v>
      </c>
      <c r="H88" s="314">
        <f>H68+H73+H78+H83</f>
        <v>92788619.094474077</v>
      </c>
      <c r="I88" s="315">
        <f>I68+I73+I78+I83</f>
        <v>-455503016.448879</v>
      </c>
      <c r="J88" s="315">
        <f>J68+J73+J78+J83</f>
        <v>1846639115.0659502</v>
      </c>
      <c r="K88" s="316">
        <f t="shared" si="13"/>
        <v>1483924717.7115452</v>
      </c>
      <c r="L88" s="111"/>
    </row>
    <row r="89" spans="2:22">
      <c r="F89" s="111"/>
      <c r="G89" s="111"/>
      <c r="H89" s="122"/>
    </row>
    <row r="90" spans="2:22" s="198" customFormat="1">
      <c r="B90" s="87" t="s">
        <v>266</v>
      </c>
      <c r="C90" s="209"/>
      <c r="M90"/>
      <c r="R90"/>
      <c r="S90"/>
    </row>
    <row r="91" spans="2:22">
      <c r="B91" s="127" t="s">
        <v>128</v>
      </c>
      <c r="C91" s="88"/>
    </row>
    <row r="92" spans="2:22" ht="18" customHeight="1">
      <c r="C92" s="53" t="s">
        <v>4</v>
      </c>
      <c r="D92" s="136" t="s">
        <v>54</v>
      </c>
      <c r="E92" s="136" t="s">
        <v>55</v>
      </c>
      <c r="F92" s="137" t="s">
        <v>97</v>
      </c>
      <c r="G92" s="137" t="s">
        <v>117</v>
      </c>
      <c r="H92" s="270" t="s">
        <v>118</v>
      </c>
    </row>
    <row r="93" spans="2:22">
      <c r="C93" s="134" t="s">
        <v>3</v>
      </c>
      <c r="D93" s="138">
        <v>0.5718966102888664</v>
      </c>
      <c r="E93" s="138">
        <v>0.50521867742752669</v>
      </c>
      <c r="F93" s="138">
        <v>0.5948221501793769</v>
      </c>
      <c r="G93" s="138">
        <v>0.65019185441075111</v>
      </c>
      <c r="H93" s="135">
        <f>AVERAGE(D93:G93)</f>
        <v>0.58053232307663027</v>
      </c>
      <c r="I93" s="132"/>
    </row>
    <row r="94" spans="2:22">
      <c r="C94" s="134" t="s">
        <v>5</v>
      </c>
      <c r="D94" s="138">
        <v>0.51370481137617752</v>
      </c>
      <c r="E94" s="138">
        <v>0.50107757895330651</v>
      </c>
      <c r="F94" s="138">
        <v>0.64021484710138443</v>
      </c>
      <c r="G94" s="138">
        <v>0.7442573214480328</v>
      </c>
      <c r="H94" s="135">
        <f>AVERAGE(D94:G94)</f>
        <v>0.59981363971972534</v>
      </c>
      <c r="I94" s="132"/>
    </row>
    <row r="95" spans="2:22">
      <c r="C95" s="134" t="s">
        <v>6</v>
      </c>
      <c r="D95" s="138">
        <v>0.67898116921163565</v>
      </c>
      <c r="E95" s="138">
        <v>0.67673414665710818</v>
      </c>
      <c r="F95" s="138">
        <v>0.75035614889108837</v>
      </c>
      <c r="G95" s="138">
        <v>0.82030538727017599</v>
      </c>
      <c r="H95" s="135">
        <f>AVERAGE(D95:G95)</f>
        <v>0.73159421300750216</v>
      </c>
      <c r="I95" s="132"/>
    </row>
    <row r="96" spans="2:22">
      <c r="C96" s="134" t="s">
        <v>7</v>
      </c>
      <c r="D96" s="138">
        <v>1.0034679928029138</v>
      </c>
      <c r="E96" s="138">
        <v>0.75379845715960192</v>
      </c>
      <c r="F96" s="138">
        <v>0.83858778395864841</v>
      </c>
      <c r="G96" s="138">
        <v>0.84330970156559037</v>
      </c>
      <c r="H96" s="135">
        <f>AVERAGE(D96:G96)</f>
        <v>0.85979098387168862</v>
      </c>
      <c r="I96" s="132"/>
    </row>
    <row r="98" spans="2:14">
      <c r="B98" s="87" t="s">
        <v>267</v>
      </c>
      <c r="C98" s="87"/>
      <c r="L98" s="111"/>
      <c r="M98" s="111"/>
      <c r="N98" s="111"/>
    </row>
    <row r="99" spans="2:14">
      <c r="B99" s="87"/>
      <c r="C99" s="165" t="s">
        <v>226</v>
      </c>
    </row>
    <row r="100" spans="2:14" ht="14.25" thickBot="1">
      <c r="B100" s="87"/>
      <c r="C100" s="199" t="s">
        <v>227</v>
      </c>
    </row>
    <row r="101" spans="2:14" s="198" customFormat="1" ht="14.25" thickBot="1">
      <c r="B101" s="87"/>
      <c r="C101" s="400" t="s">
        <v>4</v>
      </c>
      <c r="D101" s="403" t="s">
        <v>129</v>
      </c>
      <c r="E101" s="347" t="s">
        <v>223</v>
      </c>
      <c r="F101" s="347"/>
      <c r="G101" s="367"/>
      <c r="H101" s="367"/>
      <c r="I101" s="367"/>
      <c r="J101" s="368"/>
    </row>
    <row r="102" spans="2:14" ht="14.25" customHeight="1">
      <c r="C102" s="401"/>
      <c r="D102" s="404"/>
      <c r="E102" s="388" t="s">
        <v>222</v>
      </c>
      <c r="F102" s="389"/>
      <c r="G102" s="384" t="s">
        <v>224</v>
      </c>
      <c r="H102" s="390"/>
      <c r="I102" s="390" t="s">
        <v>225</v>
      </c>
      <c r="J102" s="391"/>
    </row>
    <row r="103" spans="2:14" ht="14.25" customHeight="1" thickBot="1">
      <c r="C103" s="402"/>
      <c r="D103" s="405"/>
      <c r="E103" s="320" t="s">
        <v>220</v>
      </c>
      <c r="F103" s="321" t="s">
        <v>221</v>
      </c>
      <c r="G103" s="227" t="s">
        <v>220</v>
      </c>
      <c r="H103" s="225" t="s">
        <v>221</v>
      </c>
      <c r="I103" s="225" t="s">
        <v>220</v>
      </c>
      <c r="J103" s="226" t="s">
        <v>221</v>
      </c>
    </row>
    <row r="104" spans="2:14" ht="13.5" customHeight="1" thickTop="1">
      <c r="C104" s="268" t="s">
        <v>3</v>
      </c>
      <c r="D104" s="230">
        <f>E37</f>
        <v>830994962.45000005</v>
      </c>
      <c r="E104" s="322">
        <v>0.58053232307663005</v>
      </c>
      <c r="F104" s="305">
        <f>D104*E104</f>
        <v>482419436.01607549</v>
      </c>
      <c r="G104" s="223">
        <v>0.61536208874369103</v>
      </c>
      <c r="H104" s="90">
        <f>D104*G104</f>
        <v>511362795.82871711</v>
      </c>
      <c r="I104" s="223">
        <v>0.650191854410751</v>
      </c>
      <c r="J104" s="224">
        <f>D104*I104</f>
        <v>540306155.6413579</v>
      </c>
    </row>
    <row r="105" spans="2:14" ht="13.5" customHeight="1">
      <c r="C105" s="266" t="s">
        <v>5</v>
      </c>
      <c r="D105" s="231">
        <f>F37</f>
        <v>62038684</v>
      </c>
      <c r="E105" s="323">
        <v>0.59981363971972534</v>
      </c>
      <c r="F105" s="306">
        <f t="shared" ref="F105:F107" si="26">D105*E105</f>
        <v>37211648.853461891</v>
      </c>
      <c r="G105" s="166">
        <v>0.67203548058387907</v>
      </c>
      <c r="H105" s="85">
        <f t="shared" ref="H105:H107" si="27">D105*G105</f>
        <v>41692196.816731408</v>
      </c>
      <c r="I105" s="166">
        <v>0.7442573214480328</v>
      </c>
      <c r="J105" s="220">
        <f t="shared" ref="J105:J107" si="28">D105*I105</f>
        <v>46172744.780000933</v>
      </c>
    </row>
    <row r="106" spans="2:14" ht="13.5" customHeight="1">
      <c r="C106" s="266" t="s">
        <v>6</v>
      </c>
      <c r="D106" s="231">
        <f>G37</f>
        <v>308675033.80000001</v>
      </c>
      <c r="E106" s="323">
        <v>0.73159421300750216</v>
      </c>
      <c r="F106" s="306">
        <f t="shared" si="26"/>
        <v>225824868.42797515</v>
      </c>
      <c r="G106" s="166">
        <v>0.77594980013883907</v>
      </c>
      <c r="H106" s="85">
        <f t="shared" si="27"/>
        <v>239516330.78495941</v>
      </c>
      <c r="I106" s="166">
        <v>0.82030538727017599</v>
      </c>
      <c r="J106" s="220">
        <f t="shared" si="28"/>
        <v>253207793.14194366</v>
      </c>
    </row>
    <row r="107" spans="2:14" ht="13.5" customHeight="1" thickBot="1">
      <c r="C107" s="228" t="s">
        <v>7</v>
      </c>
      <c r="D107" s="232">
        <f>H37</f>
        <v>96303405.5</v>
      </c>
      <c r="E107" s="323">
        <v>0.85979098387168862</v>
      </c>
      <c r="F107" s="324">
        <f t="shared" si="26"/>
        <v>82800799.765039191</v>
      </c>
      <c r="G107" s="166">
        <v>0.93162948833730119</v>
      </c>
      <c r="H107" s="168">
        <f t="shared" si="27"/>
        <v>89719092.391104639</v>
      </c>
      <c r="I107" s="166">
        <v>1.0034679928029138</v>
      </c>
      <c r="J107" s="221">
        <f t="shared" si="28"/>
        <v>96637385.017170087</v>
      </c>
    </row>
    <row r="108" spans="2:14" ht="13.5" customHeight="1" thickTop="1" thickBot="1">
      <c r="C108" s="92" t="s">
        <v>67</v>
      </c>
      <c r="D108" s="233">
        <f>SUM(D104:D107)</f>
        <v>1298012085.75</v>
      </c>
      <c r="E108" s="325">
        <f>F108/$D$108</f>
        <v>0.63809633373635311</v>
      </c>
      <c r="F108" s="326">
        <f>SUM(F104:F107)</f>
        <v>828256753.06255174</v>
      </c>
      <c r="G108" s="234">
        <f>H108/$D$108</f>
        <v>0.67972434579584018</v>
      </c>
      <c r="H108" s="167">
        <f>SUM(H104:H107)</f>
        <v>882290415.8215127</v>
      </c>
      <c r="I108" s="197">
        <f>J108/$D$108</f>
        <v>0.72135235785532636</v>
      </c>
      <c r="J108" s="222">
        <f>SUM(J104:J107)</f>
        <v>936324078.58047259</v>
      </c>
    </row>
    <row r="109" spans="2:14">
      <c r="B109" t="s">
        <v>229</v>
      </c>
      <c r="C109" s="6"/>
      <c r="E109" s="132"/>
      <c r="F109" s="111"/>
      <c r="H109" s="111"/>
    </row>
    <row r="110" spans="2:14">
      <c r="C110" s="6"/>
    </row>
    <row r="114" spans="3:16" ht="15" hidden="1" customHeight="1">
      <c r="C114" s="355" t="s">
        <v>4</v>
      </c>
      <c r="D114" s="342" t="s">
        <v>120</v>
      </c>
      <c r="E114" s="343"/>
      <c r="F114" s="343"/>
      <c r="G114" s="343"/>
      <c r="H114" s="343"/>
      <c r="I114" s="343"/>
      <c r="J114" s="344"/>
      <c r="K114" s="377" t="s">
        <v>67</v>
      </c>
      <c r="L114" s="345" t="s">
        <v>247</v>
      </c>
      <c r="M114" s="381" t="s">
        <v>58</v>
      </c>
      <c r="N114" s="347" t="s">
        <v>248</v>
      </c>
      <c r="O114" s="379" t="s">
        <v>57</v>
      </c>
      <c r="P114" s="371" t="s">
        <v>72</v>
      </c>
    </row>
    <row r="115" spans="3:16" ht="14.25" hidden="1" thickBot="1">
      <c r="C115" s="357"/>
      <c r="D115" s="137" t="s">
        <v>236</v>
      </c>
      <c r="E115" s="137" t="s">
        <v>235</v>
      </c>
      <c r="F115" s="137" t="s">
        <v>49</v>
      </c>
      <c r="G115" s="137" t="s">
        <v>109</v>
      </c>
      <c r="H115" s="137" t="s">
        <v>40</v>
      </c>
      <c r="I115" s="137" t="s">
        <v>70</v>
      </c>
      <c r="J115" s="137" t="s">
        <v>47</v>
      </c>
      <c r="K115" s="378"/>
      <c r="L115" s="346"/>
      <c r="M115" s="382"/>
      <c r="N115" s="348"/>
      <c r="O115" s="380"/>
      <c r="P115" s="372"/>
    </row>
    <row r="116" spans="3:16" hidden="1">
      <c r="C116" s="139" t="s">
        <v>50</v>
      </c>
      <c r="D116" s="142">
        <f>'8월_매출 현황'!D42</f>
        <v>199896619.25</v>
      </c>
      <c r="E116" s="142">
        <f>'8월_매출 현황'!D43</f>
        <v>196677728.5</v>
      </c>
      <c r="F116" s="142">
        <v>193425475.33333334</v>
      </c>
      <c r="G116" s="142">
        <v>190589891</v>
      </c>
      <c r="H116" s="142">
        <v>177892772.33333334</v>
      </c>
      <c r="I116" s="142">
        <v>129113166.66666667</v>
      </c>
      <c r="J116" s="142">
        <v>128965304.25</v>
      </c>
      <c r="K116" s="141">
        <f>SUM(D116:J116)</f>
        <v>1216560957.3333335</v>
      </c>
      <c r="L116" s="244">
        <f>K116*E13</f>
        <v>1244324913.2355354</v>
      </c>
      <c r="M116" s="101" t="e">
        <f>K116*P116</f>
        <v>#REF!</v>
      </c>
      <c r="N116" s="101">
        <f>K116*E15</f>
        <v>1263193345.7612569</v>
      </c>
      <c r="O116" s="102" t="e">
        <f>M116-K116</f>
        <v>#REF!</v>
      </c>
      <c r="P116" s="91" t="e">
        <f>#REF!</f>
        <v>#REF!</v>
      </c>
    </row>
    <row r="117" spans="3:16" hidden="1">
      <c r="C117" s="140" t="s">
        <v>51</v>
      </c>
      <c r="D117" s="142">
        <f>'8월_매출 현황'!E42</f>
        <v>15002065</v>
      </c>
      <c r="E117" s="142">
        <f>'8월_매출 현황'!E43</f>
        <v>14965197.5</v>
      </c>
      <c r="F117" s="142">
        <v>14818533.333333334</v>
      </c>
      <c r="G117" s="142">
        <v>14702216.666666666</v>
      </c>
      <c r="H117" s="142">
        <v>14194250</v>
      </c>
      <c r="I117" s="142">
        <v>9346600</v>
      </c>
      <c r="J117" s="142">
        <v>8589415</v>
      </c>
      <c r="K117" s="141">
        <f>SUM(D117:J117)</f>
        <v>91618277.5</v>
      </c>
      <c r="L117" s="244">
        <f>K117*F13</f>
        <v>87784938.57979624</v>
      </c>
      <c r="M117" s="103" t="e">
        <f>K117*P117</f>
        <v>#REF!</v>
      </c>
      <c r="N117" s="103">
        <f>K117*F15</f>
        <v>91830355.135240555</v>
      </c>
      <c r="O117" s="104" t="e">
        <f>M117-K117</f>
        <v>#REF!</v>
      </c>
      <c r="P117" s="91" t="e">
        <f>#REF!</f>
        <v>#REF!</v>
      </c>
    </row>
    <row r="118" spans="3:16" hidden="1">
      <c r="C118" s="140" t="s">
        <v>52</v>
      </c>
      <c r="D118" s="142">
        <f>'8월_매출 현황'!F42</f>
        <v>65336685.25</v>
      </c>
      <c r="E118" s="142">
        <f>'8월_매출 현황'!F43</f>
        <v>67658882.5</v>
      </c>
      <c r="F118" s="142">
        <v>67629016</v>
      </c>
      <c r="G118" s="142">
        <v>62205964</v>
      </c>
      <c r="H118" s="142">
        <v>58185831.666666664</v>
      </c>
      <c r="I118" s="142">
        <v>53638184</v>
      </c>
      <c r="J118" s="142">
        <v>61669932.75</v>
      </c>
      <c r="K118" s="141">
        <f>SUM(D118:J118)</f>
        <v>436324496.16666669</v>
      </c>
      <c r="L118" s="244">
        <f>K118*G13</f>
        <v>496646511.87922591</v>
      </c>
      <c r="M118" s="103" t="e">
        <f>K118*P118</f>
        <v>#REF!</v>
      </c>
      <c r="N118" s="103">
        <f>K118*G15</f>
        <v>463933245.3381871</v>
      </c>
      <c r="O118" s="104" t="e">
        <f>M118-K118</f>
        <v>#REF!</v>
      </c>
      <c r="P118" s="91" t="e">
        <f>#REF!</f>
        <v>#REF!</v>
      </c>
    </row>
    <row r="119" spans="3:16" hidden="1">
      <c r="C119" s="247" t="s">
        <v>53</v>
      </c>
      <c r="D119" s="248">
        <f>'8월_매출 현황'!G42</f>
        <v>21450852</v>
      </c>
      <c r="E119" s="248">
        <f>'8월_매출 현황'!G43</f>
        <v>22808229.75</v>
      </c>
      <c r="F119" s="248">
        <v>20116742</v>
      </c>
      <c r="G119" s="248">
        <v>18601483.666666668</v>
      </c>
      <c r="H119" s="248">
        <v>16453647</v>
      </c>
      <c r="I119" s="248">
        <v>18651794.333333332</v>
      </c>
      <c r="J119" s="248">
        <v>20119974.25</v>
      </c>
      <c r="K119" s="249">
        <f>SUM(D119:J119)</f>
        <v>138202723</v>
      </c>
      <c r="L119" s="245">
        <f>K119*H13</f>
        <v>149666979.88515845</v>
      </c>
      <c r="M119" s="250" t="e">
        <f>K119*P119</f>
        <v>#REF!</v>
      </c>
      <c r="N119" s="250">
        <f>K119*H15</f>
        <v>155551256.22230574</v>
      </c>
      <c r="O119" s="251" t="e">
        <f>M119-K119</f>
        <v>#REF!</v>
      </c>
      <c r="P119" s="252" t="e">
        <f>#REF!</f>
        <v>#REF!</v>
      </c>
    </row>
    <row r="120" spans="3:16" ht="15" hidden="1" thickTop="1" thickBot="1">
      <c r="C120" s="253" t="s">
        <v>69</v>
      </c>
      <c r="D120" s="167">
        <f>SUM(D116:D119)</f>
        <v>301686221.5</v>
      </c>
      <c r="E120" s="167">
        <f>SUM(E116:E119)</f>
        <v>302110038.25</v>
      </c>
      <c r="F120" s="167">
        <f t="shared" ref="F120:M120" si="29">SUM(F116:F119)</f>
        <v>295989766.66666669</v>
      </c>
      <c r="G120" s="167">
        <f t="shared" si="29"/>
        <v>286099555.33333331</v>
      </c>
      <c r="H120" s="167">
        <f t="shared" si="29"/>
        <v>266726501</v>
      </c>
      <c r="I120" s="167">
        <f t="shared" si="29"/>
        <v>210749745.00000003</v>
      </c>
      <c r="J120" s="167">
        <f t="shared" si="29"/>
        <v>219344626.25</v>
      </c>
      <c r="K120" s="254">
        <f>SUM(K116:K119)</f>
        <v>1882706454.0000002</v>
      </c>
      <c r="L120" s="255">
        <f>SUM(L116:L119)</f>
        <v>1978423343.5797162</v>
      </c>
      <c r="M120" s="256" t="e">
        <f t="shared" si="29"/>
        <v>#REF!</v>
      </c>
      <c r="N120" s="256">
        <f>SUM(N116:N119)</f>
        <v>1974508202.4569902</v>
      </c>
      <c r="O120" s="257" t="e">
        <f>M120-K120</f>
        <v>#REF!</v>
      </c>
      <c r="P120" s="258"/>
    </row>
  </sheetData>
  <mergeCells count="42">
    <mergeCell ref="E102:F102"/>
    <mergeCell ref="G102:H102"/>
    <mergeCell ref="I102:J102"/>
    <mergeCell ref="C24:C30"/>
    <mergeCell ref="C31:D31"/>
    <mergeCell ref="C32:D32"/>
    <mergeCell ref="C33:D33"/>
    <mergeCell ref="C101:C103"/>
    <mergeCell ref="D101:D103"/>
    <mergeCell ref="I53:J53"/>
    <mergeCell ref="C12:D12"/>
    <mergeCell ref="C13:D13"/>
    <mergeCell ref="C15:D15"/>
    <mergeCell ref="P114:P115"/>
    <mergeCell ref="C84:C88"/>
    <mergeCell ref="D88:E88"/>
    <mergeCell ref="K114:K115"/>
    <mergeCell ref="O114:O115"/>
    <mergeCell ref="M114:M115"/>
    <mergeCell ref="D83:E83"/>
    <mergeCell ref="C79:C83"/>
    <mergeCell ref="C114:C115"/>
    <mergeCell ref="G53:H53"/>
    <mergeCell ref="C64:C68"/>
    <mergeCell ref="C69:C73"/>
    <mergeCell ref="C23:D23"/>
    <mergeCell ref="C14:D14"/>
    <mergeCell ref="D114:J114"/>
    <mergeCell ref="L114:L115"/>
    <mergeCell ref="N114:N115"/>
    <mergeCell ref="D73:E73"/>
    <mergeCell ref="C36:D36"/>
    <mergeCell ref="C35:D35"/>
    <mergeCell ref="D68:E68"/>
    <mergeCell ref="D78:E78"/>
    <mergeCell ref="C74:C78"/>
    <mergeCell ref="C52:C54"/>
    <mergeCell ref="D52:D54"/>
    <mergeCell ref="E52:J52"/>
    <mergeCell ref="E53:F53"/>
    <mergeCell ref="C34:D34"/>
    <mergeCell ref="E101:J101"/>
  </mergeCells>
  <phoneticPr fontId="6" type="noConversion"/>
  <conditionalFormatting sqref="O116:O119 K84:K88">
    <cfRule type="cellIs" dxfId="12" priority="34" operator="lessThan">
      <formula>0</formula>
    </cfRule>
  </conditionalFormatting>
  <conditionalFormatting sqref="K83 K64:K81">
    <cfRule type="cellIs" dxfId="11" priority="28" operator="lessThan">
      <formula>0</formula>
    </cfRule>
  </conditionalFormatting>
  <conditionalFormatting sqref="E36:H36">
    <cfRule type="cellIs" dxfId="10" priority="9" operator="lessThan">
      <formula>0</formula>
    </cfRule>
  </conditionalFormatting>
  <conditionalFormatting sqref="D44:G44">
    <cfRule type="top10" dxfId="9" priority="8" percent="1" rank="10"/>
  </conditionalFormatting>
  <conditionalFormatting sqref="D45:G45">
    <cfRule type="top10" dxfId="8" priority="7" percent="1" rank="10"/>
  </conditionalFormatting>
  <conditionalFormatting sqref="D46:G46">
    <cfRule type="top10" dxfId="7" priority="6" percent="1" rank="10"/>
  </conditionalFormatting>
  <conditionalFormatting sqref="D47:G47">
    <cfRule type="top10" dxfId="6" priority="5" percent="1" rank="10"/>
  </conditionalFormatting>
  <conditionalFormatting sqref="D93:G93">
    <cfRule type="top10" dxfId="5" priority="4" percent="1" rank="10"/>
  </conditionalFormatting>
  <conditionalFormatting sqref="D94:G94">
    <cfRule type="top10" dxfId="4" priority="3" percent="1" rank="10"/>
  </conditionalFormatting>
  <conditionalFormatting sqref="D95:G95">
    <cfRule type="top10" dxfId="3" priority="2" percent="1" rank="10"/>
  </conditionalFormatting>
  <conditionalFormatting sqref="D96:G96">
    <cfRule type="top10" dxfId="2" priority="1" percent="1" rank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2:S59"/>
  <sheetViews>
    <sheetView showGridLines="0" tabSelected="1" zoomScaleNormal="100" zoomScaleSheetLayoutView="40" zoomScalePageLayoutView="115" workbookViewId="0"/>
  </sheetViews>
  <sheetFormatPr defaultColWidth="9.28515625" defaultRowHeight="15" customHeight="1"/>
  <cols>
    <col min="1" max="1" width="3.42578125" style="54" customWidth="1"/>
    <col min="2" max="2" width="13" style="54" customWidth="1"/>
    <col min="3" max="3" width="9.28515625" style="54" bestFit="1" customWidth="1"/>
    <col min="4" max="7" width="19" style="54" customWidth="1"/>
    <col min="8" max="8" width="19" customWidth="1"/>
    <col min="9" max="9" width="17.7109375" style="54" bestFit="1" customWidth="1"/>
    <col min="10" max="10" width="22.42578125" style="54" hidden="1" customWidth="1"/>
    <col min="11" max="11" width="16.42578125" style="123" hidden="1" customWidth="1"/>
    <col min="12" max="12" width="6.7109375" style="123" hidden="1" customWidth="1"/>
    <col min="13" max="13" width="14.7109375" style="123" hidden="1" customWidth="1"/>
    <col min="14" max="14" width="6.7109375" style="123" hidden="1" customWidth="1"/>
    <col min="15" max="15" width="16.42578125" style="123" hidden="1" customWidth="1"/>
    <col min="16" max="16" width="6.7109375" style="123" hidden="1" customWidth="1"/>
    <col min="17" max="17" width="14.7109375" style="123" hidden="1" customWidth="1"/>
    <col min="18" max="18" width="6.7109375" style="123" hidden="1" customWidth="1"/>
    <col min="19" max="19" width="9.28515625" style="54" hidden="1" customWidth="1"/>
    <col min="20" max="16384" width="9.28515625" style="54"/>
  </cols>
  <sheetData>
    <row r="2" spans="1:9" ht="24" customHeight="1">
      <c r="B2" s="410" t="s">
        <v>114</v>
      </c>
      <c r="C2" s="411"/>
      <c r="D2" s="411"/>
      <c r="E2" s="411"/>
      <c r="F2" s="411"/>
      <c r="G2" s="411"/>
      <c r="H2" s="412"/>
    </row>
    <row r="3" spans="1:9" ht="17.100000000000001" customHeight="1">
      <c r="B3" s="130"/>
    </row>
    <row r="4" spans="1:9" ht="17.100000000000001" customHeight="1">
      <c r="B4" s="113" t="s">
        <v>78</v>
      </c>
      <c r="C4" s="413">
        <f>AVERAGE(H11:H15,H18:H22,H26:H29,H32:H33,H34:H36,H39)</f>
        <v>292996592.10000002</v>
      </c>
      <c r="D4" s="414"/>
    </row>
    <row r="5" spans="1:9" ht="17.100000000000001" customHeight="1">
      <c r="B5" s="113" t="s">
        <v>79</v>
      </c>
      <c r="C5" s="413">
        <f>AVERAGE(H9:H10,H16:H17,H23:H25,H30:H31,H37:H38)</f>
        <v>221560466.81818181</v>
      </c>
      <c r="D5" s="414"/>
    </row>
    <row r="6" spans="1:9" ht="9.75" customHeight="1"/>
    <row r="7" spans="1:9" ht="18" customHeight="1">
      <c r="B7" s="409" t="s">
        <v>64</v>
      </c>
      <c r="C7" s="409"/>
      <c r="D7" s="109">
        <f>SUM(D9:D39)</f>
        <v>5322425421</v>
      </c>
      <c r="E7" s="109">
        <f>SUM(E9:E39)</f>
        <v>397526500</v>
      </c>
      <c r="F7" s="109">
        <f>SUM(F9:F39)</f>
        <v>1959653467</v>
      </c>
      <c r="G7" s="109">
        <f>SUM(G9:G39)</f>
        <v>617491589</v>
      </c>
      <c r="H7" s="109">
        <f>SUM(H9:H39)</f>
        <v>8297096977</v>
      </c>
    </row>
    <row r="8" spans="1:9" ht="17.100000000000001" customHeight="1">
      <c r="B8" s="55" t="s">
        <v>65</v>
      </c>
      <c r="C8" s="56" t="s">
        <v>21</v>
      </c>
      <c r="D8" s="57" t="s">
        <v>22</v>
      </c>
      <c r="E8" s="58" t="s">
        <v>23</v>
      </c>
      <c r="F8" s="58" t="s">
        <v>24</v>
      </c>
      <c r="G8" s="59" t="s">
        <v>56</v>
      </c>
      <c r="H8" s="59" t="s">
        <v>77</v>
      </c>
    </row>
    <row r="9" spans="1:9" ht="17.100000000000001" customHeight="1">
      <c r="B9" s="60">
        <v>44044</v>
      </c>
      <c r="C9" s="61" t="s">
        <v>30</v>
      </c>
      <c r="D9" s="62">
        <v>123395480</v>
      </c>
      <c r="E9" s="62">
        <v>9140780</v>
      </c>
      <c r="F9" s="62">
        <v>47602935</v>
      </c>
      <c r="G9" s="77">
        <v>19281493</v>
      </c>
      <c r="H9" s="77">
        <f>SUM(D9:G9)</f>
        <v>199420688</v>
      </c>
    </row>
    <row r="10" spans="1:9" ht="17.100000000000001" customHeight="1">
      <c r="B10" s="60">
        <v>44045</v>
      </c>
      <c r="C10" s="65" t="s">
        <v>31</v>
      </c>
      <c r="D10" s="62">
        <v>127280213</v>
      </c>
      <c r="E10" s="62">
        <v>8439410</v>
      </c>
      <c r="F10" s="62">
        <v>53285962</v>
      </c>
      <c r="G10" s="77">
        <v>20948049</v>
      </c>
      <c r="H10" s="77">
        <f t="shared" ref="H10:H39" si="0">SUM(D10:G10)</f>
        <v>209953634</v>
      </c>
    </row>
    <row r="11" spans="1:9" ht="17.100000000000001" customHeight="1">
      <c r="B11" s="60">
        <v>44046</v>
      </c>
      <c r="C11" s="65" t="s">
        <v>10</v>
      </c>
      <c r="D11" s="62">
        <v>187684957</v>
      </c>
      <c r="E11" s="62">
        <v>14119690</v>
      </c>
      <c r="F11" s="62">
        <v>58829181</v>
      </c>
      <c r="G11" s="77">
        <v>21208126</v>
      </c>
      <c r="H11" s="77">
        <f t="shared" si="0"/>
        <v>281841954</v>
      </c>
      <c r="I11" s="67"/>
    </row>
    <row r="12" spans="1:9" ht="17.100000000000001" customHeight="1">
      <c r="B12" s="60">
        <v>44047</v>
      </c>
      <c r="C12" s="65" t="s">
        <v>11</v>
      </c>
      <c r="D12" s="62">
        <v>184723523</v>
      </c>
      <c r="E12" s="62">
        <v>14050280</v>
      </c>
      <c r="F12" s="62">
        <v>58948797</v>
      </c>
      <c r="G12" s="77">
        <v>20341401</v>
      </c>
      <c r="H12" s="77">
        <f t="shared" si="0"/>
        <v>278064001</v>
      </c>
    </row>
    <row r="13" spans="1:9" ht="17.100000000000001" customHeight="1">
      <c r="A13" s="68"/>
      <c r="B13" s="60">
        <v>44048</v>
      </c>
      <c r="C13" s="65" t="s">
        <v>12</v>
      </c>
      <c r="D13" s="62">
        <v>188050856</v>
      </c>
      <c r="E13" s="62">
        <v>13940440</v>
      </c>
      <c r="F13" s="62">
        <v>60907606</v>
      </c>
      <c r="G13" s="77">
        <v>19904626</v>
      </c>
      <c r="H13" s="77">
        <f t="shared" si="0"/>
        <v>282803528</v>
      </c>
    </row>
    <row r="14" spans="1:9" ht="17.100000000000001" customHeight="1">
      <c r="B14" s="60">
        <v>44049</v>
      </c>
      <c r="C14" s="65" t="s">
        <v>13</v>
      </c>
      <c r="D14" s="62">
        <v>184650591</v>
      </c>
      <c r="E14" s="62">
        <v>14345120</v>
      </c>
      <c r="F14" s="62">
        <v>59891536</v>
      </c>
      <c r="G14" s="77">
        <v>18533594</v>
      </c>
      <c r="H14" s="77">
        <f t="shared" si="0"/>
        <v>277420841</v>
      </c>
    </row>
    <row r="15" spans="1:9" ht="17.100000000000001" customHeight="1">
      <c r="B15" s="60">
        <v>44050</v>
      </c>
      <c r="C15" s="65" t="s">
        <v>14</v>
      </c>
      <c r="D15" s="62">
        <v>175817349</v>
      </c>
      <c r="E15" s="62">
        <v>14435200</v>
      </c>
      <c r="F15" s="62">
        <v>61417052</v>
      </c>
      <c r="G15" s="77">
        <v>16313287</v>
      </c>
      <c r="H15" s="77">
        <f t="shared" si="0"/>
        <v>267982888</v>
      </c>
    </row>
    <row r="16" spans="1:9" ht="17.100000000000001" customHeight="1">
      <c r="B16" s="60">
        <v>44051</v>
      </c>
      <c r="C16" s="65" t="s">
        <v>8</v>
      </c>
      <c r="D16" s="62">
        <v>125287073</v>
      </c>
      <c r="E16" s="62">
        <v>9953570</v>
      </c>
      <c r="F16" s="62">
        <v>56232758</v>
      </c>
      <c r="G16" s="77">
        <v>16664416</v>
      </c>
      <c r="H16" s="77">
        <f t="shared" si="0"/>
        <v>208137817</v>
      </c>
    </row>
    <row r="17" spans="2:8" ht="17.100000000000001" customHeight="1">
      <c r="B17" s="60">
        <v>44052</v>
      </c>
      <c r="C17" s="65" t="s">
        <v>9</v>
      </c>
      <c r="D17" s="62">
        <v>124416212</v>
      </c>
      <c r="E17" s="62">
        <v>9155260</v>
      </c>
      <c r="F17" s="62">
        <v>65469575</v>
      </c>
      <c r="G17" s="77">
        <v>18874750</v>
      </c>
      <c r="H17" s="77">
        <f t="shared" si="0"/>
        <v>217915797</v>
      </c>
    </row>
    <row r="18" spans="2:8" ht="17.100000000000001" customHeight="1">
      <c r="B18" s="60">
        <v>44053</v>
      </c>
      <c r="C18" s="65" t="s">
        <v>10</v>
      </c>
      <c r="D18" s="62">
        <v>195367747</v>
      </c>
      <c r="E18" s="62">
        <v>16253960</v>
      </c>
      <c r="F18" s="62">
        <v>69617428</v>
      </c>
      <c r="G18" s="77">
        <v>20573656</v>
      </c>
      <c r="H18" s="77">
        <f t="shared" si="0"/>
        <v>301812791</v>
      </c>
    </row>
    <row r="19" spans="2:8" ht="17.100000000000001" customHeight="1">
      <c r="B19" s="60">
        <v>44054</v>
      </c>
      <c r="C19" s="65" t="s">
        <v>11</v>
      </c>
      <c r="D19" s="62">
        <v>195350823</v>
      </c>
      <c r="E19" s="62">
        <v>16386970</v>
      </c>
      <c r="F19" s="62">
        <v>67999071</v>
      </c>
      <c r="G19" s="77">
        <v>28254687</v>
      </c>
      <c r="H19" s="77">
        <f t="shared" si="0"/>
        <v>307991551</v>
      </c>
    </row>
    <row r="20" spans="2:8" ht="17.100000000000001" customHeight="1">
      <c r="B20" s="60">
        <v>44055</v>
      </c>
      <c r="C20" s="65" t="s">
        <v>12</v>
      </c>
      <c r="D20" s="70">
        <v>191544009</v>
      </c>
      <c r="E20" s="70">
        <v>15753820</v>
      </c>
      <c r="F20" s="70">
        <v>68374340</v>
      </c>
      <c r="G20" s="78">
        <v>18577538</v>
      </c>
      <c r="H20" s="78">
        <f t="shared" si="0"/>
        <v>294249707</v>
      </c>
    </row>
    <row r="21" spans="2:8" ht="17.100000000000001" customHeight="1">
      <c r="B21" s="60">
        <v>44056</v>
      </c>
      <c r="C21" s="65" t="s">
        <v>13</v>
      </c>
      <c r="D21" s="70">
        <v>186598137</v>
      </c>
      <c r="E21" s="70">
        <v>15134410</v>
      </c>
      <c r="F21" s="70">
        <v>59834430</v>
      </c>
      <c r="G21" s="78">
        <v>15825326</v>
      </c>
      <c r="H21" s="78">
        <f t="shared" si="0"/>
        <v>277392303</v>
      </c>
    </row>
    <row r="22" spans="2:8" ht="17.100000000000001" customHeight="1">
      <c r="B22" s="60">
        <v>44057</v>
      </c>
      <c r="C22" s="65" t="s">
        <v>14</v>
      </c>
      <c r="D22" s="62">
        <v>170410294</v>
      </c>
      <c r="E22" s="62">
        <v>14411200</v>
      </c>
      <c r="F22" s="62">
        <v>54338809</v>
      </c>
      <c r="G22" s="77">
        <v>13517605</v>
      </c>
      <c r="H22" s="77">
        <f t="shared" si="0"/>
        <v>252677908</v>
      </c>
    </row>
    <row r="23" spans="2:8" ht="17.100000000000001" customHeight="1">
      <c r="B23" s="60">
        <v>44058</v>
      </c>
      <c r="C23" s="65" t="s">
        <v>110</v>
      </c>
      <c r="D23" s="71">
        <v>120000574</v>
      </c>
      <c r="E23" s="71">
        <v>8907860</v>
      </c>
      <c r="F23" s="71">
        <v>56415641</v>
      </c>
      <c r="G23" s="79">
        <v>15393406</v>
      </c>
      <c r="H23" s="79">
        <f t="shared" si="0"/>
        <v>200717481</v>
      </c>
    </row>
    <row r="24" spans="2:8" ht="17.100000000000001" customHeight="1">
      <c r="B24" s="60">
        <v>44059</v>
      </c>
      <c r="C24" s="65" t="s">
        <v>9</v>
      </c>
      <c r="D24" s="72">
        <v>120113758</v>
      </c>
      <c r="E24" s="72">
        <v>8252390</v>
      </c>
      <c r="F24" s="72">
        <v>62594385</v>
      </c>
      <c r="G24" s="80">
        <v>17832537</v>
      </c>
      <c r="H24" s="80">
        <f t="shared" si="0"/>
        <v>208793070</v>
      </c>
    </row>
    <row r="25" spans="2:8" ht="17.100000000000001" customHeight="1">
      <c r="B25" s="60">
        <v>44060</v>
      </c>
      <c r="C25" s="65" t="s">
        <v>113</v>
      </c>
      <c r="D25" s="72">
        <v>161571519</v>
      </c>
      <c r="E25" s="72">
        <v>11992950</v>
      </c>
      <c r="F25" s="72">
        <v>74235977</v>
      </c>
      <c r="G25" s="80">
        <v>19411864</v>
      </c>
      <c r="H25" s="80">
        <f t="shared" si="0"/>
        <v>267212310</v>
      </c>
    </row>
    <row r="26" spans="2:8" ht="17.100000000000001" customHeight="1">
      <c r="B26" s="60">
        <v>44061</v>
      </c>
      <c r="C26" s="65" t="s">
        <v>11</v>
      </c>
      <c r="D26" s="72">
        <v>200791092</v>
      </c>
      <c r="E26" s="72">
        <v>14898070</v>
      </c>
      <c r="F26" s="72">
        <v>72588475</v>
      </c>
      <c r="G26" s="80">
        <v>21939445</v>
      </c>
      <c r="H26" s="80">
        <f t="shared" si="0"/>
        <v>310217082</v>
      </c>
    </row>
    <row r="27" spans="2:8" ht="17.100000000000001" customHeight="1">
      <c r="B27" s="60">
        <v>44062</v>
      </c>
      <c r="C27" s="65" t="s">
        <v>12</v>
      </c>
      <c r="D27" s="72">
        <v>200681561</v>
      </c>
      <c r="E27" s="72">
        <v>14761340</v>
      </c>
      <c r="F27" s="72">
        <v>73605102</v>
      </c>
      <c r="G27" s="80">
        <v>21868062</v>
      </c>
      <c r="H27" s="80">
        <f t="shared" si="0"/>
        <v>310916065</v>
      </c>
    </row>
    <row r="28" spans="2:8" ht="17.100000000000001" customHeight="1">
      <c r="B28" s="60">
        <v>44063</v>
      </c>
      <c r="C28" s="65" t="s">
        <v>13</v>
      </c>
      <c r="D28" s="73">
        <v>200520945</v>
      </c>
      <c r="E28" s="73">
        <v>14627120</v>
      </c>
      <c r="F28" s="73">
        <v>66891926</v>
      </c>
      <c r="G28" s="81">
        <v>21445531</v>
      </c>
      <c r="H28" s="80">
        <f t="shared" si="0"/>
        <v>303485522</v>
      </c>
    </row>
    <row r="29" spans="2:8" ht="17.100000000000001" customHeight="1">
      <c r="B29" s="60">
        <v>44064</v>
      </c>
      <c r="C29" s="65" t="s">
        <v>14</v>
      </c>
      <c r="D29" s="73">
        <v>187450674</v>
      </c>
      <c r="E29" s="73">
        <v>13736350</v>
      </c>
      <c r="F29" s="73">
        <v>58801634</v>
      </c>
      <c r="G29" s="81">
        <v>19530049</v>
      </c>
      <c r="H29" s="80">
        <f t="shared" si="0"/>
        <v>279518707</v>
      </c>
    </row>
    <row r="30" spans="2:8" ht="17.100000000000001" customHeight="1">
      <c r="B30" s="60">
        <v>44065</v>
      </c>
      <c r="C30" s="65" t="s">
        <v>8</v>
      </c>
      <c r="D30" s="72">
        <v>138656947</v>
      </c>
      <c r="E30" s="72">
        <v>8945450</v>
      </c>
      <c r="F30" s="72">
        <v>57078859</v>
      </c>
      <c r="G30" s="80">
        <v>20009474</v>
      </c>
      <c r="H30" s="80">
        <f t="shared" si="0"/>
        <v>224690730</v>
      </c>
    </row>
    <row r="31" spans="2:8" ht="17.100000000000001" customHeight="1">
      <c r="B31" s="60">
        <v>44066</v>
      </c>
      <c r="C31" s="65" t="s">
        <v>9</v>
      </c>
      <c r="D31" s="74">
        <v>144051034</v>
      </c>
      <c r="E31" s="74">
        <v>8510600</v>
      </c>
      <c r="F31" s="74">
        <v>65329809</v>
      </c>
      <c r="G31" s="82">
        <v>22824561</v>
      </c>
      <c r="H31" s="80">
        <f t="shared" si="0"/>
        <v>240716004</v>
      </c>
    </row>
    <row r="32" spans="2:8" ht="17.100000000000001" customHeight="1">
      <c r="B32" s="60">
        <v>44067</v>
      </c>
      <c r="C32" s="65" t="s">
        <v>10</v>
      </c>
      <c r="D32" s="72">
        <v>215967631</v>
      </c>
      <c r="E32" s="72">
        <v>14852070</v>
      </c>
      <c r="F32" s="72">
        <v>72570884</v>
      </c>
      <c r="G32" s="80">
        <v>23306308</v>
      </c>
      <c r="H32" s="80">
        <f t="shared" si="0"/>
        <v>326696893</v>
      </c>
    </row>
    <row r="33" spans="2:18" ht="17.100000000000001" customHeight="1">
      <c r="B33" s="60">
        <v>44068</v>
      </c>
      <c r="C33" s="65" t="s">
        <v>11</v>
      </c>
      <c r="D33" s="62">
        <v>205845476</v>
      </c>
      <c r="E33" s="62">
        <v>14525470</v>
      </c>
      <c r="F33" s="62">
        <v>71099187</v>
      </c>
      <c r="G33" s="77">
        <v>20697386</v>
      </c>
      <c r="H33" s="80">
        <f t="shared" si="0"/>
        <v>312167519</v>
      </c>
    </row>
    <row r="34" spans="2:18" ht="17.100000000000001" customHeight="1">
      <c r="B34" s="60">
        <v>44069</v>
      </c>
      <c r="C34" s="65" t="s">
        <v>12</v>
      </c>
      <c r="D34" s="62">
        <v>198244746</v>
      </c>
      <c r="E34" s="62">
        <v>14961670</v>
      </c>
      <c r="F34" s="62">
        <v>70962496</v>
      </c>
      <c r="G34" s="77">
        <v>21362291</v>
      </c>
      <c r="H34" s="80">
        <f t="shared" si="0"/>
        <v>305531203</v>
      </c>
    </row>
    <row r="35" spans="2:18" ht="17.100000000000001" customHeight="1">
      <c r="B35" s="60">
        <v>44070</v>
      </c>
      <c r="C35" s="65" t="s">
        <v>13</v>
      </c>
      <c r="D35" s="62">
        <v>202661802</v>
      </c>
      <c r="E35" s="62">
        <v>15552870</v>
      </c>
      <c r="F35" s="62">
        <v>68790653</v>
      </c>
      <c r="G35" s="77">
        <v>20625290</v>
      </c>
      <c r="H35" s="80">
        <f t="shared" si="0"/>
        <v>307630615</v>
      </c>
    </row>
    <row r="36" spans="2:18" ht="17.100000000000001" customHeight="1">
      <c r="B36" s="60">
        <v>44071</v>
      </c>
      <c r="C36" s="65" t="s">
        <v>14</v>
      </c>
      <c r="D36" s="62">
        <v>188146303</v>
      </c>
      <c r="E36" s="62">
        <v>14811910</v>
      </c>
      <c r="F36" s="62">
        <v>62647094</v>
      </c>
      <c r="G36" s="77">
        <v>19532209</v>
      </c>
      <c r="H36" s="80">
        <f t="shared" si="0"/>
        <v>285137516</v>
      </c>
    </row>
    <row r="37" spans="2:18" ht="17.100000000000001" customHeight="1">
      <c r="B37" s="60">
        <v>44072</v>
      </c>
      <c r="C37" s="65" t="s">
        <v>8</v>
      </c>
      <c r="D37" s="62">
        <v>139558734</v>
      </c>
      <c r="E37" s="62">
        <v>9235870</v>
      </c>
      <c r="F37" s="62">
        <v>58045134</v>
      </c>
      <c r="G37" s="77">
        <v>20477351</v>
      </c>
      <c r="H37" s="80">
        <f t="shared" si="0"/>
        <v>227317089</v>
      </c>
    </row>
    <row r="38" spans="2:18" ht="17.100000000000001" customHeight="1">
      <c r="B38" s="60">
        <v>44073</v>
      </c>
      <c r="C38" s="65" t="s">
        <v>9</v>
      </c>
      <c r="D38" s="62">
        <v>137019219</v>
      </c>
      <c r="E38" s="62">
        <v>8651860</v>
      </c>
      <c r="F38" s="62">
        <v>64917483</v>
      </c>
      <c r="G38" s="77">
        <v>21701953</v>
      </c>
      <c r="H38" s="80">
        <f t="shared" si="0"/>
        <v>232290515</v>
      </c>
    </row>
    <row r="39" spans="2:18" ht="17.100000000000001" customHeight="1">
      <c r="B39" s="60">
        <v>44074</v>
      </c>
      <c r="C39" s="65" t="s">
        <v>10</v>
      </c>
      <c r="D39" s="83">
        <v>200566142</v>
      </c>
      <c r="E39" s="83">
        <v>14782540</v>
      </c>
      <c r="F39" s="83">
        <v>60329248</v>
      </c>
      <c r="G39" s="84">
        <v>20715318</v>
      </c>
      <c r="H39" s="84">
        <f t="shared" si="0"/>
        <v>296393248</v>
      </c>
    </row>
    <row r="40" spans="2:18" ht="17.100000000000001" customHeight="1">
      <c r="B40" s="75" t="s">
        <v>92</v>
      </c>
      <c r="C40" s="69" t="s">
        <v>112</v>
      </c>
      <c r="D40" s="76"/>
      <c r="E40" s="68"/>
    </row>
    <row r="41" spans="2:18" ht="17.100000000000001" customHeight="1">
      <c r="B41" s="63" t="s">
        <v>21</v>
      </c>
      <c r="C41" s="63" t="s">
        <v>66</v>
      </c>
      <c r="D41" s="64" t="s">
        <v>22</v>
      </c>
      <c r="E41" s="63" t="s">
        <v>23</v>
      </c>
      <c r="F41" s="63" t="s">
        <v>24</v>
      </c>
      <c r="G41" s="63" t="s">
        <v>56</v>
      </c>
      <c r="H41" s="63" t="s">
        <v>76</v>
      </c>
      <c r="J41" s="151"/>
      <c r="K41" s="408"/>
      <c r="L41" s="408"/>
      <c r="M41" s="408"/>
      <c r="N41" s="408"/>
      <c r="O41" s="408"/>
      <c r="P41" s="408"/>
      <c r="Q41" s="408"/>
      <c r="R41" s="408"/>
    </row>
    <row r="42" spans="2:18" ht="12.75">
      <c r="B42" s="66" t="s">
        <v>25</v>
      </c>
      <c r="C42" s="66">
        <f>COUNTIF($C$9:$C$39,"월")</f>
        <v>4</v>
      </c>
      <c r="D42" s="68">
        <f>AVERAGEIF($C$9:$C$39,"월",$D$9:$D$39)</f>
        <v>199896619.25</v>
      </c>
      <c r="E42" s="68">
        <f>AVERAGEIF($C$9:$C$39,"월",E$9:E$39)</f>
        <v>15002065</v>
      </c>
      <c r="F42" s="68">
        <f>AVERAGEIF($C$9:$C$39,"월",F$9:F$39)</f>
        <v>65336685.25</v>
      </c>
      <c r="G42" s="68">
        <f>AVERAGEIF($C$9:$C$39,"월",G$9:G$39)</f>
        <v>21450852</v>
      </c>
      <c r="H42" s="68">
        <f>AVERAGEIF($C$9:$C$39,"월",H$9:H$39)</f>
        <v>301686221.5</v>
      </c>
      <c r="J42" s="152"/>
      <c r="K42" s="153"/>
      <c r="L42" s="154"/>
      <c r="M42" s="153"/>
      <c r="N42" s="154"/>
      <c r="O42" s="153"/>
      <c r="P42" s="154"/>
      <c r="Q42" s="153"/>
      <c r="R42" s="154"/>
    </row>
    <row r="43" spans="2:18" ht="12.75">
      <c r="B43" s="66" t="s">
        <v>26</v>
      </c>
      <c r="C43" s="66">
        <f>COUNTIF($C$9:$C$39,"화")</f>
        <v>4</v>
      </c>
      <c r="D43" s="68">
        <f>AVERAGEIF($C$9:$C$39,"화",D$9:D$39)</f>
        <v>196677728.5</v>
      </c>
      <c r="E43" s="68">
        <f>AVERAGEIF($C$9:$C$39,"화",E$9:E$39)</f>
        <v>14965197.5</v>
      </c>
      <c r="F43" s="68">
        <f>AVERAGEIF($C$9:$C$39,"화",F$9:F$39)</f>
        <v>67658882.5</v>
      </c>
      <c r="G43" s="68">
        <f>AVERAGEIF($C$9:$C$39,"화",G$9:G$39)</f>
        <v>22808229.75</v>
      </c>
      <c r="H43" s="68">
        <f>AVERAGEIF($C$9:$C$39,"화",H$9:H$39)</f>
        <v>302110038.25</v>
      </c>
      <c r="J43" s="155"/>
      <c r="K43" s="153"/>
      <c r="L43" s="154"/>
      <c r="M43" s="153"/>
      <c r="N43" s="154"/>
      <c r="O43" s="153"/>
      <c r="P43" s="154"/>
      <c r="Q43" s="153"/>
      <c r="R43" s="154"/>
    </row>
    <row r="44" spans="2:18" ht="12.75">
      <c r="B44" s="66" t="s">
        <v>27</v>
      </c>
      <c r="C44" s="66">
        <f>COUNTIF($C$9:$C$39,"수")</f>
        <v>4</v>
      </c>
      <c r="D44" s="68">
        <f>AVERAGEIF($C$9:$C$39,"수",D$9:D$39)</f>
        <v>194630293</v>
      </c>
      <c r="E44" s="68">
        <f>AVERAGEIF($C$9:$C$39,"수",E$9:E$39)</f>
        <v>14854317.5</v>
      </c>
      <c r="F44" s="68">
        <f>AVERAGEIF($C$9:$C$39,"수",F$9:F$39)</f>
        <v>68462386</v>
      </c>
      <c r="G44" s="68">
        <f>AVERAGEIF($C$9:$C$39,"수",G$9:G$39)</f>
        <v>20428129.25</v>
      </c>
      <c r="H44" s="68">
        <f>AVERAGEIF($C$9:$C$39,"수",H$9:H$39)</f>
        <v>298375125.75</v>
      </c>
      <c r="J44" s="155"/>
      <c r="K44" s="153"/>
      <c r="L44" s="154"/>
      <c r="M44" s="153"/>
      <c r="N44" s="154"/>
      <c r="O44" s="153"/>
      <c r="P44" s="154"/>
      <c r="Q44" s="153"/>
      <c r="R44" s="154"/>
    </row>
    <row r="45" spans="2:18" ht="12.75">
      <c r="B45" s="66" t="s">
        <v>28</v>
      </c>
      <c r="C45" s="66">
        <f>COUNTIF($C$9:$C$39,"목")</f>
        <v>4</v>
      </c>
      <c r="D45" s="68">
        <f>AVERAGEIF($C$9:$C$39,"목",D$9:D$39)</f>
        <v>193607868.75</v>
      </c>
      <c r="E45" s="68">
        <f>AVERAGEIF($C$9:$C$39,"목",E$9:E$39)</f>
        <v>14914880</v>
      </c>
      <c r="F45" s="68">
        <f>AVERAGEIF($C$9:$C$39,"목",F$9:F$39)</f>
        <v>63852136.25</v>
      </c>
      <c r="G45" s="68">
        <f>AVERAGEIF($C$9:$C$39,"목",G$9:G$39)</f>
        <v>19107435.25</v>
      </c>
      <c r="H45" s="68">
        <f>AVERAGEIF($C$9:$C$39,"목",H$9:H$39)</f>
        <v>291482320.25</v>
      </c>
      <c r="J45" s="155"/>
      <c r="K45" s="153"/>
      <c r="L45" s="154"/>
      <c r="M45" s="153"/>
      <c r="N45" s="154"/>
      <c r="O45" s="153"/>
      <c r="P45" s="154"/>
      <c r="Q45" s="153"/>
      <c r="R45" s="154"/>
    </row>
    <row r="46" spans="2:18" ht="12.75">
      <c r="B46" s="66" t="s">
        <v>29</v>
      </c>
      <c r="C46" s="66">
        <f>COUNTIF($C$9:$C$39,"금")</f>
        <v>4</v>
      </c>
      <c r="D46" s="68">
        <f>AVERAGEIF($C$9:$C$39,"금",D$9:D$39)</f>
        <v>180456155</v>
      </c>
      <c r="E46" s="68">
        <f>AVERAGEIF($C$9:$C$39,"금",E$9:E$39)</f>
        <v>14348665</v>
      </c>
      <c r="F46" s="68">
        <f>AVERAGEIF($C$9:$C$39,"금",F$9:F$39)</f>
        <v>59301147.25</v>
      </c>
      <c r="G46" s="68">
        <f>AVERAGEIF($C$9:$C$39,"금",G$9:G$39)</f>
        <v>17223287.5</v>
      </c>
      <c r="H46" s="68">
        <f>AVERAGEIF($C$9:$C$39,"금",H$9:H$39)</f>
        <v>271329254.75</v>
      </c>
      <c r="J46" s="156"/>
      <c r="K46" s="157"/>
      <c r="L46" s="158"/>
      <c r="M46" s="157"/>
      <c r="N46" s="158"/>
      <c r="O46" s="157"/>
      <c r="P46" s="158"/>
      <c r="Q46" s="157"/>
      <c r="R46" s="158"/>
    </row>
    <row r="47" spans="2:18" ht="12.75">
      <c r="B47" s="66" t="s">
        <v>30</v>
      </c>
      <c r="C47" s="66">
        <f>COUNTIF($C$9:$C$39,"토")</f>
        <v>4</v>
      </c>
      <c r="D47" s="68">
        <f>AVERAGEIF($C$9:$C$39,"토",D$9:D$39)</f>
        <v>131724558.5</v>
      </c>
      <c r="E47" s="68">
        <f>AVERAGEIF($C$9:$C$39,"토",E$9:E$39)</f>
        <v>9318917.5</v>
      </c>
      <c r="F47" s="68">
        <f>AVERAGEIF($C$9:$C$39,"토",F$9:F$39)</f>
        <v>54739921.5</v>
      </c>
      <c r="G47" s="68">
        <f>AVERAGEIF($C$9:$C$39,"토",G$9:G$39)</f>
        <v>19108183.5</v>
      </c>
      <c r="H47" s="68">
        <f>AVERAGEIF($C$9:$C$39,"토",H$9:H$39)</f>
        <v>214891581</v>
      </c>
      <c r="I47" s="67"/>
      <c r="J47" s="156"/>
      <c r="K47" s="157"/>
      <c r="L47" s="158"/>
      <c r="M47" s="157"/>
      <c r="N47" s="158"/>
      <c r="O47" s="157"/>
      <c r="P47" s="158"/>
      <c r="Q47" s="157"/>
      <c r="R47" s="158"/>
    </row>
    <row r="48" spans="2:18" ht="12.75">
      <c r="B48" s="66" t="s">
        <v>31</v>
      </c>
      <c r="C48" s="66">
        <f>COUNTIF($C$9:$C$39,"일")</f>
        <v>5</v>
      </c>
      <c r="D48" s="68">
        <f>AVERAGEIF($C$9:$C$39,"일",D$9:D$39)</f>
        <v>130576087.2</v>
      </c>
      <c r="E48" s="68">
        <f>AVERAGEIF($C$9:$C$39,"일",E$9:E$39)</f>
        <v>8601904</v>
      </c>
      <c r="F48" s="68">
        <f>AVERAGEIF($C$9:$C$39,"일",F$9:F$39)</f>
        <v>62319442.799999997</v>
      </c>
      <c r="G48" s="68">
        <f>AVERAGEIF($C$9:$C$39,"일",G$9:G$39)</f>
        <v>20436370</v>
      </c>
      <c r="H48" s="68">
        <f>AVERAGEIF($C$9:$C$39,"일",H$9:H$39)</f>
        <v>221933804</v>
      </c>
      <c r="J48" s="156"/>
      <c r="K48" s="157"/>
      <c r="L48" s="158"/>
      <c r="M48" s="157"/>
      <c r="N48" s="158"/>
      <c r="O48" s="157"/>
      <c r="P48" s="158"/>
      <c r="Q48" s="157"/>
      <c r="R48" s="158"/>
    </row>
    <row r="49" spans="2:18" ht="17.100000000000001" customHeight="1">
      <c r="D49" s="68"/>
      <c r="E49" s="68"/>
      <c r="F49" s="68"/>
      <c r="G49" s="68"/>
      <c r="H49" s="111"/>
      <c r="I49" s="112"/>
      <c r="J49" s="159"/>
      <c r="K49" s="160"/>
      <c r="L49" s="161"/>
      <c r="M49" s="160"/>
      <c r="N49" s="161"/>
      <c r="O49" s="160"/>
      <c r="P49" s="161"/>
      <c r="Q49" s="160"/>
      <c r="R49" s="161"/>
    </row>
    <row r="50" spans="2:18" ht="15" customHeight="1">
      <c r="B50" s="75" t="s">
        <v>106</v>
      </c>
    </row>
    <row r="51" spans="2:18" ht="15" customHeight="1" thickBot="1">
      <c r="B51" s="416" t="s">
        <v>105</v>
      </c>
      <c r="C51" s="416"/>
      <c r="D51" s="64" t="s">
        <v>22</v>
      </c>
      <c r="E51" s="63" t="s">
        <v>23</v>
      </c>
      <c r="F51" s="63" t="s">
        <v>24</v>
      </c>
      <c r="G51" s="63" t="s">
        <v>56</v>
      </c>
      <c r="J51" s="148" t="s">
        <v>121</v>
      </c>
      <c r="K51" s="417" t="s">
        <v>89</v>
      </c>
      <c r="L51" s="417"/>
      <c r="M51" s="417" t="s">
        <v>91</v>
      </c>
      <c r="N51" s="417"/>
      <c r="O51" s="417" t="s">
        <v>87</v>
      </c>
      <c r="P51" s="417"/>
      <c r="Q51" s="417" t="s">
        <v>88</v>
      </c>
      <c r="R51" s="417"/>
    </row>
    <row r="52" spans="2:18" ht="15" customHeight="1">
      <c r="B52" s="415" t="s">
        <v>93</v>
      </c>
      <c r="C52" s="415"/>
      <c r="D52" s="124">
        <f>L52</f>
        <v>0.36975780444665063</v>
      </c>
      <c r="E52" s="124">
        <f>N52</f>
        <v>0.36008366874010866</v>
      </c>
      <c r="F52" s="124">
        <f>P52</f>
        <v>7.4694761925228698E-2</v>
      </c>
      <c r="G52" s="124">
        <f>R52</f>
        <v>9.2451721622788141E-2</v>
      </c>
      <c r="J52" s="144" t="s">
        <v>122</v>
      </c>
      <c r="K52" s="120">
        <v>1968008338</v>
      </c>
      <c r="L52" s="162">
        <f t="shared" ref="L52:L59" si="1">K52/$K$59</f>
        <v>0.36975780444665063</v>
      </c>
      <c r="M52" s="120">
        <v>143233430</v>
      </c>
      <c r="N52" s="162">
        <f t="shared" ref="N52:N59" si="2">M52/$M$59</f>
        <v>0.36008366874010866</v>
      </c>
      <c r="O52" s="120">
        <v>146863476</v>
      </c>
      <c r="P52" s="162">
        <f t="shared" ref="P52:P59" si="3">O52/$O$59</f>
        <v>7.4694761925228698E-2</v>
      </c>
      <c r="Q52" s="120">
        <v>57118064</v>
      </c>
      <c r="R52" s="162">
        <f t="shared" ref="R52:R59" si="4">Q52/$Q$59</f>
        <v>9.2451721622788141E-2</v>
      </c>
    </row>
    <row r="53" spans="2:18" ht="15" customHeight="1">
      <c r="B53" s="415" t="s">
        <v>94</v>
      </c>
      <c r="C53" s="415"/>
      <c r="D53" s="124">
        <f t="shared" ref="D53:D56" si="5">L53</f>
        <v>0.12506844612111664</v>
      </c>
      <c r="E53" s="124">
        <f t="shared" ref="E53:E56" si="6">N53</f>
        <v>3.1867735131481188E-2</v>
      </c>
      <c r="F53" s="124">
        <f t="shared" ref="F53:F56" si="7">P53</f>
        <v>0.39819368436232039</v>
      </c>
      <c r="G53" s="124">
        <f t="shared" ref="G53:G56" si="8">R53</f>
        <v>0.41628290631494325</v>
      </c>
      <c r="J53" s="144" t="s">
        <v>123</v>
      </c>
      <c r="K53" s="120">
        <v>665667477</v>
      </c>
      <c r="L53" s="162">
        <f t="shared" si="1"/>
        <v>0.12506844612111664</v>
      </c>
      <c r="M53" s="120">
        <v>12676290</v>
      </c>
      <c r="N53" s="162">
        <f t="shared" si="2"/>
        <v>3.1867735131481188E-2</v>
      </c>
      <c r="O53" s="120">
        <v>782921146</v>
      </c>
      <c r="P53" s="162">
        <f t="shared" si="3"/>
        <v>0.39819368436232039</v>
      </c>
      <c r="Q53" s="120">
        <v>257185840</v>
      </c>
      <c r="R53" s="162">
        <f t="shared" si="4"/>
        <v>0.41628290631494325</v>
      </c>
    </row>
    <row r="54" spans="2:18" ht="15" customHeight="1">
      <c r="B54" s="415" t="s">
        <v>95</v>
      </c>
      <c r="C54" s="415"/>
      <c r="D54" s="124">
        <f t="shared" si="5"/>
        <v>8.4384928387707697E-2</v>
      </c>
      <c r="E54" s="124">
        <f t="shared" si="6"/>
        <v>0.31512700583206937</v>
      </c>
      <c r="F54" s="124">
        <f t="shared" si="7"/>
        <v>0.49955990359989749</v>
      </c>
      <c r="G54" s="124">
        <f t="shared" si="8"/>
        <v>0.34892305203337726</v>
      </c>
      <c r="J54" s="144" t="s">
        <v>124</v>
      </c>
      <c r="K54" s="120">
        <v>449132488</v>
      </c>
      <c r="L54" s="162">
        <f t="shared" si="1"/>
        <v>8.4384928387707697E-2</v>
      </c>
      <c r="M54" s="120">
        <v>125350650</v>
      </c>
      <c r="N54" s="162">
        <f t="shared" si="2"/>
        <v>0.31512700583206937</v>
      </c>
      <c r="O54" s="120">
        <v>982225554</v>
      </c>
      <c r="P54" s="162">
        <f t="shared" si="3"/>
        <v>0.49955990359989749</v>
      </c>
      <c r="Q54" s="120">
        <v>215569909</v>
      </c>
      <c r="R54" s="162">
        <f t="shared" si="4"/>
        <v>0.34892305203337726</v>
      </c>
    </row>
    <row r="55" spans="2:18" ht="15" customHeight="1">
      <c r="B55" s="415" t="s">
        <v>96</v>
      </c>
      <c r="C55" s="415"/>
      <c r="D55" s="124">
        <f t="shared" si="5"/>
        <v>0.39205971975985721</v>
      </c>
      <c r="E55" s="124">
        <f t="shared" si="6"/>
        <v>0.2898524426389491</v>
      </c>
      <c r="F55" s="124">
        <f t="shared" si="7"/>
        <v>0</v>
      </c>
      <c r="G55" s="124">
        <f t="shared" si="8"/>
        <v>3.1693288061898409E-3</v>
      </c>
      <c r="J55" s="144" t="s">
        <v>125</v>
      </c>
      <c r="K55" s="120">
        <v>2086708619</v>
      </c>
      <c r="L55" s="162">
        <f t="shared" si="1"/>
        <v>0.39205971975985721</v>
      </c>
      <c r="M55" s="120">
        <v>115296980</v>
      </c>
      <c r="N55" s="162">
        <f t="shared" si="2"/>
        <v>0.2898524426389491</v>
      </c>
      <c r="O55"/>
      <c r="P55" s="162">
        <f t="shared" si="3"/>
        <v>0</v>
      </c>
      <c r="Q55" s="120">
        <v>1958059</v>
      </c>
      <c r="R55" s="162">
        <f t="shared" si="4"/>
        <v>3.1693288061898409E-3</v>
      </c>
    </row>
    <row r="56" spans="2:18" ht="15" customHeight="1">
      <c r="B56" s="415" t="s">
        <v>102</v>
      </c>
      <c r="C56" s="415"/>
      <c r="D56" s="124">
        <f t="shared" si="5"/>
        <v>1.7271496306420487E-2</v>
      </c>
      <c r="E56" s="124">
        <f t="shared" si="6"/>
        <v>3.0691476573916736E-3</v>
      </c>
      <c r="F56" s="124">
        <f t="shared" si="7"/>
        <v>2.751044842763916E-2</v>
      </c>
      <c r="G56" s="124">
        <f t="shared" si="8"/>
        <v>6.8884792880543652E-2</v>
      </c>
      <c r="J56" s="145" t="s">
        <v>90</v>
      </c>
      <c r="K56" s="146">
        <v>91926251</v>
      </c>
      <c r="L56" s="163">
        <f t="shared" si="1"/>
        <v>1.7271496306420487E-2</v>
      </c>
      <c r="M56" s="146">
        <v>1220840</v>
      </c>
      <c r="N56" s="163">
        <f t="shared" si="2"/>
        <v>3.0691476573916736E-3</v>
      </c>
      <c r="O56" s="146">
        <v>54090541</v>
      </c>
      <c r="P56" s="163">
        <f t="shared" si="3"/>
        <v>2.751044842763916E-2</v>
      </c>
      <c r="Q56" s="146">
        <v>42558061</v>
      </c>
      <c r="R56" s="163">
        <f t="shared" si="4"/>
        <v>6.8884792880543652E-2</v>
      </c>
    </row>
    <row r="57" spans="2:18" ht="15" customHeight="1">
      <c r="B57" s="415" t="s">
        <v>103</v>
      </c>
      <c r="C57" s="415"/>
      <c r="D57" s="124">
        <f>L58</f>
        <v>9.205013903378469E-4</v>
      </c>
      <c r="E57" s="124">
        <f>N58</f>
        <v>0</v>
      </c>
      <c r="F57" s="124">
        <f>P58</f>
        <v>4.1201684914244956E-5</v>
      </c>
      <c r="G57" s="124">
        <f>R58</f>
        <v>0</v>
      </c>
      <c r="J57" s="145" t="s">
        <v>127</v>
      </c>
      <c r="K57" s="146">
        <v>56082948</v>
      </c>
      <c r="L57" s="163">
        <f t="shared" si="1"/>
        <v>1.0537103587909533E-2</v>
      </c>
      <c r="M57" s="146"/>
      <c r="N57" s="163">
        <f t="shared" si="2"/>
        <v>0</v>
      </c>
      <c r="O57" s="146"/>
      <c r="P57" s="163">
        <f t="shared" si="3"/>
        <v>0</v>
      </c>
      <c r="Q57" s="146">
        <v>43425106</v>
      </c>
      <c r="R57" s="163">
        <f t="shared" si="4"/>
        <v>7.0288198342157868E-2</v>
      </c>
    </row>
    <row r="58" spans="2:18" ht="15" customHeight="1" thickBot="1">
      <c r="J58" s="145" t="s">
        <v>126</v>
      </c>
      <c r="K58" s="146">
        <v>4899300</v>
      </c>
      <c r="L58" s="163">
        <f t="shared" si="1"/>
        <v>9.205013903378469E-4</v>
      </c>
      <c r="M58" s="147"/>
      <c r="N58" s="163">
        <f t="shared" si="2"/>
        <v>0</v>
      </c>
      <c r="O58" s="146">
        <v>81010</v>
      </c>
      <c r="P58" s="163">
        <f t="shared" si="3"/>
        <v>4.1201684914244956E-5</v>
      </c>
      <c r="Q58" s="147"/>
      <c r="R58" s="163">
        <f t="shared" si="4"/>
        <v>0</v>
      </c>
    </row>
    <row r="59" spans="2:18" ht="15" customHeight="1">
      <c r="J59" s="149" t="s">
        <v>2</v>
      </c>
      <c r="K59" s="150">
        <f>SUM(K52:K58)</f>
        <v>5322425421</v>
      </c>
      <c r="L59" s="164">
        <f t="shared" si="1"/>
        <v>1</v>
      </c>
      <c r="M59" s="150">
        <f>SUM(M52:M58)</f>
        <v>397778190</v>
      </c>
      <c r="N59" s="164">
        <f t="shared" si="2"/>
        <v>1</v>
      </c>
      <c r="O59" s="150">
        <f>SUM(O52:O58)</f>
        <v>1966181727</v>
      </c>
      <c r="P59" s="164">
        <f t="shared" si="3"/>
        <v>1</v>
      </c>
      <c r="Q59" s="150">
        <f>SUM(Q52:Q58)</f>
        <v>617815039</v>
      </c>
      <c r="R59" s="164">
        <f t="shared" si="4"/>
        <v>1</v>
      </c>
    </row>
  </sheetData>
  <mergeCells count="19">
    <mergeCell ref="K51:L51"/>
    <mergeCell ref="M51:N51"/>
    <mergeCell ref="O51:P51"/>
    <mergeCell ref="Q51:R51"/>
    <mergeCell ref="B56:C56"/>
    <mergeCell ref="B57:C57"/>
    <mergeCell ref="B51:C51"/>
    <mergeCell ref="B52:C52"/>
    <mergeCell ref="B53:C53"/>
    <mergeCell ref="B54:C54"/>
    <mergeCell ref="B55:C55"/>
    <mergeCell ref="M41:N41"/>
    <mergeCell ref="O41:P41"/>
    <mergeCell ref="Q41:R41"/>
    <mergeCell ref="B7:C7"/>
    <mergeCell ref="B2:H2"/>
    <mergeCell ref="C4:D4"/>
    <mergeCell ref="C5:D5"/>
    <mergeCell ref="K41:L41"/>
  </mergeCells>
  <phoneticPr fontId="11" type="noConversion"/>
  <conditionalFormatting sqref="C9:C39">
    <cfRule type="containsText" dxfId="1" priority="15" operator="containsText" text="일">
      <formula>NOT(ISERROR(SEARCH("일",C9)))</formula>
    </cfRule>
    <cfRule type="containsText" dxfId="0" priority="16" operator="containsText" text="토">
      <formula>NOT(ISERROR(SEARCH("토",C9)))</formula>
    </cfRule>
  </conditionalFormatting>
  <pageMargins left="0.19685039370078741" right="0.19685039370078741" top="0.19685039370078741" bottom="0.19685039370078741" header="0" footer="0"/>
  <pageSetup paperSize="9" scale="71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W104"/>
  <sheetViews>
    <sheetView showGridLines="0" topLeftCell="A40" zoomScaleNormal="100" workbookViewId="0">
      <selection activeCell="U26" sqref="U26"/>
    </sheetView>
  </sheetViews>
  <sheetFormatPr defaultColWidth="8.85546875" defaultRowHeight="13.5"/>
  <cols>
    <col min="1" max="1" width="2.7109375" customWidth="1"/>
    <col min="2" max="2" width="7.28515625" style="3" customWidth="1"/>
    <col min="3" max="3" width="14.28515625" style="3" bestFit="1" customWidth="1"/>
    <col min="4" max="4" width="16.42578125" bestFit="1" customWidth="1"/>
    <col min="5" max="5" width="15" bestFit="1" customWidth="1"/>
    <col min="6" max="6" width="16.42578125" bestFit="1" customWidth="1"/>
    <col min="7" max="7" width="14.7109375" bestFit="1" customWidth="1"/>
    <col min="8" max="8" width="15" bestFit="1" customWidth="1"/>
    <col min="9" max="9" width="14.7109375" bestFit="1" customWidth="1"/>
    <col min="10" max="10" width="13.42578125" bestFit="1" customWidth="1"/>
    <col min="11" max="11" width="11.28515625" bestFit="1" customWidth="1"/>
    <col min="12" max="13" width="6.7109375" bestFit="1" customWidth="1"/>
    <col min="14" max="14" width="7.28515625" bestFit="1" customWidth="1"/>
    <col min="15" max="15" width="14.7109375" bestFit="1" customWidth="1"/>
    <col min="16" max="16" width="13.42578125" bestFit="1" customWidth="1"/>
    <col min="17" max="17" width="14.7109375" bestFit="1" customWidth="1"/>
    <col min="18" max="18" width="13.42578125" bestFit="1" customWidth="1"/>
    <col min="19" max="19" width="8.28515625" bestFit="1" customWidth="1"/>
    <col min="20" max="21" width="6.7109375" bestFit="1" customWidth="1"/>
    <col min="22" max="22" width="7.28515625" bestFit="1" customWidth="1"/>
  </cols>
  <sheetData>
    <row r="2" spans="2:23" ht="17.25">
      <c r="B2" s="51" t="s">
        <v>107</v>
      </c>
    </row>
    <row r="3" spans="2:23" ht="18.75" customHeight="1">
      <c r="B3" s="4" t="s">
        <v>36</v>
      </c>
    </row>
    <row r="4" spans="2:23">
      <c r="B4" s="17" t="s">
        <v>20</v>
      </c>
      <c r="C4" s="421" t="s">
        <v>42</v>
      </c>
      <c r="D4" s="421"/>
      <c r="E4" s="421"/>
      <c r="F4" s="421"/>
      <c r="G4" s="422" t="s">
        <v>32</v>
      </c>
      <c r="H4" s="422"/>
      <c r="I4" s="422"/>
      <c r="J4" s="422"/>
      <c r="K4" s="423" t="s">
        <v>33</v>
      </c>
      <c r="L4" s="423"/>
      <c r="M4" s="423"/>
      <c r="N4" s="423"/>
      <c r="O4" s="424" t="s">
        <v>75</v>
      </c>
      <c r="P4" s="424"/>
      <c r="Q4" s="424"/>
      <c r="R4" s="424"/>
      <c r="S4" s="420" t="s">
        <v>45</v>
      </c>
      <c r="T4" s="420"/>
      <c r="U4" s="420"/>
      <c r="V4" s="420"/>
    </row>
    <row r="5" spans="2:23">
      <c r="B5" s="10" t="s">
        <v>21</v>
      </c>
      <c r="C5" s="9" t="s">
        <v>22</v>
      </c>
      <c r="D5" s="10" t="s">
        <v>23</v>
      </c>
      <c r="E5" s="10" t="s">
        <v>24</v>
      </c>
      <c r="F5" s="10" t="s">
        <v>7</v>
      </c>
      <c r="G5" s="41" t="s">
        <v>22</v>
      </c>
      <c r="H5" s="42" t="s">
        <v>23</v>
      </c>
      <c r="I5" s="42" t="s">
        <v>24</v>
      </c>
      <c r="J5" s="42" t="s">
        <v>7</v>
      </c>
      <c r="K5" s="41" t="s">
        <v>22</v>
      </c>
      <c r="L5" s="42" t="s">
        <v>23</v>
      </c>
      <c r="M5" s="42" t="s">
        <v>24</v>
      </c>
      <c r="N5" s="42" t="s">
        <v>7</v>
      </c>
      <c r="O5" s="8" t="s">
        <v>22</v>
      </c>
      <c r="P5" s="37" t="s">
        <v>23</v>
      </c>
      <c r="Q5" s="37" t="s">
        <v>24</v>
      </c>
      <c r="R5" s="37" t="s">
        <v>7</v>
      </c>
      <c r="S5" s="8" t="s">
        <v>22</v>
      </c>
      <c r="T5" s="37" t="s">
        <v>23</v>
      </c>
      <c r="U5" s="37" t="s">
        <v>24</v>
      </c>
      <c r="V5" s="37" t="s">
        <v>7</v>
      </c>
    </row>
    <row r="6" spans="2:23">
      <c r="B6" s="43" t="s">
        <v>25</v>
      </c>
      <c r="C6" s="13">
        <v>107317058</v>
      </c>
      <c r="D6" s="13">
        <v>17569410</v>
      </c>
      <c r="E6" s="13">
        <v>59026921</v>
      </c>
      <c r="F6" s="13">
        <v>21438546</v>
      </c>
      <c r="G6" s="20">
        <v>157358708</v>
      </c>
      <c r="H6" s="20">
        <v>21083790</v>
      </c>
      <c r="I6" s="20">
        <v>67221966</v>
      </c>
      <c r="J6" s="20">
        <v>20713181</v>
      </c>
      <c r="K6" s="34">
        <f>C6/G6</f>
        <v>0.68198995380668737</v>
      </c>
      <c r="L6" s="34">
        <f t="shared" ref="L6:N12" si="0">D6/H6</f>
        <v>0.83331364996521029</v>
      </c>
      <c r="M6" s="34">
        <f t="shared" si="0"/>
        <v>0.87808977500003493</v>
      </c>
      <c r="N6" s="34">
        <f t="shared" si="0"/>
        <v>1.035019488315194</v>
      </c>
      <c r="O6" s="11">
        <f>AVERAGEIF($B$19:$B$49,"월",D$19:D$49)</f>
        <v>162931072.19999999</v>
      </c>
      <c r="P6" s="11">
        <f>AVERAGEIF($B$19:$B$49,"월",E$19:E$49)</f>
        <v>22225296</v>
      </c>
      <c r="Q6" s="11">
        <f>AVERAGEIF($B$19:$B$49,"월",F$19:F$49)</f>
        <v>58827924.799999997</v>
      </c>
      <c r="R6" s="11">
        <f>AVERAGEIF($B$19:$B$49,"월",G$19:G$49)</f>
        <v>21283966.600000001</v>
      </c>
      <c r="S6" s="34">
        <f>C6/O6</f>
        <v>0.65866538868821123</v>
      </c>
      <c r="T6" s="34">
        <f t="shared" ref="T6:V13" si="1">D6/P6</f>
        <v>0.79051410608884576</v>
      </c>
      <c r="U6" s="34">
        <f t="shared" si="1"/>
        <v>1.0033826826405408</v>
      </c>
      <c r="V6" s="34">
        <f t="shared" si="1"/>
        <v>1.0072627157759211</v>
      </c>
    </row>
    <row r="7" spans="2:23">
      <c r="B7" s="43" t="s">
        <v>26</v>
      </c>
      <c r="C7" s="13">
        <v>150968697</v>
      </c>
      <c r="D7" s="13">
        <v>20439120</v>
      </c>
      <c r="E7" s="13">
        <v>48838168</v>
      </c>
      <c r="F7" s="13">
        <v>17579534</v>
      </c>
      <c r="G7" s="38">
        <v>171545258</v>
      </c>
      <c r="H7" s="38">
        <v>24101170</v>
      </c>
      <c r="I7" s="38">
        <v>77172343</v>
      </c>
      <c r="J7" s="38">
        <v>21658344</v>
      </c>
      <c r="K7" s="34">
        <f t="shared" ref="K7:K12" si="2">C7/G7</f>
        <v>0.88005170623836193</v>
      </c>
      <c r="L7" s="34">
        <f t="shared" si="0"/>
        <v>0.84805509442072724</v>
      </c>
      <c r="M7" s="34">
        <f t="shared" si="0"/>
        <v>0.63284547418755965</v>
      </c>
      <c r="N7" s="34">
        <f t="shared" si="0"/>
        <v>0.81167489074880328</v>
      </c>
      <c r="O7" s="38">
        <f>AVERAGEIF($B$19:$B$49,"화",D$19:D$49)</f>
        <v>152164345</v>
      </c>
      <c r="P7" s="38">
        <f>AVERAGEIF($B$19:$B$49,"화",E$19:E$49)</f>
        <v>20550212</v>
      </c>
      <c r="Q7" s="38">
        <f>AVERAGEIF($B$19:$B$49,"화",F$19:F$49)</f>
        <v>52623294.799999997</v>
      </c>
      <c r="R7" s="38">
        <f>AVERAGEIF($B$19:$B$49,"화",G$19:G$49)</f>
        <v>19893286.199999999</v>
      </c>
      <c r="S7" s="34">
        <f t="shared" ref="S7:S8" si="3">C7/O7</f>
        <v>0.99214239051861985</v>
      </c>
      <c r="T7" s="34">
        <f t="shared" si="1"/>
        <v>0.99459411902903971</v>
      </c>
      <c r="U7" s="34">
        <f t="shared" si="1"/>
        <v>0.928071269304103</v>
      </c>
      <c r="V7" s="34">
        <f t="shared" si="1"/>
        <v>0.88369180552984761</v>
      </c>
    </row>
    <row r="8" spans="2:23">
      <c r="B8" s="43" t="s">
        <v>27</v>
      </c>
      <c r="C8" s="13">
        <v>140723271</v>
      </c>
      <c r="D8" s="13">
        <v>18876400</v>
      </c>
      <c r="E8" s="13">
        <v>43783781</v>
      </c>
      <c r="F8" s="13">
        <v>15031674</v>
      </c>
      <c r="G8" s="38">
        <v>163586017</v>
      </c>
      <c r="H8" s="38">
        <v>20666350</v>
      </c>
      <c r="I8" s="38">
        <v>75065138</v>
      </c>
      <c r="J8" s="38">
        <v>21630586</v>
      </c>
      <c r="K8" s="34">
        <f t="shared" si="2"/>
        <v>0.86024021845339016</v>
      </c>
      <c r="L8" s="34">
        <f t="shared" si="0"/>
        <v>0.91338818901257357</v>
      </c>
      <c r="M8" s="34">
        <f t="shared" si="0"/>
        <v>0.58327716655899575</v>
      </c>
      <c r="N8" s="34">
        <f t="shared" si="0"/>
        <v>0.69492680410969909</v>
      </c>
      <c r="O8" s="38">
        <f>AVERAGEIF($B$19:$B$49,"수",D$19:D$49)</f>
        <v>162250769.66666666</v>
      </c>
      <c r="P8" s="38">
        <f>AVERAGEIF($B$19:$B$49,"수",E$19:E$49)</f>
        <v>20049760</v>
      </c>
      <c r="Q8" s="38">
        <f>AVERAGEIF($B$19:$B$49,"수",F$19:F$49)</f>
        <v>58687373</v>
      </c>
      <c r="R8" s="38">
        <f>AVERAGEIF($B$19:$B$49,"수",G$19:G$49)</f>
        <v>23652885</v>
      </c>
      <c r="S8" s="34">
        <f t="shared" si="3"/>
        <v>0.86731958984913626</v>
      </c>
      <c r="T8" s="34">
        <f t="shared" si="1"/>
        <v>0.94147760372193978</v>
      </c>
      <c r="U8" s="34">
        <f t="shared" si="1"/>
        <v>0.74605113096474773</v>
      </c>
      <c r="V8" s="34">
        <f t="shared" si="1"/>
        <v>0.63551122833430251</v>
      </c>
    </row>
    <row r="9" spans="2:23">
      <c r="B9" s="43" t="s">
        <v>28</v>
      </c>
      <c r="C9" s="13">
        <v>113866716</v>
      </c>
      <c r="D9" s="13">
        <v>16430240</v>
      </c>
      <c r="E9" s="13">
        <v>34721203</v>
      </c>
      <c r="F9" s="13">
        <v>13094767</v>
      </c>
      <c r="G9" s="20">
        <v>158632388</v>
      </c>
      <c r="H9" s="20">
        <v>17305370</v>
      </c>
      <c r="I9" s="20">
        <v>69973068</v>
      </c>
      <c r="J9" s="20">
        <v>19915743</v>
      </c>
      <c r="K9" s="34">
        <f t="shared" ref="K9:N10" si="4">C9/G9</f>
        <v>0.71780244523583669</v>
      </c>
      <c r="L9" s="34">
        <f t="shared" si="4"/>
        <v>0.9494301479829671</v>
      </c>
      <c r="M9" s="34">
        <f t="shared" si="4"/>
        <v>0.49620809823573836</v>
      </c>
      <c r="N9" s="34">
        <f t="shared" si="4"/>
        <v>0.657508333984828</v>
      </c>
      <c r="O9" s="11">
        <f>AVERAGEIF($B$19:$B$49,"목",D$19:D$49)</f>
        <v>158020127.25</v>
      </c>
      <c r="P9" s="11">
        <f>AVERAGEIF($B$19:$B$49,"목",E$19:E$49)</f>
        <v>22184517.5</v>
      </c>
      <c r="Q9" s="11">
        <f>AVERAGEIF($B$19:$B$49,"목",F$19:F$49)</f>
        <v>55001241.25</v>
      </c>
      <c r="R9" s="11">
        <f>AVERAGEIF($B$19:$B$49,"목",G$19:G$49)</f>
        <v>19789212.25</v>
      </c>
      <c r="S9" s="34">
        <f t="shared" ref="S9:V10" si="5">C9/O9</f>
        <v>0.72058362426106704</v>
      </c>
      <c r="T9" s="34">
        <f t="shared" si="5"/>
        <v>0.74061741482545207</v>
      </c>
      <c r="U9" s="34">
        <f t="shared" si="5"/>
        <v>0.63128035315021191</v>
      </c>
      <c r="V9" s="34">
        <f t="shared" si="5"/>
        <v>0.66171239332682386</v>
      </c>
    </row>
    <row r="10" spans="2:23">
      <c r="B10" s="43" t="s">
        <v>29</v>
      </c>
      <c r="C10" s="13">
        <v>72830829</v>
      </c>
      <c r="D10" s="13">
        <v>11749710</v>
      </c>
      <c r="E10" s="13">
        <v>33749837</v>
      </c>
      <c r="F10" s="13">
        <v>13203881</v>
      </c>
      <c r="G10" s="20">
        <v>148388047</v>
      </c>
      <c r="H10" s="20">
        <v>16118690</v>
      </c>
      <c r="I10" s="20">
        <v>64781783</v>
      </c>
      <c r="J10" s="20">
        <v>18006681</v>
      </c>
      <c r="K10" s="34">
        <f t="shared" si="4"/>
        <v>0.49081331328526751</v>
      </c>
      <c r="L10" s="34">
        <f t="shared" si="4"/>
        <v>0.72894943695796621</v>
      </c>
      <c r="M10" s="34">
        <f t="shared" si="4"/>
        <v>0.52097727844261399</v>
      </c>
      <c r="N10" s="34">
        <f t="shared" si="4"/>
        <v>0.73327677654754919</v>
      </c>
      <c r="O10" s="11">
        <f>AVERAGEIF($B$19:$B$49,"금",D$19:D$49)</f>
        <v>146825783.75</v>
      </c>
      <c r="P10" s="11">
        <f>AVERAGEIF($B$19:$B$49,"금",E$19:E$49)</f>
        <v>21080382.5</v>
      </c>
      <c r="Q10" s="11">
        <f>AVERAGEIF($B$19:$B$49,"금",F$19:F$49)</f>
        <v>50531349.5</v>
      </c>
      <c r="R10" s="11">
        <f>AVERAGEIF($B$19:$B$49,"금",G$19:G$49)</f>
        <v>18129343</v>
      </c>
      <c r="S10" s="34">
        <f t="shared" si="5"/>
        <v>0.49603569032540579</v>
      </c>
      <c r="T10" s="34">
        <f t="shared" si="5"/>
        <v>0.55737650870424194</v>
      </c>
      <c r="U10" s="34">
        <f t="shared" si="5"/>
        <v>0.66789898417417093</v>
      </c>
      <c r="V10" s="34">
        <f t="shared" si="5"/>
        <v>0.72831547177412881</v>
      </c>
    </row>
    <row r="11" spans="2:23">
      <c r="B11" s="43" t="s">
        <v>30</v>
      </c>
      <c r="C11" s="13">
        <v>68701961</v>
      </c>
      <c r="D11" s="13">
        <v>11812420</v>
      </c>
      <c r="E11" s="13">
        <v>36878401</v>
      </c>
      <c r="F11" s="13">
        <v>14561409</v>
      </c>
      <c r="G11" s="20">
        <v>102787392</v>
      </c>
      <c r="H11" s="20">
        <v>10900960</v>
      </c>
      <c r="I11" s="20">
        <v>61601728</v>
      </c>
      <c r="J11" s="20">
        <v>18613093</v>
      </c>
      <c r="K11" s="34">
        <f t="shared" si="2"/>
        <v>0.66838898879738096</v>
      </c>
      <c r="L11" s="34">
        <f t="shared" si="0"/>
        <v>1.0836128194214087</v>
      </c>
      <c r="M11" s="34">
        <f t="shared" si="0"/>
        <v>0.59865854737061919</v>
      </c>
      <c r="N11" s="34">
        <f t="shared" si="0"/>
        <v>0.78232075668455536</v>
      </c>
      <c r="O11" s="11">
        <f>AVERAGEIF($B$19:$B$49,"토",D$19:D$49)</f>
        <v>97720271.25</v>
      </c>
      <c r="P11" s="11">
        <f>AVERAGEIF($B$19:$B$49,"토",E$19:E$49)</f>
        <v>15375170</v>
      </c>
      <c r="Q11" s="11">
        <f>AVERAGEIF($B$19:$B$49,"토",F$19:F$49)</f>
        <v>47447783.25</v>
      </c>
      <c r="R11" s="11">
        <f>AVERAGEIF($B$19:$B$49,"토",G$19:G$49)</f>
        <v>18073483.5</v>
      </c>
      <c r="S11" s="34">
        <f>C11/O11</f>
        <v>0.70304717865792865</v>
      </c>
      <c r="T11" s="34">
        <f t="shared" si="1"/>
        <v>0.7682789848827688</v>
      </c>
      <c r="U11" s="34">
        <f t="shared" si="1"/>
        <v>0.77724181139695292</v>
      </c>
      <c r="V11" s="34">
        <f t="shared" si="1"/>
        <v>0.80567805315450114</v>
      </c>
    </row>
    <row r="12" spans="2:23">
      <c r="B12" s="43" t="s">
        <v>31</v>
      </c>
      <c r="C12" s="13">
        <v>79786026</v>
      </c>
      <c r="D12" s="13">
        <v>13702400</v>
      </c>
      <c r="E12" s="13">
        <v>45220613</v>
      </c>
      <c r="F12" s="13">
        <v>17272082</v>
      </c>
      <c r="G12" s="20">
        <v>101385740</v>
      </c>
      <c r="H12" s="20">
        <v>10345460</v>
      </c>
      <c r="I12" s="20">
        <v>70329370</v>
      </c>
      <c r="J12" s="20">
        <v>21108814</v>
      </c>
      <c r="K12" s="34">
        <f t="shared" si="2"/>
        <v>0.78695510828248627</v>
      </c>
      <c r="L12" s="34">
        <f t="shared" si="0"/>
        <v>1.3244843631892638</v>
      </c>
      <c r="M12" s="34">
        <f t="shared" si="0"/>
        <v>0.64298333683353059</v>
      </c>
      <c r="N12" s="34">
        <f t="shared" si="0"/>
        <v>0.81824028578772834</v>
      </c>
      <c r="O12" s="11">
        <f>AVERAGEIF($B$19:$B$49,"일",D$19:D$49)</f>
        <v>97967337.799999997</v>
      </c>
      <c r="P12" s="11">
        <f>AVERAGEIF($B$19:$B$49,"일",E$19:E$49)</f>
        <v>14995202</v>
      </c>
      <c r="Q12" s="11">
        <f>AVERAGEIF($B$19:$B$49,"일",F$19:F$49)</f>
        <v>56376684.399999999</v>
      </c>
      <c r="R12" s="11">
        <f>AVERAGEIF($B$19:$B$49,"일",G$19:G$49)</f>
        <v>21340615</v>
      </c>
      <c r="S12" s="34">
        <f>C12/O12</f>
        <v>0.81441455684835407</v>
      </c>
      <c r="T12" s="34">
        <f t="shared" si="1"/>
        <v>0.91378562289457654</v>
      </c>
      <c r="U12" s="34">
        <f t="shared" si="1"/>
        <v>0.80211551071634146</v>
      </c>
      <c r="V12" s="34">
        <f t="shared" si="1"/>
        <v>0.80935258894835038</v>
      </c>
    </row>
    <row r="13" spans="2:23">
      <c r="B13" s="44" t="s">
        <v>44</v>
      </c>
      <c r="C13" s="33">
        <f>SUM(C10:C12,C6)</f>
        <v>328635874</v>
      </c>
      <c r="D13" s="33">
        <f t="shared" ref="D13:J13" si="6">SUM(D10:D12,D6)</f>
        <v>54833940</v>
      </c>
      <c r="E13" s="33">
        <f t="shared" si="6"/>
        <v>174875772</v>
      </c>
      <c r="F13" s="33">
        <f t="shared" si="6"/>
        <v>66475918</v>
      </c>
      <c r="G13" s="35">
        <f t="shared" si="6"/>
        <v>509919887</v>
      </c>
      <c r="H13" s="35">
        <f t="shared" si="6"/>
        <v>58448900</v>
      </c>
      <c r="I13" s="35">
        <f t="shared" si="6"/>
        <v>263934847</v>
      </c>
      <c r="J13" s="35">
        <f t="shared" si="6"/>
        <v>78441769</v>
      </c>
      <c r="K13" s="36">
        <f>C13/G13</f>
        <v>0.64448530519853997</v>
      </c>
      <c r="L13" s="36">
        <f>D13/H13</f>
        <v>0.93815178728769921</v>
      </c>
      <c r="M13" s="36">
        <f>E13/I13</f>
        <v>0.66257174445782829</v>
      </c>
      <c r="N13" s="36">
        <f>F13/J13</f>
        <v>0.84745562023212406</v>
      </c>
      <c r="O13" s="35">
        <f>SUM(O10:O12,O6)</f>
        <v>505444465</v>
      </c>
      <c r="P13" s="35">
        <f>SUM(P10:P12,P6)</f>
        <v>73676050.5</v>
      </c>
      <c r="Q13" s="35">
        <f>SUM(Q10:Q12,Q6)</f>
        <v>213183741.94999999</v>
      </c>
      <c r="R13" s="35">
        <f>SUM(R10:R12,R6)</f>
        <v>78827408.099999994</v>
      </c>
      <c r="S13" s="108">
        <f>C13/O13</f>
        <v>0.65019185441075111</v>
      </c>
      <c r="T13" s="108">
        <f t="shared" si="1"/>
        <v>0.7442573214480328</v>
      </c>
      <c r="U13" s="108">
        <f t="shared" si="1"/>
        <v>0.82030538727017599</v>
      </c>
      <c r="V13" s="108">
        <f t="shared" si="1"/>
        <v>0.84330970156559037</v>
      </c>
      <c r="W13" s="132"/>
    </row>
    <row r="14" spans="2:23">
      <c r="B14" s="5"/>
      <c r="C14" s="5"/>
      <c r="D14" s="6"/>
      <c r="E14" s="6"/>
      <c r="F14" s="6"/>
      <c r="G14" s="6"/>
      <c r="H14" s="6"/>
      <c r="I14" s="6"/>
      <c r="J14" s="6"/>
      <c r="K14" s="131"/>
      <c r="L14" s="131"/>
      <c r="M14" s="131"/>
      <c r="N14" s="131"/>
      <c r="O14" s="6"/>
      <c r="P14" s="6"/>
      <c r="Q14" s="6"/>
      <c r="R14" s="6"/>
      <c r="S14" s="132"/>
      <c r="T14" s="132"/>
      <c r="U14" s="132"/>
      <c r="V14" s="132"/>
      <c r="W14" s="132"/>
    </row>
    <row r="15" spans="2:23" ht="18.75" customHeight="1">
      <c r="B15" s="4" t="s">
        <v>37</v>
      </c>
      <c r="C15" s="5"/>
      <c r="D15" s="6"/>
      <c r="E15" s="6"/>
      <c r="F15" s="6"/>
      <c r="G15" s="6"/>
      <c r="H15" s="6"/>
      <c r="K15" s="6"/>
      <c r="L15" s="6"/>
      <c r="M15" s="6"/>
      <c r="N15" s="6"/>
      <c r="O15" s="6"/>
      <c r="P15" s="6"/>
      <c r="Q15" s="6"/>
      <c r="R15" s="6"/>
      <c r="S15" s="132"/>
      <c r="T15" s="132"/>
      <c r="U15" s="132"/>
      <c r="V15" s="132"/>
      <c r="W15" s="132"/>
    </row>
    <row r="16" spans="2:23" ht="18.75" customHeight="1">
      <c r="B16" s="4"/>
      <c r="C16" s="5" t="s">
        <v>73</v>
      </c>
      <c r="D16" s="110">
        <f>MAX(D19:D49)</f>
        <v>172664566</v>
      </c>
      <c r="E16" s="110">
        <f t="shared" ref="E16:G16" si="7">MAX(E19:E49)</f>
        <v>25596700</v>
      </c>
      <c r="F16" s="110">
        <f t="shared" si="7"/>
        <v>63661437</v>
      </c>
      <c r="G16" s="110">
        <f t="shared" si="7"/>
        <v>29593425</v>
      </c>
      <c r="H16" s="6"/>
      <c r="K16" s="6"/>
      <c r="L16" s="6"/>
      <c r="M16" s="6"/>
      <c r="N16" s="6"/>
      <c r="O16" s="6"/>
      <c r="P16" s="6"/>
      <c r="Q16" s="6"/>
      <c r="R16" s="6"/>
      <c r="S16" s="132"/>
      <c r="T16" s="132"/>
      <c r="U16" s="132"/>
      <c r="V16" s="132"/>
      <c r="W16" s="132"/>
    </row>
    <row r="17" spans="2:22" ht="18.75" customHeight="1">
      <c r="B17" s="4"/>
      <c r="C17" s="5" t="s">
        <v>74</v>
      </c>
      <c r="D17" s="110">
        <f>MIN(D19:D49)</f>
        <v>94212387</v>
      </c>
      <c r="E17" s="110">
        <f t="shared" ref="E17:G17" si="8">MIN(E19:E49)</f>
        <v>13306020</v>
      </c>
      <c r="F17" s="110">
        <f t="shared" si="8"/>
        <v>43673252</v>
      </c>
      <c r="G17" s="110">
        <f t="shared" si="8"/>
        <v>17142646</v>
      </c>
      <c r="H17" s="6"/>
      <c r="I17" s="165"/>
      <c r="K17" s="6"/>
      <c r="L17" s="6"/>
      <c r="M17" s="6"/>
      <c r="N17" s="6"/>
      <c r="O17" s="6"/>
      <c r="P17" s="6"/>
      <c r="Q17" s="133"/>
      <c r="R17" s="185"/>
      <c r="S17" s="185"/>
      <c r="T17" s="185"/>
      <c r="U17" s="185"/>
      <c r="V17" s="132"/>
    </row>
    <row r="18" spans="2:22">
      <c r="B18" s="17" t="s">
        <v>35</v>
      </c>
      <c r="C18" s="17" t="s">
        <v>34</v>
      </c>
      <c r="D18" s="18" t="s">
        <v>3</v>
      </c>
      <c r="E18" s="18" t="s">
        <v>5</v>
      </c>
      <c r="F18" s="18" t="s">
        <v>6</v>
      </c>
      <c r="G18" s="18" t="s">
        <v>7</v>
      </c>
      <c r="H18" s="6"/>
      <c r="K18" s="6"/>
      <c r="L18" s="6"/>
      <c r="M18" s="6"/>
      <c r="N18" s="6"/>
      <c r="O18" s="6"/>
      <c r="P18" s="6"/>
      <c r="Q18" s="6"/>
      <c r="R18" s="6"/>
    </row>
    <row r="19" spans="2:22">
      <c r="B19" s="31" t="s">
        <v>47</v>
      </c>
      <c r="C19" s="16">
        <v>43800</v>
      </c>
      <c r="D19" s="12">
        <v>94212387</v>
      </c>
      <c r="E19" s="12">
        <v>15249900</v>
      </c>
      <c r="F19" s="12">
        <v>56429959</v>
      </c>
      <c r="G19" s="12">
        <v>22562871</v>
      </c>
      <c r="H19" s="6"/>
      <c r="K19" s="6"/>
      <c r="L19" s="6"/>
      <c r="M19" s="6"/>
      <c r="N19" s="6"/>
      <c r="O19" s="6"/>
      <c r="P19" s="6"/>
      <c r="Q19" s="6"/>
      <c r="R19" s="6"/>
    </row>
    <row r="20" spans="2:22">
      <c r="B20" s="31" t="s">
        <v>10</v>
      </c>
      <c r="C20" s="16">
        <v>43801</v>
      </c>
      <c r="D20" s="12">
        <v>162508074</v>
      </c>
      <c r="E20" s="12">
        <v>23407190</v>
      </c>
      <c r="F20" s="12">
        <v>63661437</v>
      </c>
      <c r="G20" s="12">
        <v>24324249</v>
      </c>
      <c r="H20" s="6"/>
      <c r="K20" s="6"/>
      <c r="L20" s="6"/>
      <c r="M20" s="6"/>
      <c r="N20" s="6"/>
      <c r="O20" s="6"/>
      <c r="P20" s="6"/>
      <c r="Q20" s="6"/>
      <c r="R20" s="6"/>
    </row>
    <row r="21" spans="2:22">
      <c r="B21" s="31" t="s">
        <v>11</v>
      </c>
      <c r="C21" s="16">
        <v>43802</v>
      </c>
      <c r="D21" s="12">
        <v>163038425</v>
      </c>
      <c r="E21" s="12">
        <v>23102410</v>
      </c>
      <c r="F21" s="12">
        <v>57140187</v>
      </c>
      <c r="G21" s="12">
        <v>21496921</v>
      </c>
      <c r="H21" s="6"/>
      <c r="K21" s="6"/>
      <c r="L21" s="6"/>
      <c r="M21" s="6"/>
      <c r="N21" s="6"/>
      <c r="O21" s="6"/>
      <c r="P21" s="6"/>
      <c r="Q21" s="6"/>
      <c r="R21" s="6"/>
    </row>
    <row r="22" spans="2:22">
      <c r="B22" s="31" t="s">
        <v>12</v>
      </c>
      <c r="C22" s="16">
        <v>43803</v>
      </c>
      <c r="D22" s="12">
        <v>156759267</v>
      </c>
      <c r="E22" s="12">
        <v>22440620</v>
      </c>
      <c r="F22" s="12">
        <v>58172040</v>
      </c>
      <c r="G22" s="12">
        <v>21142782</v>
      </c>
      <c r="H22" s="6"/>
      <c r="K22" s="6"/>
      <c r="L22" s="6"/>
      <c r="M22" s="6"/>
      <c r="N22" s="6"/>
      <c r="O22" s="6"/>
      <c r="P22" s="6"/>
      <c r="Q22" s="6"/>
      <c r="R22" s="6"/>
    </row>
    <row r="23" spans="2:22">
      <c r="B23" s="31" t="s">
        <v>13</v>
      </c>
      <c r="C23" s="16">
        <v>43804</v>
      </c>
      <c r="D23" s="12">
        <v>155765719</v>
      </c>
      <c r="E23" s="12">
        <v>23086390</v>
      </c>
      <c r="F23" s="12">
        <v>58244490</v>
      </c>
      <c r="G23" s="12">
        <v>20438391</v>
      </c>
      <c r="H23" s="110"/>
      <c r="I23" s="110"/>
      <c r="J23" s="110"/>
      <c r="K23" s="110"/>
      <c r="L23" s="6"/>
      <c r="M23" s="6"/>
      <c r="N23" s="6"/>
      <c r="O23" s="6"/>
      <c r="P23" s="6"/>
      <c r="Q23" s="6"/>
      <c r="R23" s="6"/>
    </row>
    <row r="24" spans="2:22">
      <c r="B24" s="31" t="s">
        <v>14</v>
      </c>
      <c r="C24" s="16">
        <v>43805</v>
      </c>
      <c r="D24" s="12">
        <v>148793210</v>
      </c>
      <c r="E24" s="12">
        <v>22425610</v>
      </c>
      <c r="F24" s="12">
        <v>56014275</v>
      </c>
      <c r="G24" s="12">
        <v>18995172</v>
      </c>
      <c r="H24" s="6"/>
      <c r="K24" s="6"/>
      <c r="L24" s="6"/>
      <c r="M24" s="6"/>
      <c r="N24" s="6"/>
      <c r="O24" s="6"/>
      <c r="P24" s="6"/>
      <c r="Q24" s="6"/>
      <c r="R24" s="6"/>
    </row>
    <row r="25" spans="2:22">
      <c r="B25" s="31" t="s">
        <v>8</v>
      </c>
      <c r="C25" s="16">
        <v>43806</v>
      </c>
      <c r="D25" s="12">
        <v>96331477</v>
      </c>
      <c r="E25" s="12">
        <v>15759540</v>
      </c>
      <c r="F25" s="12">
        <v>47840234</v>
      </c>
      <c r="G25" s="12">
        <v>18444084</v>
      </c>
      <c r="H25" s="6"/>
      <c r="K25" s="6"/>
      <c r="L25" s="6"/>
      <c r="M25" s="6"/>
      <c r="N25" s="6"/>
      <c r="O25" s="6"/>
      <c r="P25" s="6"/>
      <c r="Q25" s="6"/>
      <c r="R25" s="6"/>
    </row>
    <row r="26" spans="2:22">
      <c r="B26" s="31" t="s">
        <v>9</v>
      </c>
      <c r="C26" s="16">
        <v>43807</v>
      </c>
      <c r="D26" s="12">
        <v>98817456</v>
      </c>
      <c r="E26" s="12">
        <v>15311960</v>
      </c>
      <c r="F26" s="12">
        <v>55947732</v>
      </c>
      <c r="G26" s="12">
        <v>21195529</v>
      </c>
      <c r="H26" s="6"/>
      <c r="K26" s="6"/>
      <c r="L26" s="6"/>
      <c r="M26" s="6"/>
      <c r="N26" s="6"/>
      <c r="O26" s="6"/>
      <c r="P26" s="6"/>
      <c r="Q26" s="6"/>
      <c r="R26" s="6"/>
    </row>
    <row r="27" spans="2:22">
      <c r="B27" s="31" t="s">
        <v>10</v>
      </c>
      <c r="C27" s="16">
        <v>43808</v>
      </c>
      <c r="D27" s="12">
        <v>172318760</v>
      </c>
      <c r="E27" s="12">
        <v>18813120</v>
      </c>
      <c r="F27" s="12">
        <v>60739066</v>
      </c>
      <c r="G27" s="12">
        <v>22164130</v>
      </c>
      <c r="H27" s="6"/>
      <c r="K27" s="6"/>
      <c r="L27" s="6"/>
      <c r="M27" s="6"/>
      <c r="N27" s="6"/>
      <c r="O27" s="6"/>
      <c r="P27" s="6"/>
      <c r="Q27" s="6"/>
      <c r="R27" s="6"/>
    </row>
    <row r="28" spans="2:22">
      <c r="B28" s="31" t="s">
        <v>11</v>
      </c>
      <c r="C28" s="16">
        <v>43809</v>
      </c>
      <c r="D28" s="12">
        <v>169327393</v>
      </c>
      <c r="E28" s="12">
        <v>16530900</v>
      </c>
      <c r="F28" s="12">
        <v>57245922</v>
      </c>
      <c r="G28" s="12">
        <v>22366121</v>
      </c>
      <c r="H28" s="6"/>
      <c r="K28" s="6"/>
      <c r="L28" s="6"/>
      <c r="M28" s="6"/>
      <c r="N28" s="6"/>
      <c r="O28" s="6"/>
      <c r="P28" s="6"/>
      <c r="Q28" s="6"/>
      <c r="R28" s="6"/>
    </row>
    <row r="29" spans="2:22">
      <c r="B29" s="31" t="s">
        <v>12</v>
      </c>
      <c r="C29" s="16">
        <v>43810</v>
      </c>
      <c r="D29" s="12">
        <v>164842678</v>
      </c>
      <c r="E29" s="12">
        <v>15924130</v>
      </c>
      <c r="F29" s="12">
        <v>60881632</v>
      </c>
      <c r="G29" s="12">
        <v>29593425</v>
      </c>
      <c r="H29" s="6"/>
      <c r="K29" s="6"/>
      <c r="L29" s="6"/>
      <c r="M29" s="6"/>
      <c r="N29" s="6"/>
      <c r="O29" s="6"/>
      <c r="P29" s="6"/>
      <c r="Q29" s="6"/>
      <c r="R29" s="6"/>
    </row>
    <row r="30" spans="2:22">
      <c r="B30" s="31" t="s">
        <v>13</v>
      </c>
      <c r="C30" s="16">
        <v>43811</v>
      </c>
      <c r="D30" s="12">
        <v>162658091</v>
      </c>
      <c r="E30" s="12">
        <v>20590230</v>
      </c>
      <c r="F30" s="12">
        <v>55038440</v>
      </c>
      <c r="G30" s="12">
        <v>20122305</v>
      </c>
      <c r="K30" s="6"/>
      <c r="L30" s="6"/>
      <c r="M30" s="6"/>
      <c r="N30" s="6"/>
      <c r="O30" s="6"/>
      <c r="P30" s="6"/>
      <c r="Q30" s="6"/>
      <c r="R30" s="6"/>
    </row>
    <row r="31" spans="2:22">
      <c r="B31" s="31" t="s">
        <v>14</v>
      </c>
      <c r="C31" s="16">
        <v>43812</v>
      </c>
      <c r="D31" s="12">
        <v>148066279</v>
      </c>
      <c r="E31" s="12">
        <v>20901560</v>
      </c>
      <c r="F31" s="12">
        <v>48825919</v>
      </c>
      <c r="G31" s="12">
        <v>18771071</v>
      </c>
      <c r="K31" s="6"/>
      <c r="L31" s="6"/>
      <c r="M31" s="6"/>
      <c r="N31" s="6"/>
      <c r="O31" s="6"/>
      <c r="P31" s="6"/>
      <c r="Q31" s="6"/>
      <c r="R31" s="6"/>
    </row>
    <row r="32" spans="2:22">
      <c r="B32" s="31" t="s">
        <v>8</v>
      </c>
      <c r="C32" s="16">
        <v>43813</v>
      </c>
      <c r="D32" s="12">
        <v>97164827</v>
      </c>
      <c r="E32" s="12">
        <v>15161930</v>
      </c>
      <c r="F32" s="12">
        <v>46483637</v>
      </c>
      <c r="G32" s="12">
        <v>18078719</v>
      </c>
      <c r="K32" s="6"/>
      <c r="L32" s="6"/>
      <c r="M32" s="6"/>
      <c r="N32" s="6"/>
      <c r="O32" s="6"/>
      <c r="P32" s="6"/>
      <c r="Q32" s="6"/>
      <c r="R32" s="6"/>
    </row>
    <row r="33" spans="2:18">
      <c r="B33" s="31" t="s">
        <v>9</v>
      </c>
      <c r="C33" s="16">
        <v>43814</v>
      </c>
      <c r="D33" s="12">
        <v>100832876</v>
      </c>
      <c r="E33" s="12">
        <v>15196300</v>
      </c>
      <c r="F33" s="12">
        <v>55169968</v>
      </c>
      <c r="G33" s="12">
        <v>21947287</v>
      </c>
      <c r="K33" s="6"/>
      <c r="L33" s="6"/>
      <c r="M33" s="6"/>
      <c r="N33" s="6"/>
      <c r="O33" s="6"/>
      <c r="P33" s="6"/>
      <c r="Q33" s="6"/>
      <c r="R33" s="6"/>
    </row>
    <row r="34" spans="2:18">
      <c r="B34" s="31" t="s">
        <v>10</v>
      </c>
      <c r="C34" s="16">
        <v>43815</v>
      </c>
      <c r="D34" s="12">
        <v>172664566</v>
      </c>
      <c r="E34" s="12">
        <v>23363510</v>
      </c>
      <c r="F34" s="12">
        <v>58542869</v>
      </c>
      <c r="G34" s="12">
        <v>21558221</v>
      </c>
      <c r="K34" s="6"/>
      <c r="L34" s="6"/>
      <c r="M34" s="6"/>
      <c r="N34" s="6"/>
      <c r="O34" s="6"/>
      <c r="P34" s="6"/>
      <c r="Q34" s="6"/>
      <c r="R34" s="6"/>
    </row>
    <row r="35" spans="2:18">
      <c r="B35" s="31" t="s">
        <v>11</v>
      </c>
      <c r="C35" s="16">
        <v>43816</v>
      </c>
      <c r="D35" s="12">
        <v>171448272</v>
      </c>
      <c r="E35" s="12">
        <v>22811320</v>
      </c>
      <c r="F35" s="12">
        <v>56854715</v>
      </c>
      <c r="G35" s="12">
        <v>21033424</v>
      </c>
      <c r="K35" s="6"/>
      <c r="L35" s="6"/>
      <c r="M35" s="6"/>
      <c r="N35" s="6"/>
      <c r="O35" s="6"/>
      <c r="P35" s="6"/>
      <c r="Q35" s="6"/>
      <c r="R35" s="6"/>
    </row>
    <row r="36" spans="2:18">
      <c r="B36" s="31" t="s">
        <v>12</v>
      </c>
      <c r="C36" s="16">
        <v>43817</v>
      </c>
      <c r="D36" s="12">
        <v>165150364</v>
      </c>
      <c r="E36" s="12">
        <v>21784530</v>
      </c>
      <c r="F36" s="12">
        <v>57008447</v>
      </c>
      <c r="G36" s="12">
        <v>20222448</v>
      </c>
      <c r="K36" s="6"/>
      <c r="L36" s="6"/>
      <c r="M36" s="6"/>
      <c r="N36" s="6"/>
      <c r="O36" s="6"/>
      <c r="P36" s="6"/>
      <c r="Q36" s="6"/>
      <c r="R36" s="6"/>
    </row>
    <row r="37" spans="2:18">
      <c r="B37" s="31" t="s">
        <v>13</v>
      </c>
      <c r="C37" s="16">
        <v>43818</v>
      </c>
      <c r="D37" s="12">
        <v>160253825</v>
      </c>
      <c r="E37" s="12">
        <v>21851050</v>
      </c>
      <c r="F37" s="12">
        <v>52504688</v>
      </c>
      <c r="G37" s="12">
        <v>18792578</v>
      </c>
      <c r="K37" s="6"/>
      <c r="L37" s="6"/>
      <c r="M37" s="6"/>
      <c r="N37" s="6"/>
      <c r="O37" s="6"/>
      <c r="P37" s="6"/>
      <c r="Q37" s="6"/>
      <c r="R37" s="6"/>
    </row>
    <row r="38" spans="2:18">
      <c r="B38" s="31" t="s">
        <v>14</v>
      </c>
      <c r="C38" s="16">
        <v>43819</v>
      </c>
      <c r="D38" s="12">
        <v>146719649</v>
      </c>
      <c r="E38" s="12">
        <v>19803690</v>
      </c>
      <c r="F38" s="12">
        <v>46426692</v>
      </c>
      <c r="G38" s="12">
        <v>17142646</v>
      </c>
      <c r="K38" s="6"/>
      <c r="L38" s="6"/>
      <c r="M38" s="6"/>
      <c r="N38" s="6"/>
      <c r="O38" s="6"/>
      <c r="P38" s="6"/>
      <c r="Q38" s="6"/>
      <c r="R38" s="6"/>
    </row>
    <row r="39" spans="2:18">
      <c r="B39" s="31" t="s">
        <v>8</v>
      </c>
      <c r="C39" s="16">
        <v>43820</v>
      </c>
      <c r="D39" s="12">
        <v>99065864</v>
      </c>
      <c r="E39" s="12">
        <v>14439660</v>
      </c>
      <c r="F39" s="12">
        <v>43673252</v>
      </c>
      <c r="G39" s="12">
        <v>17419023</v>
      </c>
      <c r="K39" s="6"/>
      <c r="L39" s="6"/>
      <c r="M39" s="6"/>
      <c r="N39" s="6"/>
      <c r="O39" s="6"/>
      <c r="P39" s="6"/>
      <c r="Q39" s="6"/>
      <c r="R39" s="6"/>
    </row>
    <row r="40" spans="2:18">
      <c r="B40" s="31" t="s">
        <v>9</v>
      </c>
      <c r="C40" s="16">
        <v>43821</v>
      </c>
      <c r="D40" s="12">
        <v>100672301</v>
      </c>
      <c r="E40" s="12">
        <v>13306020</v>
      </c>
      <c r="F40" s="12">
        <v>52711704</v>
      </c>
      <c r="G40" s="12">
        <v>20278857</v>
      </c>
      <c r="K40" s="6"/>
      <c r="L40" s="6"/>
      <c r="M40" s="6"/>
      <c r="N40" s="6"/>
      <c r="O40" s="6"/>
      <c r="P40" s="6"/>
      <c r="Q40" s="6"/>
      <c r="R40" s="6"/>
    </row>
    <row r="41" spans="2:18">
      <c r="B41" s="31" t="s">
        <v>10</v>
      </c>
      <c r="C41" s="16">
        <v>43822</v>
      </c>
      <c r="D41" s="12">
        <v>162522228</v>
      </c>
      <c r="E41" s="12">
        <v>25596700</v>
      </c>
      <c r="F41" s="12">
        <v>53783241</v>
      </c>
      <c r="G41" s="12">
        <v>19770119</v>
      </c>
      <c r="K41" s="6"/>
      <c r="L41" s="6"/>
      <c r="M41" s="6"/>
      <c r="N41" s="6"/>
      <c r="O41" s="6"/>
      <c r="P41" s="6"/>
      <c r="Q41" s="6"/>
      <c r="R41" s="6"/>
    </row>
    <row r="42" spans="2:18">
      <c r="B42" s="31" t="s">
        <v>11</v>
      </c>
      <c r="C42" s="16">
        <v>43823</v>
      </c>
      <c r="D42" s="12">
        <v>140419018</v>
      </c>
      <c r="E42" s="12">
        <v>24050710</v>
      </c>
      <c r="F42" s="12">
        <v>45878697</v>
      </c>
      <c r="G42" s="12">
        <v>17344027</v>
      </c>
      <c r="K42" s="6"/>
      <c r="L42" s="6"/>
      <c r="M42" s="6"/>
      <c r="N42" s="6"/>
      <c r="O42" s="6"/>
      <c r="P42" s="6"/>
      <c r="Q42" s="6"/>
      <c r="R42" s="6"/>
    </row>
    <row r="43" spans="2:18">
      <c r="B43" s="31" t="s">
        <v>108</v>
      </c>
      <c r="C43" s="16">
        <v>43824</v>
      </c>
      <c r="D43" s="12">
        <v>99181075</v>
      </c>
      <c r="E43" s="12">
        <v>18889400</v>
      </c>
      <c r="F43" s="12">
        <v>51884710</v>
      </c>
      <c r="G43" s="12">
        <v>20605911</v>
      </c>
      <c r="K43" s="6"/>
      <c r="L43" s="6"/>
      <c r="M43" s="6"/>
      <c r="N43" s="6"/>
      <c r="O43" s="6"/>
      <c r="P43" s="6"/>
      <c r="Q43" s="6"/>
      <c r="R43" s="6"/>
    </row>
    <row r="44" spans="2:18">
      <c r="B44" s="31" t="s">
        <v>13</v>
      </c>
      <c r="C44" s="16">
        <v>43825</v>
      </c>
      <c r="D44" s="12">
        <v>153402874</v>
      </c>
      <c r="E44" s="12">
        <v>23210400</v>
      </c>
      <c r="F44" s="12">
        <v>54217347</v>
      </c>
      <c r="G44" s="12">
        <v>19803575</v>
      </c>
      <c r="K44" s="6"/>
      <c r="L44" s="6"/>
      <c r="M44" s="6"/>
      <c r="N44" s="6"/>
      <c r="O44" s="6"/>
      <c r="P44" s="6"/>
      <c r="Q44" s="6"/>
      <c r="R44" s="6"/>
    </row>
    <row r="45" spans="2:18">
      <c r="B45" s="31" t="s">
        <v>14</v>
      </c>
      <c r="C45" s="16">
        <v>43826</v>
      </c>
      <c r="D45" s="12">
        <v>143723997</v>
      </c>
      <c r="E45" s="12">
        <v>21190670</v>
      </c>
      <c r="F45" s="12">
        <v>50858512</v>
      </c>
      <c r="G45" s="12">
        <v>17608483</v>
      </c>
      <c r="K45" s="6"/>
      <c r="L45" s="6"/>
      <c r="M45" s="6"/>
      <c r="N45" s="6"/>
      <c r="O45" s="6"/>
      <c r="P45" s="6"/>
      <c r="Q45" s="6"/>
      <c r="R45" s="6"/>
    </row>
    <row r="46" spans="2:18">
      <c r="B46" s="31" t="s">
        <v>8</v>
      </c>
      <c r="C46" s="16">
        <v>43827</v>
      </c>
      <c r="D46" s="12">
        <v>98318917</v>
      </c>
      <c r="E46" s="12">
        <v>16139550</v>
      </c>
      <c r="F46" s="12">
        <v>51794010</v>
      </c>
      <c r="G46" s="12">
        <v>18352108</v>
      </c>
      <c r="K46" s="6"/>
      <c r="L46" s="6"/>
      <c r="M46" s="6"/>
      <c r="N46" s="6"/>
      <c r="O46" s="6"/>
      <c r="P46" s="6"/>
      <c r="Q46" s="6"/>
      <c r="R46" s="6"/>
    </row>
    <row r="47" spans="2:18">
      <c r="B47" s="31" t="s">
        <v>9</v>
      </c>
      <c r="C47" s="16">
        <v>43828</v>
      </c>
      <c r="D47" s="12">
        <v>95301669</v>
      </c>
      <c r="E47" s="12">
        <v>15911830</v>
      </c>
      <c r="F47" s="12">
        <v>61624059</v>
      </c>
      <c r="G47" s="12">
        <v>20718531</v>
      </c>
      <c r="K47" s="6"/>
      <c r="L47" s="6"/>
      <c r="M47" s="6"/>
      <c r="N47" s="6"/>
      <c r="O47" s="6"/>
      <c r="P47" s="6"/>
      <c r="Q47" s="6"/>
      <c r="R47" s="6"/>
    </row>
    <row r="48" spans="2:18">
      <c r="B48" s="31" t="s">
        <v>10</v>
      </c>
      <c r="C48" s="16">
        <v>43829</v>
      </c>
      <c r="D48" s="12">
        <v>144641733</v>
      </c>
      <c r="E48" s="12">
        <v>19945960</v>
      </c>
      <c r="F48" s="12">
        <v>57413011</v>
      </c>
      <c r="G48" s="12">
        <v>18603114</v>
      </c>
      <c r="K48" s="6"/>
      <c r="L48" s="6"/>
      <c r="M48" s="6"/>
      <c r="N48" s="6"/>
      <c r="O48" s="6"/>
      <c r="P48" s="6"/>
      <c r="Q48" s="6"/>
      <c r="R48" s="6"/>
    </row>
    <row r="49" spans="2:18">
      <c r="B49" s="31" t="s">
        <v>11</v>
      </c>
      <c r="C49" s="16">
        <v>43830</v>
      </c>
      <c r="D49" s="12">
        <v>116588617</v>
      </c>
      <c r="E49" s="12">
        <v>16255720</v>
      </c>
      <c r="F49" s="12">
        <v>45996953</v>
      </c>
      <c r="G49" s="12">
        <v>17225938</v>
      </c>
      <c r="K49" s="6"/>
      <c r="L49" s="6"/>
      <c r="M49" s="6"/>
      <c r="N49" s="6"/>
      <c r="O49" s="6"/>
      <c r="P49" s="6"/>
      <c r="Q49" s="6"/>
      <c r="R49" s="6"/>
    </row>
    <row r="50" spans="2:18">
      <c r="B50" s="418" t="s">
        <v>2</v>
      </c>
      <c r="C50" s="419"/>
      <c r="D50" s="45">
        <f>SUM(D19:D49)</f>
        <v>4261511888</v>
      </c>
      <c r="E50" s="45">
        <f>SUM(E19:E49)</f>
        <v>602452510</v>
      </c>
      <c r="F50" s="45">
        <f>SUM(F19:F49)</f>
        <v>1679007845</v>
      </c>
      <c r="G50" s="45">
        <f>SUM(G19:G49)</f>
        <v>628122060</v>
      </c>
      <c r="J50" s="6"/>
      <c r="K50" s="6"/>
      <c r="L50" s="6"/>
      <c r="M50" s="6"/>
      <c r="N50" s="6"/>
      <c r="O50" s="6"/>
      <c r="P50" s="6"/>
      <c r="Q50" s="6"/>
      <c r="R50" s="6"/>
    </row>
    <row r="51" spans="2:18">
      <c r="B51" s="46" t="s">
        <v>108</v>
      </c>
      <c r="C51" s="47">
        <v>43831</v>
      </c>
      <c r="D51" s="40">
        <v>99039904</v>
      </c>
      <c r="E51" s="40">
        <v>16313650</v>
      </c>
      <c r="F51" s="40">
        <v>56511963</v>
      </c>
      <c r="G51" s="40">
        <v>22229654</v>
      </c>
      <c r="J51" s="6"/>
      <c r="K51" s="6"/>
      <c r="L51" s="6"/>
      <c r="M51" s="6"/>
      <c r="N51" s="6"/>
      <c r="O51" s="6"/>
      <c r="P51" s="6"/>
      <c r="Q51" s="6"/>
      <c r="R51" s="6"/>
    </row>
    <row r="52" spans="2:18">
      <c r="B52" s="46" t="s">
        <v>109</v>
      </c>
      <c r="C52" s="47">
        <v>43832</v>
      </c>
      <c r="D52" s="40">
        <v>160797693</v>
      </c>
      <c r="E52" s="40">
        <v>22878770</v>
      </c>
      <c r="F52" s="40">
        <v>60642111</v>
      </c>
      <c r="G52" s="40">
        <v>21561015</v>
      </c>
      <c r="J52" s="6"/>
      <c r="K52" s="6"/>
      <c r="L52" s="6"/>
      <c r="M52" s="6"/>
      <c r="N52" s="6"/>
      <c r="O52" s="6"/>
      <c r="P52" s="6"/>
      <c r="Q52" s="6"/>
      <c r="R52" s="6"/>
    </row>
    <row r="53" spans="2:18">
      <c r="B53" s="46" t="s">
        <v>14</v>
      </c>
      <c r="C53" s="47">
        <v>43833</v>
      </c>
      <c r="D53" s="40">
        <v>153970500</v>
      </c>
      <c r="E53" s="40">
        <v>22220370</v>
      </c>
      <c r="F53" s="40">
        <v>54716200</v>
      </c>
      <c r="G53" s="40">
        <v>18322354</v>
      </c>
      <c r="J53" s="6"/>
      <c r="K53" s="6"/>
      <c r="L53" s="6"/>
      <c r="M53" s="6"/>
      <c r="N53" s="6"/>
      <c r="O53" s="6"/>
      <c r="P53" s="6"/>
      <c r="Q53" s="6"/>
      <c r="R53" s="6"/>
    </row>
    <row r="54" spans="2:18">
      <c r="B54" s="46" t="s">
        <v>8</v>
      </c>
      <c r="C54" s="47">
        <v>43834</v>
      </c>
      <c r="D54" s="40">
        <v>107178723</v>
      </c>
      <c r="E54" s="40">
        <v>17129150</v>
      </c>
      <c r="F54" s="40">
        <v>53943953</v>
      </c>
      <c r="G54" s="40">
        <v>19122076</v>
      </c>
      <c r="J54" s="6"/>
      <c r="K54" s="6"/>
      <c r="L54" s="6"/>
      <c r="M54" s="6"/>
      <c r="N54" s="6"/>
      <c r="O54" s="6"/>
      <c r="P54" s="6"/>
      <c r="Q54" s="6"/>
      <c r="R54" s="6"/>
    </row>
    <row r="55" spans="2:18">
      <c r="B55" s="46" t="s">
        <v>9</v>
      </c>
      <c r="C55" s="47">
        <v>43835</v>
      </c>
      <c r="D55" s="40">
        <v>104356037</v>
      </c>
      <c r="E55" s="40">
        <v>16446640</v>
      </c>
      <c r="F55" s="40">
        <v>64147022</v>
      </c>
      <c r="G55" s="40">
        <v>21189336</v>
      </c>
      <c r="J55" s="6"/>
      <c r="K55" s="6"/>
      <c r="L55" s="6"/>
      <c r="M55" s="6"/>
      <c r="N55" s="6"/>
      <c r="O55" s="6"/>
      <c r="P55" s="6"/>
      <c r="Q55" s="6"/>
      <c r="R55" s="6"/>
    </row>
    <row r="56" spans="2:18">
      <c r="B56" s="46" t="s">
        <v>10</v>
      </c>
      <c r="C56" s="47">
        <v>43836</v>
      </c>
      <c r="D56" s="40">
        <v>175263218</v>
      </c>
      <c r="E56" s="40">
        <v>25701270</v>
      </c>
      <c r="F56" s="40">
        <v>63401532</v>
      </c>
      <c r="G56" s="40">
        <v>21391002</v>
      </c>
      <c r="J56" s="6"/>
      <c r="K56" s="6"/>
      <c r="L56" s="6"/>
      <c r="M56" s="6"/>
      <c r="N56" s="6"/>
      <c r="O56" s="6"/>
      <c r="P56" s="6"/>
      <c r="Q56" s="6"/>
      <c r="R56" s="6"/>
    </row>
    <row r="57" spans="2:18">
      <c r="B57" s="46" t="s">
        <v>11</v>
      </c>
      <c r="C57" s="47">
        <v>43837</v>
      </c>
      <c r="D57" s="40">
        <v>173196070</v>
      </c>
      <c r="E57" s="40">
        <v>24043560</v>
      </c>
      <c r="F57" s="40">
        <v>81043996</v>
      </c>
      <c r="G57" s="40">
        <v>21406970</v>
      </c>
      <c r="J57" s="6"/>
      <c r="K57" s="6"/>
      <c r="L57" s="6"/>
      <c r="M57" s="6"/>
      <c r="N57" s="6"/>
      <c r="O57" s="6"/>
      <c r="P57" s="6"/>
      <c r="Q57" s="6"/>
      <c r="R57" s="6"/>
    </row>
    <row r="58" spans="2:18">
      <c r="B58" s="46" t="s">
        <v>12</v>
      </c>
      <c r="C58" s="47">
        <v>43838</v>
      </c>
      <c r="D58" s="40">
        <v>166025262</v>
      </c>
      <c r="E58" s="40">
        <v>23699050</v>
      </c>
      <c r="F58" s="40">
        <v>76464882</v>
      </c>
      <c r="G58" s="40">
        <v>21067904</v>
      </c>
      <c r="J58" s="6"/>
      <c r="K58" s="6"/>
      <c r="L58" s="6"/>
      <c r="M58" s="6"/>
      <c r="N58" s="6"/>
      <c r="O58" s="6"/>
      <c r="P58" s="6"/>
      <c r="Q58" s="6"/>
      <c r="R58" s="6"/>
    </row>
    <row r="59" spans="2:18">
      <c r="B59" s="46" t="s">
        <v>13</v>
      </c>
      <c r="C59" s="47">
        <v>43839</v>
      </c>
      <c r="D59" s="40">
        <v>164253460</v>
      </c>
      <c r="E59" s="40">
        <v>23356190</v>
      </c>
      <c r="F59" s="40">
        <v>76533287</v>
      </c>
      <c r="G59" s="40">
        <v>20125428</v>
      </c>
      <c r="J59" s="6"/>
      <c r="K59" s="6"/>
      <c r="L59" s="6"/>
      <c r="M59" s="6"/>
      <c r="N59" s="6"/>
      <c r="O59" s="6"/>
      <c r="P59" s="6"/>
      <c r="Q59" s="6"/>
      <c r="R59" s="6"/>
    </row>
    <row r="60" spans="2:18">
      <c r="B60" s="46" t="s">
        <v>14</v>
      </c>
      <c r="C60" s="47">
        <v>43840</v>
      </c>
      <c r="D60" s="40">
        <v>150038385</v>
      </c>
      <c r="E60" s="40">
        <v>21536430</v>
      </c>
      <c r="F60" s="40">
        <v>70369616</v>
      </c>
      <c r="G60" s="40">
        <v>18802576</v>
      </c>
      <c r="J60" s="6"/>
      <c r="K60" s="6"/>
      <c r="L60" s="6"/>
      <c r="M60" s="6"/>
      <c r="N60" s="6"/>
      <c r="O60" s="6"/>
      <c r="P60" s="6"/>
      <c r="Q60" s="6"/>
      <c r="R60" s="6"/>
    </row>
    <row r="61" spans="2:18">
      <c r="B61" s="46" t="s">
        <v>8</v>
      </c>
      <c r="C61" s="47">
        <v>43841</v>
      </c>
      <c r="D61" s="40">
        <v>108855429</v>
      </c>
      <c r="E61" s="40">
        <v>18552210</v>
      </c>
      <c r="F61" s="40">
        <v>64560525</v>
      </c>
      <c r="G61" s="40">
        <v>25792018</v>
      </c>
      <c r="J61" s="6"/>
      <c r="K61" s="6"/>
      <c r="L61" s="6"/>
      <c r="M61" s="6"/>
      <c r="N61" s="6"/>
      <c r="O61" s="6"/>
      <c r="P61" s="6"/>
      <c r="Q61" s="6"/>
      <c r="R61" s="6"/>
    </row>
    <row r="62" spans="2:18">
      <c r="B62" s="46" t="s">
        <v>9</v>
      </c>
      <c r="C62" s="47">
        <v>43842</v>
      </c>
      <c r="D62" s="40">
        <v>107656822</v>
      </c>
      <c r="E62" s="40">
        <v>15066520</v>
      </c>
      <c r="F62" s="40">
        <v>76780646</v>
      </c>
      <c r="G62" s="40">
        <v>21642042</v>
      </c>
      <c r="H62" s="6"/>
      <c r="J62" s="6"/>
      <c r="K62" s="6"/>
      <c r="L62" s="6"/>
      <c r="M62" s="6"/>
      <c r="N62" s="6"/>
      <c r="O62" s="6"/>
      <c r="P62" s="6"/>
      <c r="Q62" s="6"/>
      <c r="R62" s="6"/>
    </row>
    <row r="63" spans="2:18">
      <c r="B63" s="46" t="s">
        <v>10</v>
      </c>
      <c r="C63" s="47">
        <v>43843</v>
      </c>
      <c r="D63" s="40">
        <v>173491347</v>
      </c>
      <c r="E63" s="40">
        <v>24434900</v>
      </c>
      <c r="F63" s="40">
        <v>83864693</v>
      </c>
      <c r="G63" s="40">
        <v>21522168</v>
      </c>
      <c r="H63" s="6"/>
      <c r="J63" s="6"/>
      <c r="K63" s="6"/>
      <c r="L63" s="6"/>
      <c r="M63" s="6"/>
      <c r="N63" s="6"/>
      <c r="O63" s="6"/>
      <c r="P63" s="6"/>
      <c r="Q63" s="6"/>
      <c r="R63" s="6"/>
    </row>
    <row r="64" spans="2:18">
      <c r="B64" s="46" t="s">
        <v>11</v>
      </c>
      <c r="C64" s="47">
        <v>43844</v>
      </c>
      <c r="D64" s="40">
        <v>171545258</v>
      </c>
      <c r="E64" s="40">
        <v>24101170</v>
      </c>
      <c r="F64" s="40">
        <v>77172343</v>
      </c>
      <c r="G64" s="40">
        <v>21658344</v>
      </c>
      <c r="H64" s="6"/>
      <c r="J64" s="6"/>
      <c r="K64" s="6"/>
      <c r="L64" s="6"/>
      <c r="M64" s="6"/>
      <c r="N64" s="6"/>
      <c r="O64" s="6"/>
      <c r="P64" s="6"/>
      <c r="Q64" s="6"/>
      <c r="R64" s="6"/>
    </row>
    <row r="65" spans="2:18">
      <c r="B65" s="46" t="s">
        <v>12</v>
      </c>
      <c r="C65" s="47">
        <v>43845</v>
      </c>
      <c r="D65" s="38">
        <v>163586017</v>
      </c>
      <c r="E65" s="38">
        <v>20666350</v>
      </c>
      <c r="F65" s="38">
        <v>75065138</v>
      </c>
      <c r="G65" s="38">
        <v>21630586</v>
      </c>
      <c r="H65" s="6"/>
      <c r="J65" s="6"/>
      <c r="K65" s="6"/>
      <c r="L65" s="6"/>
      <c r="M65" s="6"/>
      <c r="N65" s="6"/>
      <c r="O65" s="6"/>
      <c r="P65" s="6"/>
      <c r="Q65" s="6"/>
      <c r="R65" s="6"/>
    </row>
    <row r="66" spans="2:18">
      <c r="B66" s="46" t="s">
        <v>13</v>
      </c>
      <c r="C66" s="47">
        <v>43846</v>
      </c>
      <c r="D66" s="38">
        <v>158632388</v>
      </c>
      <c r="E66" s="38">
        <v>17305370</v>
      </c>
      <c r="F66" s="38">
        <v>69973068</v>
      </c>
      <c r="G66" s="38">
        <v>19915743</v>
      </c>
      <c r="H66" s="6"/>
      <c r="J66" s="6"/>
      <c r="K66" s="6"/>
      <c r="L66" s="6"/>
      <c r="M66" s="6"/>
      <c r="N66" s="6"/>
      <c r="O66" s="6"/>
      <c r="P66" s="6"/>
      <c r="Q66" s="6"/>
      <c r="R66" s="6"/>
    </row>
    <row r="67" spans="2:18">
      <c r="B67" s="46" t="s">
        <v>14</v>
      </c>
      <c r="C67" s="47">
        <v>43847</v>
      </c>
      <c r="D67" s="38">
        <v>148388047</v>
      </c>
      <c r="E67" s="38">
        <v>16118690</v>
      </c>
      <c r="F67" s="38">
        <v>64781783</v>
      </c>
      <c r="G67" s="38">
        <v>18006681</v>
      </c>
      <c r="I67" s="111"/>
      <c r="J67" s="111"/>
      <c r="K67" s="111"/>
      <c r="L67" s="111"/>
    </row>
    <row r="68" spans="2:18">
      <c r="B68" s="46" t="s">
        <v>8</v>
      </c>
      <c r="C68" s="47">
        <v>43848</v>
      </c>
      <c r="D68" s="38">
        <v>102787392</v>
      </c>
      <c r="E68" s="38">
        <v>10900960</v>
      </c>
      <c r="F68" s="38">
        <v>61601728</v>
      </c>
      <c r="G68" s="38">
        <v>18613093</v>
      </c>
    </row>
    <row r="69" spans="2:18">
      <c r="B69" s="46" t="s">
        <v>9</v>
      </c>
      <c r="C69" s="47">
        <v>43849</v>
      </c>
      <c r="D69" s="40">
        <v>101385740</v>
      </c>
      <c r="E69" s="40">
        <v>10345460</v>
      </c>
      <c r="F69" s="40">
        <v>70329370</v>
      </c>
      <c r="G69" s="40">
        <v>21108814</v>
      </c>
      <c r="H69" s="107"/>
      <c r="I69" s="210"/>
      <c r="J69" s="210"/>
      <c r="K69" s="210"/>
      <c r="L69" s="210"/>
      <c r="M69" s="210"/>
      <c r="N69" s="210"/>
    </row>
    <row r="70" spans="2:18">
      <c r="B70" s="46" t="s">
        <v>10</v>
      </c>
      <c r="C70" s="47">
        <v>43850</v>
      </c>
      <c r="D70" s="40">
        <v>157358708</v>
      </c>
      <c r="E70" s="40">
        <v>21083790</v>
      </c>
      <c r="F70" s="40">
        <v>67221966</v>
      </c>
      <c r="G70" s="40">
        <v>20713181</v>
      </c>
      <c r="I70" s="107"/>
      <c r="J70" s="107"/>
      <c r="K70" s="107"/>
      <c r="L70" s="107"/>
    </row>
    <row r="71" spans="2:18">
      <c r="B71" s="46" t="s">
        <v>11</v>
      </c>
      <c r="C71" s="47">
        <v>43851</v>
      </c>
      <c r="D71" s="40">
        <v>150968697</v>
      </c>
      <c r="E71" s="40">
        <v>20439120</v>
      </c>
      <c r="F71" s="40">
        <v>48838168</v>
      </c>
      <c r="G71" s="40">
        <v>17579534</v>
      </c>
    </row>
    <row r="72" spans="2:18">
      <c r="B72" s="46" t="s">
        <v>12</v>
      </c>
      <c r="C72" s="47">
        <v>43852</v>
      </c>
      <c r="D72" s="40">
        <v>140723271</v>
      </c>
      <c r="E72" s="40">
        <v>18876400</v>
      </c>
      <c r="F72" s="40">
        <v>43783781</v>
      </c>
      <c r="G72" s="40">
        <v>15031674</v>
      </c>
    </row>
    <row r="73" spans="2:18">
      <c r="B73" s="46" t="s">
        <v>13</v>
      </c>
      <c r="C73" s="47">
        <v>43853</v>
      </c>
      <c r="D73" s="40">
        <v>113866716</v>
      </c>
      <c r="E73" s="40">
        <v>16430240</v>
      </c>
      <c r="F73" s="40">
        <v>34721203</v>
      </c>
      <c r="G73" s="40">
        <v>13094767</v>
      </c>
    </row>
    <row r="74" spans="2:18">
      <c r="B74" s="128" t="s">
        <v>48</v>
      </c>
      <c r="C74" s="143">
        <v>43854</v>
      </c>
      <c r="D74" s="50">
        <v>72830829</v>
      </c>
      <c r="E74" s="50">
        <v>11749710</v>
      </c>
      <c r="F74" s="50">
        <v>33749837</v>
      </c>
      <c r="G74" s="50">
        <v>13203881</v>
      </c>
    </row>
    <row r="75" spans="2:18">
      <c r="B75" s="128" t="s">
        <v>15</v>
      </c>
      <c r="C75" s="143">
        <v>43855</v>
      </c>
      <c r="D75" s="50">
        <v>68701961</v>
      </c>
      <c r="E75" s="50">
        <v>11812420</v>
      </c>
      <c r="F75" s="50">
        <v>36878401</v>
      </c>
      <c r="G75" s="50">
        <v>14561409</v>
      </c>
    </row>
    <row r="76" spans="2:18">
      <c r="B76" s="128" t="s">
        <v>16</v>
      </c>
      <c r="C76" s="143">
        <v>43856</v>
      </c>
      <c r="D76" s="50">
        <v>79786026</v>
      </c>
      <c r="E76" s="50">
        <v>13702400</v>
      </c>
      <c r="F76" s="50">
        <v>45220613</v>
      </c>
      <c r="G76" s="50">
        <v>17272082</v>
      </c>
    </row>
    <row r="77" spans="2:18">
      <c r="B77" s="128" t="s">
        <v>17</v>
      </c>
      <c r="C77" s="143">
        <v>43857</v>
      </c>
      <c r="D77" s="50">
        <v>107317058</v>
      </c>
      <c r="E77" s="50">
        <v>17569410</v>
      </c>
      <c r="F77" s="50">
        <v>59026921</v>
      </c>
      <c r="G77" s="50">
        <v>21438546</v>
      </c>
    </row>
    <row r="78" spans="2:18">
      <c r="B78" s="46" t="s">
        <v>11</v>
      </c>
      <c r="C78" s="47">
        <v>43858</v>
      </c>
      <c r="D78" s="40">
        <v>173053116</v>
      </c>
      <c r="E78" s="40">
        <v>22966370</v>
      </c>
      <c r="F78" s="40">
        <v>65285416</v>
      </c>
      <c r="G78" s="40">
        <v>23184449</v>
      </c>
      <c r="H78" s="107"/>
      <c r="I78" s="107"/>
      <c r="J78" s="107"/>
      <c r="K78" s="107"/>
    </row>
    <row r="79" spans="2:18">
      <c r="B79" s="46" t="s">
        <v>12</v>
      </c>
      <c r="C79" s="47">
        <v>43859</v>
      </c>
      <c r="D79" s="40">
        <v>172319346</v>
      </c>
      <c r="E79" s="40">
        <v>23519630</v>
      </c>
      <c r="F79" s="40">
        <v>58581013</v>
      </c>
      <c r="G79" s="40">
        <v>22042733</v>
      </c>
    </row>
    <row r="80" spans="2:18">
      <c r="B80" s="46" t="s">
        <v>13</v>
      </c>
      <c r="C80" s="47">
        <v>43860</v>
      </c>
      <c r="D80" s="40">
        <v>166453360</v>
      </c>
      <c r="E80" s="40">
        <v>22575910</v>
      </c>
      <c r="F80" s="40">
        <v>54520558</v>
      </c>
      <c r="G80" s="40">
        <v>21145669</v>
      </c>
    </row>
    <row r="81" spans="2:7">
      <c r="B81" s="46" t="s">
        <v>14</v>
      </c>
      <c r="C81" s="47">
        <v>43861</v>
      </c>
      <c r="D81" s="40">
        <v>151793216</v>
      </c>
      <c r="E81" s="40">
        <v>21947140</v>
      </c>
      <c r="F81" s="40">
        <v>53180501</v>
      </c>
      <c r="G81" s="40">
        <v>18395351</v>
      </c>
    </row>
    <row r="82" spans="2:7">
      <c r="B82" s="418" t="s">
        <v>2</v>
      </c>
      <c r="C82" s="419"/>
      <c r="D82" s="45">
        <f>SUM(D51:D81)</f>
        <v>4245619996</v>
      </c>
      <c r="E82" s="45">
        <f>SUM(E51:E81)</f>
        <v>593489250</v>
      </c>
      <c r="F82" s="45">
        <f>SUM(F51:F81)</f>
        <v>1902912234</v>
      </c>
      <c r="G82" s="45">
        <f>SUM(G51:G81)</f>
        <v>612771080</v>
      </c>
    </row>
    <row r="83" spans="2:7">
      <c r="B83"/>
      <c r="C83"/>
      <c r="D83" s="246">
        <f>D82-D50</f>
        <v>-15891892</v>
      </c>
      <c r="E83" s="246">
        <f t="shared" ref="E83:G83" si="9">E82-E50</f>
        <v>-8963260</v>
      </c>
      <c r="F83" s="246">
        <f t="shared" si="9"/>
        <v>223904389</v>
      </c>
      <c r="G83" s="246">
        <f t="shared" si="9"/>
        <v>-15350980</v>
      </c>
    </row>
    <row r="84" spans="2:7">
      <c r="B84"/>
      <c r="C84"/>
    </row>
    <row r="85" spans="2:7">
      <c r="B85"/>
      <c r="C85"/>
    </row>
    <row r="86" spans="2:7">
      <c r="B86"/>
      <c r="C86"/>
    </row>
    <row r="87" spans="2:7">
      <c r="B87"/>
      <c r="C87"/>
    </row>
    <row r="88" spans="2:7">
      <c r="B88"/>
      <c r="C88"/>
    </row>
    <row r="89" spans="2:7">
      <c r="B89"/>
      <c r="C89"/>
    </row>
    <row r="90" spans="2:7">
      <c r="B90"/>
      <c r="C90"/>
    </row>
    <row r="91" spans="2:7">
      <c r="B91"/>
      <c r="C91"/>
    </row>
    <row r="92" spans="2:7">
      <c r="B92"/>
      <c r="C92"/>
    </row>
    <row r="93" spans="2:7">
      <c r="B93"/>
      <c r="C93"/>
    </row>
    <row r="94" spans="2:7">
      <c r="B94"/>
      <c r="C94"/>
    </row>
    <row r="95" spans="2:7">
      <c r="B95"/>
      <c r="C95"/>
    </row>
    <row r="96" spans="2:7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</sheetData>
  <mergeCells count="7">
    <mergeCell ref="B82:C82"/>
    <mergeCell ref="S4:V4"/>
    <mergeCell ref="B50:C50"/>
    <mergeCell ref="C4:F4"/>
    <mergeCell ref="G4:J4"/>
    <mergeCell ref="K4:N4"/>
    <mergeCell ref="O4:R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V113"/>
  <sheetViews>
    <sheetView showGridLines="0" zoomScale="70" zoomScaleNormal="70" workbookViewId="0"/>
  </sheetViews>
  <sheetFormatPr defaultColWidth="8.85546875" defaultRowHeight="13.5"/>
  <cols>
    <col min="1" max="1" width="2.7109375" customWidth="1"/>
    <col min="2" max="2" width="7.28515625" style="3" customWidth="1"/>
    <col min="3" max="3" width="14.7109375" style="3" bestFit="1" customWidth="1"/>
    <col min="4" max="4" width="15" bestFit="1" customWidth="1"/>
    <col min="5" max="5" width="14.7109375" bestFit="1" customWidth="1"/>
    <col min="6" max="6" width="15" bestFit="1" customWidth="1"/>
    <col min="7" max="7" width="14.7109375" bestFit="1" customWidth="1"/>
    <col min="8" max="8" width="13.42578125" bestFit="1" customWidth="1"/>
    <col min="9" max="9" width="14.7109375" bestFit="1" customWidth="1"/>
    <col min="10" max="10" width="13.42578125" bestFit="1" customWidth="1"/>
    <col min="11" max="14" width="7" customWidth="1"/>
    <col min="15" max="15" width="14.7109375" bestFit="1" customWidth="1"/>
    <col min="16" max="16" width="13.42578125" bestFit="1" customWidth="1"/>
    <col min="17" max="17" width="14.7109375" bestFit="1" customWidth="1"/>
    <col min="18" max="18" width="13.42578125" bestFit="1" customWidth="1"/>
    <col min="19" max="22" width="7" customWidth="1"/>
  </cols>
  <sheetData>
    <row r="2" spans="2:22" ht="17.25">
      <c r="B2" s="51" t="s">
        <v>80</v>
      </c>
    </row>
    <row r="3" spans="2:22" ht="18.75" customHeight="1">
      <c r="B3" s="4" t="s">
        <v>46</v>
      </c>
    </row>
    <row r="4" spans="2:22">
      <c r="B4" s="17" t="s">
        <v>20</v>
      </c>
      <c r="C4" s="421" t="s">
        <v>42</v>
      </c>
      <c r="D4" s="421"/>
      <c r="E4" s="421"/>
      <c r="F4" s="421"/>
      <c r="G4" s="422" t="s">
        <v>32</v>
      </c>
      <c r="H4" s="422"/>
      <c r="I4" s="422"/>
      <c r="J4" s="422"/>
      <c r="K4" s="423" t="s">
        <v>33</v>
      </c>
      <c r="L4" s="423"/>
      <c r="M4" s="423"/>
      <c r="N4" s="423"/>
      <c r="O4" s="424" t="s">
        <v>41</v>
      </c>
      <c r="P4" s="424"/>
      <c r="Q4" s="424"/>
      <c r="R4" s="424"/>
      <c r="S4" s="420" t="s">
        <v>45</v>
      </c>
      <c r="T4" s="420"/>
      <c r="U4" s="420"/>
      <c r="V4" s="420"/>
    </row>
    <row r="5" spans="2:22">
      <c r="B5" s="10" t="s">
        <v>21</v>
      </c>
      <c r="C5" s="9" t="s">
        <v>22</v>
      </c>
      <c r="D5" s="10" t="s">
        <v>23</v>
      </c>
      <c r="E5" s="10" t="s">
        <v>24</v>
      </c>
      <c r="F5" s="10" t="s">
        <v>7</v>
      </c>
      <c r="G5" s="41" t="s">
        <v>22</v>
      </c>
      <c r="H5" s="116" t="s">
        <v>23</v>
      </c>
      <c r="I5" s="116" t="s">
        <v>24</v>
      </c>
      <c r="J5" s="116" t="s">
        <v>7</v>
      </c>
      <c r="K5" s="41" t="s">
        <v>22</v>
      </c>
      <c r="L5" s="116" t="s">
        <v>23</v>
      </c>
      <c r="M5" s="116" t="s">
        <v>24</v>
      </c>
      <c r="N5" s="116" t="s">
        <v>7</v>
      </c>
      <c r="O5" s="8" t="s">
        <v>22</v>
      </c>
      <c r="P5" s="114" t="s">
        <v>23</v>
      </c>
      <c r="Q5" s="114" t="s">
        <v>24</v>
      </c>
      <c r="R5" s="114" t="s">
        <v>7</v>
      </c>
      <c r="S5" s="8" t="s">
        <v>22</v>
      </c>
      <c r="T5" s="114" t="s">
        <v>23</v>
      </c>
      <c r="U5" s="114" t="s">
        <v>24</v>
      </c>
      <c r="V5" s="114" t="s">
        <v>7</v>
      </c>
    </row>
    <row r="6" spans="2:22" hidden="1">
      <c r="B6" s="43" t="s">
        <v>25</v>
      </c>
      <c r="C6" s="13"/>
      <c r="D6" s="13"/>
      <c r="E6" s="13"/>
      <c r="F6" s="13"/>
      <c r="G6" s="39">
        <f>D52</f>
        <v>153166128</v>
      </c>
      <c r="H6" s="39">
        <f>E52</f>
        <v>25558400</v>
      </c>
      <c r="I6" s="39">
        <f>F52</f>
        <v>58539106</v>
      </c>
      <c r="J6" s="39">
        <f>G52</f>
        <v>20054229</v>
      </c>
      <c r="K6" s="34"/>
      <c r="L6" s="34"/>
      <c r="M6" s="34"/>
      <c r="N6" s="34"/>
      <c r="O6" s="40">
        <f>AVERAGEIF($B$19:$B$49,"월",D$19:D$49)</f>
        <v>161002310</v>
      </c>
      <c r="P6" s="40">
        <f>AVERAGEIF($B$19:$B$49,"월",E$19:E$49)</f>
        <v>23062165</v>
      </c>
      <c r="Q6" s="40">
        <f>AVERAGEIF($B$19:$B$49,"월",F$19:F$49)</f>
        <v>53412178.25</v>
      </c>
      <c r="R6" s="40">
        <f>AVERAGEIF($B$19:$B$49,"월",G$19:G$49)</f>
        <v>18701105.5</v>
      </c>
      <c r="S6" s="34"/>
      <c r="T6" s="34"/>
      <c r="U6" s="34"/>
      <c r="V6" s="34"/>
    </row>
    <row r="7" spans="2:22" hidden="1">
      <c r="B7" s="43" t="s">
        <v>26</v>
      </c>
      <c r="C7" s="13"/>
      <c r="D7" s="13"/>
      <c r="E7" s="13"/>
      <c r="F7" s="13"/>
      <c r="G7" s="39">
        <f t="shared" ref="G7:G12" si="0">D53</f>
        <v>154050297</v>
      </c>
      <c r="H7" s="39">
        <f t="shared" ref="H7:H12" si="1">E53</f>
        <v>22098050</v>
      </c>
      <c r="I7" s="39">
        <f t="shared" ref="I7:I12" si="2">F53</f>
        <v>55246951</v>
      </c>
      <c r="J7" s="39">
        <f t="shared" ref="J7:J12" si="3">G53</f>
        <v>20041155</v>
      </c>
      <c r="K7" s="34"/>
      <c r="L7" s="34"/>
      <c r="M7" s="34"/>
      <c r="N7" s="34"/>
      <c r="O7" s="40">
        <f>AVERAGEIF($B$19:$B$49,"화",D$19:D$49)</f>
        <v>158130347.5</v>
      </c>
      <c r="P7" s="40">
        <f>AVERAGEIF($B$19:$B$49,"화",E$19:E$49)</f>
        <v>22577605</v>
      </c>
      <c r="Q7" s="40">
        <f>AVERAGEIF($B$19:$B$49,"화",F$19:F$49)</f>
        <v>51673698.5</v>
      </c>
      <c r="R7" s="40">
        <f>AVERAGEIF($B$19:$B$49,"화",G$19:G$49)</f>
        <v>19111535.75</v>
      </c>
      <c r="S7" s="34"/>
      <c r="T7" s="34"/>
      <c r="U7" s="34"/>
      <c r="V7" s="34"/>
    </row>
    <row r="8" spans="2:22" hidden="1">
      <c r="B8" s="43" t="s">
        <v>27</v>
      </c>
      <c r="C8" s="13"/>
      <c r="D8" s="13"/>
      <c r="E8" s="13"/>
      <c r="F8" s="13"/>
      <c r="G8" s="39">
        <f t="shared" si="0"/>
        <v>150124880</v>
      </c>
      <c r="H8" s="39">
        <f t="shared" si="1"/>
        <v>18086170</v>
      </c>
      <c r="I8" s="39">
        <f t="shared" si="2"/>
        <v>55153135</v>
      </c>
      <c r="J8" s="39">
        <f t="shared" si="3"/>
        <v>20064284</v>
      </c>
      <c r="K8" s="34"/>
      <c r="L8" s="34"/>
      <c r="M8" s="34"/>
      <c r="N8" s="34"/>
      <c r="O8" s="40">
        <f>AVERAGEIF($B$19:$B$49,"수",D$19:D$49)</f>
        <v>152145955</v>
      </c>
      <c r="P8" s="40">
        <f>AVERAGEIF($B$19:$B$49,"수",E$19:E$49)</f>
        <v>21962712.5</v>
      </c>
      <c r="Q8" s="40">
        <f>AVERAGEIF($B$19:$B$49,"수",F$19:F$49)</f>
        <v>49566443.75</v>
      </c>
      <c r="R8" s="40">
        <f>AVERAGEIF($B$19:$B$49,"수",G$19:G$49)</f>
        <v>18796595</v>
      </c>
      <c r="S8" s="34"/>
      <c r="T8" s="34"/>
      <c r="U8" s="34"/>
      <c r="V8" s="34"/>
    </row>
    <row r="9" spans="2:22">
      <c r="B9" s="43" t="s">
        <v>28</v>
      </c>
      <c r="C9" s="13">
        <f t="shared" ref="C9:F12" si="4">D62</f>
        <v>60717000</v>
      </c>
      <c r="D9" s="13">
        <f t="shared" si="4"/>
        <v>10187760</v>
      </c>
      <c r="E9" s="13">
        <f t="shared" si="4"/>
        <v>26773701</v>
      </c>
      <c r="F9" s="13">
        <f t="shared" si="4"/>
        <v>12144194</v>
      </c>
      <c r="G9" s="117">
        <f t="shared" si="0"/>
        <v>145754763</v>
      </c>
      <c r="H9" s="117">
        <f t="shared" si="1"/>
        <v>17294680</v>
      </c>
      <c r="I9" s="117">
        <f t="shared" si="2"/>
        <v>52388718</v>
      </c>
      <c r="J9" s="20">
        <f t="shared" si="3"/>
        <v>20040817</v>
      </c>
      <c r="K9" s="34">
        <f t="shared" ref="K9:N10" si="5">C9/G9</f>
        <v>0.41656957721511989</v>
      </c>
      <c r="L9" s="34">
        <f t="shared" si="5"/>
        <v>0.58906900850434929</v>
      </c>
      <c r="M9" s="34">
        <f t="shared" si="5"/>
        <v>0.51105852599790669</v>
      </c>
      <c r="N9" s="34">
        <f t="shared" si="5"/>
        <v>0.60597300000294396</v>
      </c>
      <c r="O9" s="11">
        <f>AVERAGEIF($B$19:$B$49,"목",D$19:D$49)</f>
        <v>145102100</v>
      </c>
      <c r="P9" s="11">
        <f>AVERAGEIF($B$19:$B$49,"목",E$19:E$49)</f>
        <v>21591967.5</v>
      </c>
      <c r="Q9" s="11">
        <f>AVERAGEIF($B$19:$B$49,"목",F$19:F$49)</f>
        <v>47930176</v>
      </c>
      <c r="R9" s="11">
        <f>AVERAGEIF($B$19:$B$49,"목",G$19:G$49)</f>
        <v>17804330</v>
      </c>
      <c r="S9" s="34">
        <f t="shared" ref="S9:V10" si="6">C9/O9</f>
        <v>0.41844328924254026</v>
      </c>
      <c r="T9" s="34">
        <f t="shared" si="6"/>
        <v>0.47183101771526842</v>
      </c>
      <c r="U9" s="34">
        <f t="shared" si="6"/>
        <v>0.5585980114072604</v>
      </c>
      <c r="V9" s="34">
        <f t="shared" si="6"/>
        <v>0.68209216522048288</v>
      </c>
    </row>
    <row r="10" spans="2:22">
      <c r="B10" s="43" t="s">
        <v>29</v>
      </c>
      <c r="C10" s="13">
        <f t="shared" si="4"/>
        <v>57616318</v>
      </c>
      <c r="D10" s="13">
        <f t="shared" si="4"/>
        <v>10061350</v>
      </c>
      <c r="E10" s="13">
        <f t="shared" si="4"/>
        <v>27526970</v>
      </c>
      <c r="F10" s="13">
        <f t="shared" si="4"/>
        <v>12517506</v>
      </c>
      <c r="G10" s="118">
        <f t="shared" si="0"/>
        <v>129265424</v>
      </c>
      <c r="H10" s="118">
        <f t="shared" si="1"/>
        <v>21340620</v>
      </c>
      <c r="I10" s="118">
        <f t="shared" si="2"/>
        <v>44518103</v>
      </c>
      <c r="J10" s="20">
        <f t="shared" si="3"/>
        <v>16985671</v>
      </c>
      <c r="K10" s="34">
        <f t="shared" si="5"/>
        <v>0.44572103055183571</v>
      </c>
      <c r="L10" s="34">
        <f t="shared" si="5"/>
        <v>0.47146474657249882</v>
      </c>
      <c r="M10" s="34">
        <f t="shared" si="5"/>
        <v>0.61833205246863276</v>
      </c>
      <c r="N10" s="34">
        <f t="shared" si="5"/>
        <v>0.73694504032251651</v>
      </c>
      <c r="O10" s="11">
        <f>AVERAGEIF($B$19:$B$49,"금",D$19:D$49)</f>
        <v>135097018.19999999</v>
      </c>
      <c r="P10" s="11">
        <f>AVERAGEIF($B$19:$B$49,"금",E$19:E$49)</f>
        <v>20486088</v>
      </c>
      <c r="Q10" s="11">
        <f>AVERAGEIF($B$19:$B$49,"금",F$19:F$49)</f>
        <v>42850789.600000001</v>
      </c>
      <c r="R10" s="11">
        <f>AVERAGEIF($B$19:$B$49,"금",G$19:G$49)</f>
        <v>16389529.800000001</v>
      </c>
      <c r="S10" s="34">
        <f t="shared" si="6"/>
        <v>0.42648104871347936</v>
      </c>
      <c r="T10" s="34">
        <f t="shared" si="6"/>
        <v>0.49113085914694887</v>
      </c>
      <c r="U10" s="34">
        <f t="shared" si="6"/>
        <v>0.64239119645067166</v>
      </c>
      <c r="V10" s="34">
        <f t="shared" si="6"/>
        <v>0.76375015956833614</v>
      </c>
    </row>
    <row r="11" spans="2:22">
      <c r="B11" s="43" t="s">
        <v>30</v>
      </c>
      <c r="C11" s="13">
        <f t="shared" si="4"/>
        <v>69459682</v>
      </c>
      <c r="D11" s="13">
        <f t="shared" si="4"/>
        <v>12242110</v>
      </c>
      <c r="E11" s="13">
        <f t="shared" si="4"/>
        <v>33511528</v>
      </c>
      <c r="F11" s="13">
        <f t="shared" si="4"/>
        <v>14863488</v>
      </c>
      <c r="G11" s="119">
        <f t="shared" si="0"/>
        <v>84576575</v>
      </c>
      <c r="H11" s="119">
        <f t="shared" si="1"/>
        <v>16562900</v>
      </c>
      <c r="I11" s="119">
        <f t="shared" si="2"/>
        <v>44413910</v>
      </c>
      <c r="J11" s="20">
        <f t="shared" si="3"/>
        <v>17431204</v>
      </c>
      <c r="K11" s="34">
        <f>C11/G11</f>
        <v>0.82126383103122824</v>
      </c>
      <c r="L11" s="34">
        <f t="shared" ref="L11:N13" si="7">D11/H11</f>
        <v>0.73912841350246639</v>
      </c>
      <c r="M11" s="34">
        <f t="shared" si="7"/>
        <v>0.75452775943392514</v>
      </c>
      <c r="N11" s="34">
        <f t="shared" si="7"/>
        <v>0.85269428319466634</v>
      </c>
      <c r="O11" s="11">
        <f>AVERAGEIF($B$19:$B$49,"토",D$19:D$49)</f>
        <v>85682266.799999997</v>
      </c>
      <c r="P11" s="11">
        <f>AVERAGEIF($B$19:$B$49,"토",E$19:E$49)</f>
        <v>14342342</v>
      </c>
      <c r="Q11" s="11">
        <f>AVERAGEIF($B$19:$B$49,"토",F$19:F$49)</f>
        <v>39949004.799999997</v>
      </c>
      <c r="R11" s="11">
        <f>AVERAGEIF($B$19:$B$49,"토",G$19:G$49)</f>
        <v>15730464.199999999</v>
      </c>
      <c r="S11" s="34">
        <f>C11/O11</f>
        <v>0.81066578411298529</v>
      </c>
      <c r="T11" s="34">
        <f t="shared" ref="T11:V13" si="8">D11/P11</f>
        <v>0.85356422263532694</v>
      </c>
      <c r="U11" s="34">
        <f t="shared" si="8"/>
        <v>0.83885764283169328</v>
      </c>
      <c r="V11" s="34">
        <f t="shared" si="8"/>
        <v>0.94488552982435192</v>
      </c>
    </row>
    <row r="12" spans="2:22">
      <c r="B12" s="43" t="s">
        <v>31</v>
      </c>
      <c r="C12" s="13">
        <f t="shared" si="4"/>
        <v>81083313</v>
      </c>
      <c r="D12" s="13">
        <f t="shared" si="4"/>
        <v>13494020</v>
      </c>
      <c r="E12" s="13">
        <f t="shared" si="4"/>
        <v>45031460</v>
      </c>
      <c r="F12" s="13">
        <f t="shared" si="4"/>
        <v>18364419</v>
      </c>
      <c r="G12" s="119">
        <f t="shared" si="0"/>
        <v>85746970</v>
      </c>
      <c r="H12" s="119">
        <f t="shared" si="1"/>
        <v>15944350</v>
      </c>
      <c r="I12" s="119">
        <f t="shared" si="2"/>
        <v>50284938</v>
      </c>
      <c r="J12" s="20">
        <f t="shared" si="3"/>
        <v>18140370</v>
      </c>
      <c r="K12" s="34">
        <f>C12/G12</f>
        <v>0.94561140761008811</v>
      </c>
      <c r="L12" s="34">
        <f t="shared" si="7"/>
        <v>0.8463198562500196</v>
      </c>
      <c r="M12" s="34">
        <f t="shared" si="7"/>
        <v>0.8955258133161067</v>
      </c>
      <c r="N12" s="34">
        <f t="shared" si="7"/>
        <v>1.0123508506166081</v>
      </c>
      <c r="O12" s="11">
        <f>AVERAGEIF($B$19:$B$49,"일",D$19:D$49)</f>
        <v>86146692.5</v>
      </c>
      <c r="P12" s="11">
        <f>AVERAGEIF($B$19:$B$49,"일",E$19:E$49)</f>
        <v>15407427.5</v>
      </c>
      <c r="Q12" s="11">
        <f>AVERAGEIF($B$19:$B$49,"일",F$19:F$49)</f>
        <v>46310837.75</v>
      </c>
      <c r="R12" s="11">
        <f>AVERAGEIF($B$19:$B$49,"일",G$19:G$49)</f>
        <v>19107932.5</v>
      </c>
      <c r="S12" s="34">
        <f>C12/O12</f>
        <v>0.94122375040690043</v>
      </c>
      <c r="T12" s="34">
        <f t="shared" si="8"/>
        <v>0.87581265594142821</v>
      </c>
      <c r="U12" s="34">
        <f t="shared" si="8"/>
        <v>0.97237411776253169</v>
      </c>
      <c r="V12" s="34">
        <f t="shared" si="8"/>
        <v>0.96108875201437938</v>
      </c>
    </row>
    <row r="13" spans="2:22">
      <c r="B13" s="44" t="s">
        <v>44</v>
      </c>
      <c r="C13" s="33">
        <f>SUM(C9:C12)</f>
        <v>268876313</v>
      </c>
      <c r="D13" s="33">
        <f t="shared" ref="D13:J13" si="9">SUM(D9:D12)</f>
        <v>45985240</v>
      </c>
      <c r="E13" s="33">
        <f t="shared" si="9"/>
        <v>132843659</v>
      </c>
      <c r="F13" s="33">
        <f t="shared" si="9"/>
        <v>57889607</v>
      </c>
      <c r="G13" s="35">
        <f t="shared" si="9"/>
        <v>445343732</v>
      </c>
      <c r="H13" s="35">
        <f t="shared" si="9"/>
        <v>71142550</v>
      </c>
      <c r="I13" s="35">
        <f t="shared" si="9"/>
        <v>191605669</v>
      </c>
      <c r="J13" s="35">
        <f t="shared" si="9"/>
        <v>72598062</v>
      </c>
      <c r="K13" s="36">
        <f>C13/G13</f>
        <v>0.60375007815311521</v>
      </c>
      <c r="L13" s="36">
        <f t="shared" si="7"/>
        <v>0.64638166610558656</v>
      </c>
      <c r="M13" s="36">
        <f t="shared" si="7"/>
        <v>0.69331799885315504</v>
      </c>
      <c r="N13" s="36">
        <f t="shared" si="7"/>
        <v>0.79739879282176984</v>
      </c>
      <c r="O13" s="35">
        <f>SUM(O9:O12)</f>
        <v>452028077.5</v>
      </c>
      <c r="P13" s="35">
        <f>SUM(P9:P12)</f>
        <v>71827825</v>
      </c>
      <c r="Q13" s="35">
        <f>SUM(Q9:Q12)</f>
        <v>177040808.14999998</v>
      </c>
      <c r="R13" s="35">
        <f>SUM(R9:R12)</f>
        <v>69032256.5</v>
      </c>
      <c r="S13" s="108">
        <f>C13/O13</f>
        <v>0.5948221501793769</v>
      </c>
      <c r="T13" s="108">
        <f t="shared" si="8"/>
        <v>0.64021484710138443</v>
      </c>
      <c r="U13" s="108">
        <f>E13/Q13</f>
        <v>0.75035614889108837</v>
      </c>
      <c r="V13" s="108">
        <f t="shared" si="8"/>
        <v>0.83858778395864841</v>
      </c>
    </row>
    <row r="14" spans="2:22"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32"/>
      <c r="T14" s="132"/>
      <c r="U14" s="132"/>
      <c r="V14" s="132"/>
    </row>
    <row r="15" spans="2:22" ht="18.75" customHeight="1">
      <c r="B15" s="4" t="s">
        <v>37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32"/>
      <c r="T15" s="132"/>
      <c r="U15" s="132"/>
      <c r="V15" s="132"/>
    </row>
    <row r="16" spans="2:22" ht="18.75" customHeight="1">
      <c r="B16" s="4"/>
      <c r="C16" s="5" t="s">
        <v>73</v>
      </c>
      <c r="D16" s="110">
        <f>MAX(D19:D49)</f>
        <v>163919317</v>
      </c>
      <c r="E16" s="110">
        <f>MAX(E19:E49)</f>
        <v>26319240</v>
      </c>
      <c r="F16" s="110">
        <f>MAX(F19:F49)</f>
        <v>61033547</v>
      </c>
      <c r="G16" s="110">
        <f>MAX(G19:G49)</f>
        <v>24939959</v>
      </c>
      <c r="H16" s="6"/>
      <c r="K16" s="6"/>
      <c r="L16" s="6"/>
      <c r="M16" s="6"/>
      <c r="N16" s="6"/>
      <c r="O16" s="6"/>
      <c r="P16" s="6"/>
      <c r="Q16" s="6"/>
      <c r="R16" s="6"/>
      <c r="S16" s="132"/>
      <c r="T16" s="107"/>
      <c r="U16" s="107"/>
      <c r="V16" s="107"/>
    </row>
    <row r="17" spans="2:22" ht="18.75" customHeight="1">
      <c r="B17" s="4"/>
      <c r="C17" s="5" t="s">
        <v>74</v>
      </c>
      <c r="D17" s="110">
        <f>MIN(D19:D49)</f>
        <v>81209754</v>
      </c>
      <c r="E17" s="110">
        <f>MIN(E19:E49)</f>
        <v>10394970</v>
      </c>
      <c r="F17" s="110">
        <f>MIN(F19:F49)</f>
        <v>38203547</v>
      </c>
      <c r="G17" s="110">
        <f>MIN(G19:G49)</f>
        <v>13643169</v>
      </c>
      <c r="H17" s="6"/>
      <c r="K17" s="6"/>
      <c r="L17" s="6"/>
      <c r="M17" s="6"/>
      <c r="N17" s="6"/>
      <c r="O17" s="6"/>
      <c r="P17" s="6"/>
      <c r="Q17" s="6"/>
      <c r="R17" s="6"/>
      <c r="S17" s="132"/>
      <c r="T17" s="132"/>
      <c r="U17" s="132"/>
      <c r="V17" s="132"/>
    </row>
    <row r="18" spans="2:22">
      <c r="B18" s="17" t="s">
        <v>35</v>
      </c>
      <c r="C18" s="17" t="s">
        <v>34</v>
      </c>
      <c r="D18" s="115" t="s">
        <v>3</v>
      </c>
      <c r="E18" s="115" t="s">
        <v>5</v>
      </c>
      <c r="F18" s="115" t="s">
        <v>6</v>
      </c>
      <c r="G18" s="115" t="s">
        <v>7</v>
      </c>
      <c r="H18" s="6"/>
      <c r="K18" s="6"/>
      <c r="L18" s="6"/>
      <c r="M18" s="6"/>
      <c r="N18" s="6"/>
      <c r="O18" s="6"/>
      <c r="P18" s="6"/>
      <c r="Q18" s="6"/>
      <c r="R18" s="6"/>
      <c r="S18" s="132"/>
    </row>
    <row r="19" spans="2:22">
      <c r="B19" s="31" t="s">
        <v>13</v>
      </c>
      <c r="C19" s="16">
        <v>43678</v>
      </c>
      <c r="D19" s="12">
        <v>134544168</v>
      </c>
      <c r="E19" s="12">
        <v>20663770</v>
      </c>
      <c r="F19" s="12">
        <v>43484069</v>
      </c>
      <c r="G19" s="12">
        <v>17508120</v>
      </c>
      <c r="H19" s="121"/>
      <c r="I19" s="121"/>
      <c r="J19" s="120"/>
      <c r="K19" s="6"/>
      <c r="L19" s="6"/>
      <c r="M19" s="6"/>
      <c r="N19" s="6"/>
      <c r="O19" s="6"/>
      <c r="P19" s="6"/>
      <c r="Q19" s="6"/>
      <c r="R19" s="6"/>
      <c r="S19" s="132"/>
    </row>
    <row r="20" spans="2:22">
      <c r="B20" s="15" t="s">
        <v>14</v>
      </c>
      <c r="C20" s="16">
        <v>43679</v>
      </c>
      <c r="D20" s="12">
        <v>122861532</v>
      </c>
      <c r="E20" s="12">
        <v>19375750</v>
      </c>
      <c r="F20" s="12">
        <v>39651388</v>
      </c>
      <c r="G20" s="12">
        <v>15904167</v>
      </c>
      <c r="K20" s="6"/>
      <c r="L20" s="6"/>
      <c r="M20" s="6"/>
      <c r="N20" s="6"/>
      <c r="O20" s="6"/>
      <c r="P20" s="6"/>
      <c r="Q20" s="6"/>
      <c r="R20" s="185"/>
      <c r="S20" s="185"/>
      <c r="T20" s="185"/>
      <c r="U20" s="185"/>
    </row>
    <row r="21" spans="2:22">
      <c r="B21" s="15" t="s">
        <v>8</v>
      </c>
      <c r="C21" s="16">
        <v>43680</v>
      </c>
      <c r="D21" s="12">
        <v>81487998</v>
      </c>
      <c r="E21" s="12">
        <v>14469900</v>
      </c>
      <c r="F21" s="12">
        <v>38203547</v>
      </c>
      <c r="G21" s="12">
        <v>13643169</v>
      </c>
      <c r="K21" s="6"/>
      <c r="L21" s="6"/>
      <c r="M21" s="6"/>
      <c r="N21" s="6"/>
      <c r="O21" s="6"/>
      <c r="P21" s="6"/>
      <c r="Q21" s="6"/>
      <c r="R21" s="6"/>
    </row>
    <row r="22" spans="2:22">
      <c r="B22" s="15" t="s">
        <v>9</v>
      </c>
      <c r="C22" s="16">
        <v>43681</v>
      </c>
      <c r="D22" s="12">
        <v>84574567</v>
      </c>
      <c r="E22" s="12">
        <v>14983340</v>
      </c>
      <c r="F22" s="12">
        <v>43638794</v>
      </c>
      <c r="G22" s="12">
        <v>14742633</v>
      </c>
      <c r="K22" s="6"/>
      <c r="L22" s="6"/>
      <c r="M22" s="6"/>
      <c r="N22" s="6"/>
      <c r="O22" s="6"/>
      <c r="P22" s="6"/>
      <c r="Q22" s="6"/>
      <c r="R22" s="6"/>
    </row>
    <row r="23" spans="2:22">
      <c r="B23" s="15" t="s">
        <v>10</v>
      </c>
      <c r="C23" s="16">
        <v>43682</v>
      </c>
      <c r="D23" s="12">
        <v>156222240</v>
      </c>
      <c r="E23" s="12">
        <v>18927420</v>
      </c>
      <c r="F23" s="12">
        <v>49368646</v>
      </c>
      <c r="G23" s="12">
        <v>17555020</v>
      </c>
      <c r="K23" s="6"/>
      <c r="L23" s="6"/>
      <c r="M23" s="6"/>
      <c r="N23" s="6"/>
      <c r="O23" s="6"/>
      <c r="P23" s="6"/>
      <c r="Q23" s="6"/>
      <c r="R23" s="6"/>
    </row>
    <row r="24" spans="2:22">
      <c r="B24" s="15" t="s">
        <v>11</v>
      </c>
      <c r="C24" s="16">
        <v>43683</v>
      </c>
      <c r="D24" s="12">
        <v>156992806</v>
      </c>
      <c r="E24" s="12">
        <v>17264460</v>
      </c>
      <c r="F24" s="12">
        <v>47983526</v>
      </c>
      <c r="G24" s="12">
        <v>18531331</v>
      </c>
      <c r="K24" s="6"/>
      <c r="L24" s="6"/>
      <c r="M24" s="6"/>
      <c r="N24" s="6"/>
      <c r="O24" s="6"/>
      <c r="P24" s="6"/>
      <c r="Q24" s="6"/>
      <c r="R24" s="6"/>
    </row>
    <row r="25" spans="2:22">
      <c r="B25" s="15" t="s">
        <v>12</v>
      </c>
      <c r="C25" s="16">
        <v>43684</v>
      </c>
      <c r="D25" s="12">
        <v>154185340</v>
      </c>
      <c r="E25" s="12">
        <v>17152720</v>
      </c>
      <c r="F25" s="12">
        <v>48460876</v>
      </c>
      <c r="G25" s="12">
        <v>18724612</v>
      </c>
      <c r="I25" s="111"/>
      <c r="K25" s="6"/>
      <c r="L25" s="6"/>
      <c r="M25" s="6"/>
      <c r="N25" s="6"/>
      <c r="O25" s="6"/>
      <c r="P25" s="6"/>
      <c r="Q25" s="6"/>
      <c r="R25" s="6"/>
    </row>
    <row r="26" spans="2:22">
      <c r="B26" s="15" t="s">
        <v>13</v>
      </c>
      <c r="C26" s="16">
        <v>43685</v>
      </c>
      <c r="D26" s="12">
        <v>153468147</v>
      </c>
      <c r="E26" s="12">
        <v>17479940</v>
      </c>
      <c r="F26" s="12">
        <v>45819644</v>
      </c>
      <c r="G26" s="12">
        <v>17895883</v>
      </c>
      <c r="K26" s="6"/>
      <c r="L26" s="6"/>
      <c r="M26" s="6"/>
      <c r="N26" s="6"/>
      <c r="O26" s="6"/>
      <c r="P26" s="6"/>
      <c r="Q26" s="6"/>
      <c r="R26" s="6"/>
    </row>
    <row r="27" spans="2:22">
      <c r="B27" s="15" t="s">
        <v>14</v>
      </c>
      <c r="C27" s="16">
        <v>43686</v>
      </c>
      <c r="D27" s="12">
        <v>145916380</v>
      </c>
      <c r="E27" s="12">
        <v>16324300</v>
      </c>
      <c r="F27" s="12">
        <v>42590374</v>
      </c>
      <c r="G27" s="12">
        <v>16884199</v>
      </c>
      <c r="K27" s="6"/>
      <c r="L27" s="6"/>
      <c r="M27" s="6"/>
      <c r="N27" s="6"/>
      <c r="O27" s="6"/>
      <c r="P27" s="6"/>
      <c r="Q27" s="6"/>
      <c r="R27" s="6"/>
    </row>
    <row r="28" spans="2:22">
      <c r="B28" s="15" t="s">
        <v>8</v>
      </c>
      <c r="C28" s="16">
        <v>43687</v>
      </c>
      <c r="D28" s="12">
        <v>90562804</v>
      </c>
      <c r="E28" s="12">
        <v>10394970</v>
      </c>
      <c r="F28" s="12">
        <v>38639052</v>
      </c>
      <c r="G28" s="12">
        <v>16675419</v>
      </c>
      <c r="K28" s="6"/>
      <c r="L28" s="6"/>
      <c r="M28" s="6"/>
      <c r="N28" s="6"/>
      <c r="O28" s="6"/>
      <c r="P28" s="6"/>
      <c r="Q28" s="6"/>
      <c r="R28" s="6"/>
    </row>
    <row r="29" spans="2:22">
      <c r="B29" s="15" t="s">
        <v>9</v>
      </c>
      <c r="C29" s="16">
        <v>43688</v>
      </c>
      <c r="D29" s="12">
        <v>87377822</v>
      </c>
      <c r="E29" s="12">
        <v>17088840</v>
      </c>
      <c r="F29" s="12">
        <v>45108894</v>
      </c>
      <c r="G29" s="12">
        <v>24939959</v>
      </c>
      <c r="K29" s="6"/>
      <c r="L29" s="6"/>
      <c r="M29" s="6"/>
      <c r="N29" s="6"/>
      <c r="O29" s="6"/>
      <c r="P29" s="6"/>
      <c r="Q29" s="6"/>
      <c r="R29" s="6"/>
    </row>
    <row r="30" spans="2:22">
      <c r="B30" s="15" t="s">
        <v>10</v>
      </c>
      <c r="C30" s="16">
        <v>43689</v>
      </c>
      <c r="D30" s="12">
        <v>161069866</v>
      </c>
      <c r="E30" s="12">
        <v>23489740</v>
      </c>
      <c r="F30" s="12">
        <v>51347918</v>
      </c>
      <c r="G30" s="12">
        <v>18637225</v>
      </c>
      <c r="K30" s="6"/>
      <c r="L30" s="6"/>
      <c r="M30" s="6"/>
      <c r="N30" s="6"/>
      <c r="O30" s="6"/>
      <c r="P30" s="6"/>
      <c r="Q30" s="6"/>
      <c r="R30" s="6"/>
    </row>
    <row r="31" spans="2:22">
      <c r="B31" s="15" t="s">
        <v>11</v>
      </c>
      <c r="C31" s="16">
        <v>43690</v>
      </c>
      <c r="D31" s="12">
        <v>160115802</v>
      </c>
      <c r="E31" s="12">
        <v>23276430</v>
      </c>
      <c r="F31" s="12">
        <v>49673615</v>
      </c>
      <c r="G31" s="12">
        <v>18253890</v>
      </c>
      <c r="K31" s="6"/>
      <c r="L31" s="6"/>
      <c r="M31" s="6"/>
      <c r="N31" s="6"/>
      <c r="O31" s="6"/>
      <c r="P31" s="6"/>
      <c r="Q31" s="6"/>
      <c r="R31" s="6"/>
    </row>
    <row r="32" spans="2:22">
      <c r="B32" s="15" t="s">
        <v>12</v>
      </c>
      <c r="C32" s="16">
        <v>43691</v>
      </c>
      <c r="D32" s="12">
        <v>148128222</v>
      </c>
      <c r="E32" s="12">
        <v>21143170</v>
      </c>
      <c r="F32" s="12">
        <v>42105161</v>
      </c>
      <c r="G32" s="12">
        <v>17852066</v>
      </c>
      <c r="K32" s="6"/>
      <c r="L32" s="6"/>
      <c r="M32" s="6"/>
      <c r="N32" s="6"/>
      <c r="O32" s="6"/>
      <c r="P32" s="6"/>
      <c r="Q32" s="6"/>
      <c r="R32" s="6"/>
    </row>
    <row r="33" spans="2:18">
      <c r="B33" s="31" t="s">
        <v>81</v>
      </c>
      <c r="C33" s="16">
        <v>43692</v>
      </c>
      <c r="D33" s="12">
        <v>106615436</v>
      </c>
      <c r="E33" s="12">
        <v>15953280</v>
      </c>
      <c r="F33" s="12">
        <v>40362811</v>
      </c>
      <c r="G33" s="12">
        <v>18959095</v>
      </c>
      <c r="K33" s="6"/>
      <c r="L33" s="6"/>
      <c r="M33" s="6"/>
      <c r="N33" s="6"/>
      <c r="O33" s="6"/>
      <c r="P33" s="6"/>
      <c r="Q33" s="6"/>
      <c r="R33" s="6"/>
    </row>
    <row r="34" spans="2:18">
      <c r="B34" s="15" t="s">
        <v>14</v>
      </c>
      <c r="C34" s="16">
        <v>43693</v>
      </c>
      <c r="D34" s="12">
        <v>141651802</v>
      </c>
      <c r="E34" s="12">
        <v>21880070</v>
      </c>
      <c r="F34" s="12">
        <v>45114191</v>
      </c>
      <c r="G34" s="12">
        <v>16758762</v>
      </c>
      <c r="K34" s="6"/>
      <c r="L34" s="6"/>
      <c r="M34" s="6"/>
      <c r="N34" s="6"/>
      <c r="O34" s="6"/>
      <c r="P34" s="6"/>
      <c r="Q34" s="6"/>
      <c r="R34" s="6"/>
    </row>
    <row r="35" spans="2:18">
      <c r="B35" s="15" t="s">
        <v>8</v>
      </c>
      <c r="C35" s="16">
        <v>43694</v>
      </c>
      <c r="D35" s="12">
        <v>91478291</v>
      </c>
      <c r="E35" s="12">
        <v>15685770</v>
      </c>
      <c r="F35" s="12">
        <v>40891856</v>
      </c>
      <c r="G35" s="12">
        <v>16123217</v>
      </c>
      <c r="K35" s="6"/>
      <c r="L35" s="6"/>
      <c r="M35" s="6"/>
      <c r="N35" s="6"/>
      <c r="O35" s="6"/>
      <c r="P35" s="6"/>
      <c r="Q35" s="6"/>
      <c r="R35" s="6"/>
    </row>
    <row r="36" spans="2:18">
      <c r="B36" s="15" t="s">
        <v>9</v>
      </c>
      <c r="C36" s="16">
        <v>43695</v>
      </c>
      <c r="D36" s="12">
        <v>88058888</v>
      </c>
      <c r="E36" s="12">
        <v>13853530</v>
      </c>
      <c r="F36" s="12">
        <v>47094742</v>
      </c>
      <c r="G36" s="12">
        <v>17987460</v>
      </c>
      <c r="K36" s="6"/>
      <c r="L36" s="6"/>
      <c r="M36" s="6"/>
      <c r="N36" s="6"/>
      <c r="O36" s="6"/>
      <c r="P36" s="6"/>
      <c r="Q36" s="6"/>
      <c r="R36" s="6"/>
    </row>
    <row r="37" spans="2:18">
      <c r="B37" s="15" t="s">
        <v>10</v>
      </c>
      <c r="C37" s="16">
        <v>43696</v>
      </c>
      <c r="D37" s="12">
        <v>163919317</v>
      </c>
      <c r="E37" s="12">
        <v>24158420</v>
      </c>
      <c r="F37" s="12">
        <v>51898602</v>
      </c>
      <c r="G37" s="12">
        <v>18802557</v>
      </c>
      <c r="K37" s="6"/>
      <c r="L37" s="6"/>
      <c r="M37" s="6"/>
      <c r="N37" s="6"/>
      <c r="O37" s="6"/>
      <c r="P37" s="6"/>
      <c r="Q37" s="6"/>
      <c r="R37" s="6"/>
    </row>
    <row r="38" spans="2:18">
      <c r="B38" s="15" t="s">
        <v>11</v>
      </c>
      <c r="C38" s="16">
        <v>43697</v>
      </c>
      <c r="D38" s="12">
        <v>159664082</v>
      </c>
      <c r="E38" s="12">
        <v>23450290</v>
      </c>
      <c r="F38" s="12">
        <v>49357416</v>
      </c>
      <c r="G38" s="12">
        <v>19518452</v>
      </c>
      <c r="K38" s="6"/>
      <c r="L38" s="6"/>
      <c r="M38" s="6"/>
      <c r="N38" s="6"/>
      <c r="O38" s="6"/>
      <c r="P38" s="6"/>
      <c r="Q38" s="6"/>
      <c r="R38" s="6"/>
    </row>
    <row r="39" spans="2:18">
      <c r="B39" s="15" t="s">
        <v>12</v>
      </c>
      <c r="C39" s="19">
        <v>43698</v>
      </c>
      <c r="D39" s="20">
        <v>151382576</v>
      </c>
      <c r="E39" s="20">
        <v>23523960</v>
      </c>
      <c r="F39" s="20">
        <v>49632875</v>
      </c>
      <c r="G39" s="20">
        <v>18639937</v>
      </c>
      <c r="K39" s="6"/>
      <c r="L39" s="6"/>
      <c r="M39" s="6"/>
      <c r="N39" s="6"/>
      <c r="O39" s="6"/>
      <c r="P39" s="6"/>
      <c r="Q39" s="6"/>
      <c r="R39" s="6"/>
    </row>
    <row r="40" spans="2:18">
      <c r="B40" s="15" t="s">
        <v>13</v>
      </c>
      <c r="C40" s="19">
        <v>43699</v>
      </c>
      <c r="D40" s="20">
        <v>148891936</v>
      </c>
      <c r="E40" s="20">
        <v>23981990</v>
      </c>
      <c r="F40" s="20">
        <v>48327441</v>
      </c>
      <c r="G40" s="20">
        <v>17943772</v>
      </c>
      <c r="K40" s="6"/>
      <c r="L40" s="6"/>
      <c r="M40" s="6"/>
      <c r="N40" s="6"/>
      <c r="O40" s="6"/>
      <c r="P40" s="6"/>
      <c r="Q40" s="6"/>
      <c r="R40" s="6"/>
    </row>
    <row r="41" spans="2:18">
      <c r="B41" s="15" t="s">
        <v>14</v>
      </c>
      <c r="C41" s="19">
        <v>43700</v>
      </c>
      <c r="D41" s="20">
        <v>137039235</v>
      </c>
      <c r="E41" s="20">
        <v>22525130</v>
      </c>
      <c r="F41" s="20">
        <v>46092443</v>
      </c>
      <c r="G41" s="20">
        <v>16226569</v>
      </c>
      <c r="K41" s="6"/>
      <c r="L41" s="6"/>
      <c r="M41" s="6"/>
      <c r="N41" s="6"/>
      <c r="O41" s="6"/>
      <c r="P41" s="6"/>
      <c r="Q41" s="6"/>
      <c r="R41" s="6"/>
    </row>
    <row r="42" spans="2:18">
      <c r="B42" s="15" t="s">
        <v>8</v>
      </c>
      <c r="C42" s="19">
        <v>43701</v>
      </c>
      <c r="D42" s="20">
        <v>83672487</v>
      </c>
      <c r="E42" s="20">
        <v>15625870</v>
      </c>
      <c r="F42" s="20">
        <v>41144096</v>
      </c>
      <c r="G42" s="20">
        <v>15596615</v>
      </c>
      <c r="K42" s="6"/>
      <c r="L42" s="6"/>
      <c r="M42" s="6"/>
      <c r="N42" s="6"/>
      <c r="O42" s="6"/>
      <c r="P42" s="6"/>
      <c r="Q42" s="6"/>
      <c r="R42" s="6"/>
    </row>
    <row r="43" spans="2:18">
      <c r="B43" s="15" t="s">
        <v>9</v>
      </c>
      <c r="C43" s="19">
        <v>43702</v>
      </c>
      <c r="D43" s="20">
        <v>84575493</v>
      </c>
      <c r="E43" s="20">
        <v>15704000</v>
      </c>
      <c r="F43" s="20">
        <v>49400921</v>
      </c>
      <c r="G43" s="20">
        <v>18761678</v>
      </c>
      <c r="K43" s="6"/>
      <c r="L43" s="6"/>
      <c r="M43" s="6"/>
      <c r="N43" s="6"/>
      <c r="O43" s="6"/>
      <c r="P43" s="6"/>
      <c r="Q43" s="6"/>
      <c r="R43" s="6"/>
    </row>
    <row r="44" spans="2:18">
      <c r="B44" s="15" t="s">
        <v>10</v>
      </c>
      <c r="C44" s="16">
        <v>43703</v>
      </c>
      <c r="D44" s="12">
        <v>162797817</v>
      </c>
      <c r="E44" s="12">
        <v>25673080</v>
      </c>
      <c r="F44" s="12">
        <v>61033547</v>
      </c>
      <c r="G44" s="12">
        <v>19809620</v>
      </c>
      <c r="K44" s="6"/>
      <c r="L44" s="6"/>
      <c r="M44" s="6"/>
      <c r="N44" s="6"/>
      <c r="O44" s="6"/>
      <c r="P44" s="6"/>
      <c r="Q44" s="6"/>
      <c r="R44" s="6"/>
    </row>
    <row r="45" spans="2:18">
      <c r="B45" s="15" t="s">
        <v>11</v>
      </c>
      <c r="C45" s="16">
        <v>43704</v>
      </c>
      <c r="D45" s="12">
        <v>155748700</v>
      </c>
      <c r="E45" s="12">
        <v>26319240</v>
      </c>
      <c r="F45" s="12">
        <v>59680237</v>
      </c>
      <c r="G45" s="12">
        <v>20142470</v>
      </c>
      <c r="K45" s="6"/>
      <c r="L45" s="6"/>
      <c r="M45" s="6"/>
      <c r="N45" s="6"/>
      <c r="O45" s="6"/>
      <c r="P45" s="6"/>
      <c r="Q45" s="6"/>
      <c r="R45" s="6"/>
    </row>
    <row r="46" spans="2:18">
      <c r="B46" s="15" t="s">
        <v>12</v>
      </c>
      <c r="C46" s="21">
        <v>43705</v>
      </c>
      <c r="D46" s="22">
        <v>154887682</v>
      </c>
      <c r="E46" s="22">
        <v>26031000</v>
      </c>
      <c r="F46" s="22">
        <v>58066863</v>
      </c>
      <c r="G46" s="22">
        <v>19969765</v>
      </c>
      <c r="K46" s="6"/>
      <c r="L46" s="6"/>
      <c r="M46" s="6"/>
      <c r="N46" s="6"/>
      <c r="O46" s="6"/>
      <c r="P46" s="6"/>
      <c r="Q46" s="6"/>
      <c r="R46" s="6"/>
    </row>
    <row r="47" spans="2:18">
      <c r="B47" s="15" t="s">
        <v>13</v>
      </c>
      <c r="C47" s="21">
        <v>43706</v>
      </c>
      <c r="D47" s="22">
        <v>143504149</v>
      </c>
      <c r="E47" s="22">
        <v>24242170</v>
      </c>
      <c r="F47" s="22">
        <v>54089550</v>
      </c>
      <c r="G47" s="22">
        <v>17869545</v>
      </c>
      <c r="K47" s="6"/>
      <c r="L47" s="6"/>
      <c r="M47" s="6"/>
      <c r="N47" s="6"/>
      <c r="O47" s="6"/>
      <c r="P47" s="6"/>
      <c r="Q47" s="6"/>
      <c r="R47" s="6"/>
    </row>
    <row r="48" spans="2:18">
      <c r="B48" s="15" t="s">
        <v>14</v>
      </c>
      <c r="C48" s="21">
        <v>43707</v>
      </c>
      <c r="D48" s="22">
        <v>128016142</v>
      </c>
      <c r="E48" s="22">
        <v>22325190</v>
      </c>
      <c r="F48" s="22">
        <v>40805552</v>
      </c>
      <c r="G48" s="22">
        <v>16173952</v>
      </c>
      <c r="K48" s="6"/>
      <c r="L48" s="6"/>
      <c r="M48" s="6"/>
      <c r="N48" s="6"/>
      <c r="O48" s="6"/>
      <c r="P48" s="6"/>
      <c r="Q48" s="6"/>
      <c r="R48" s="6"/>
    </row>
    <row r="49" spans="2:18">
      <c r="B49" s="15" t="s">
        <v>8</v>
      </c>
      <c r="C49" s="21">
        <v>43708</v>
      </c>
      <c r="D49" s="22">
        <v>81209754</v>
      </c>
      <c r="E49" s="22">
        <v>15535200</v>
      </c>
      <c r="F49" s="22">
        <v>40866473</v>
      </c>
      <c r="G49" s="22">
        <v>16613901</v>
      </c>
      <c r="K49" s="6"/>
      <c r="L49" s="6"/>
      <c r="M49" s="6"/>
      <c r="N49" s="6"/>
      <c r="O49" s="6"/>
      <c r="P49" s="6"/>
      <c r="Q49" s="6"/>
      <c r="R49" s="6"/>
    </row>
    <row r="50" spans="2:18">
      <c r="B50" s="425" t="s">
        <v>2</v>
      </c>
      <c r="C50" s="426"/>
      <c r="D50" s="22">
        <f>SUM(D19:D49)</f>
        <v>4020621481</v>
      </c>
      <c r="E50" s="22">
        <f>SUM(E19:E49)</f>
        <v>608502940</v>
      </c>
      <c r="F50" s="22">
        <f>SUM(F19:F49)</f>
        <v>1449935120</v>
      </c>
      <c r="G50" s="22">
        <f>SUM(G19:G49)</f>
        <v>553645060</v>
      </c>
      <c r="K50" s="6"/>
      <c r="L50" s="6"/>
      <c r="M50" s="6"/>
      <c r="N50" s="6"/>
      <c r="O50" s="6"/>
      <c r="P50" s="6"/>
      <c r="Q50" s="6"/>
      <c r="R50" s="6"/>
    </row>
    <row r="51" spans="2:18">
      <c r="B51" s="23" t="s">
        <v>9</v>
      </c>
      <c r="C51" s="24">
        <v>43709</v>
      </c>
      <c r="D51" s="25">
        <v>85168215</v>
      </c>
      <c r="E51" s="25">
        <v>15825780</v>
      </c>
      <c r="F51" s="25">
        <v>52938587</v>
      </c>
      <c r="G51" s="25">
        <v>19736847</v>
      </c>
      <c r="H51" s="169" t="s">
        <v>130</v>
      </c>
      <c r="K51" s="6"/>
      <c r="L51" s="6"/>
      <c r="M51" s="6"/>
      <c r="N51" s="6"/>
      <c r="O51" s="6"/>
      <c r="P51" s="6"/>
      <c r="Q51" s="6"/>
      <c r="R51" s="6"/>
    </row>
    <row r="52" spans="2:18">
      <c r="B52" s="28" t="s">
        <v>10</v>
      </c>
      <c r="C52" s="29">
        <v>43710</v>
      </c>
      <c r="D52" s="30">
        <v>153166128</v>
      </c>
      <c r="E52" s="30">
        <v>25558400</v>
      </c>
      <c r="F52" s="30">
        <v>58539106</v>
      </c>
      <c r="G52" s="30">
        <v>20054229</v>
      </c>
      <c r="H52" s="169" t="s">
        <v>131</v>
      </c>
      <c r="K52" s="6"/>
      <c r="L52" s="6"/>
      <c r="M52" s="6"/>
      <c r="N52" s="6"/>
      <c r="O52" s="6"/>
      <c r="P52" s="6"/>
      <c r="Q52" s="6"/>
      <c r="R52" s="6"/>
    </row>
    <row r="53" spans="2:18">
      <c r="B53" s="28" t="s">
        <v>11</v>
      </c>
      <c r="C53" s="29">
        <v>43711</v>
      </c>
      <c r="D53" s="30">
        <v>154050297</v>
      </c>
      <c r="E53" s="30">
        <v>22098050</v>
      </c>
      <c r="F53" s="30">
        <v>55246951</v>
      </c>
      <c r="G53" s="30">
        <v>20041155</v>
      </c>
      <c r="H53" s="169" t="s">
        <v>132</v>
      </c>
      <c r="K53" s="6"/>
      <c r="L53" s="6"/>
      <c r="M53" s="6"/>
      <c r="N53" s="6"/>
      <c r="O53" s="6"/>
      <c r="P53" s="6"/>
      <c r="Q53" s="6"/>
      <c r="R53" s="6"/>
    </row>
    <row r="54" spans="2:18">
      <c r="B54" s="28" t="s">
        <v>12</v>
      </c>
      <c r="C54" s="29">
        <v>43712</v>
      </c>
      <c r="D54" s="30">
        <v>150124880</v>
      </c>
      <c r="E54" s="30">
        <v>18086170</v>
      </c>
      <c r="F54" s="30">
        <v>55153135</v>
      </c>
      <c r="G54" s="30">
        <v>20064284</v>
      </c>
      <c r="H54" s="169" t="s">
        <v>133</v>
      </c>
      <c r="K54" s="6"/>
      <c r="L54" s="6"/>
      <c r="M54" s="6"/>
      <c r="N54" s="6"/>
      <c r="O54" s="6"/>
      <c r="P54" s="6"/>
      <c r="Q54" s="6"/>
      <c r="R54" s="6"/>
    </row>
    <row r="55" spans="2:18">
      <c r="B55" s="28" t="s">
        <v>13</v>
      </c>
      <c r="C55" s="29">
        <v>43713</v>
      </c>
      <c r="D55" s="30">
        <v>145754763</v>
      </c>
      <c r="E55" s="30">
        <v>17294680</v>
      </c>
      <c r="F55" s="30">
        <v>52388718</v>
      </c>
      <c r="G55" s="30">
        <v>20040817</v>
      </c>
      <c r="H55" s="169" t="s">
        <v>134</v>
      </c>
      <c r="K55" s="6"/>
      <c r="L55" s="6"/>
      <c r="M55" s="6"/>
      <c r="N55" s="6"/>
      <c r="O55" s="6"/>
      <c r="P55" s="6"/>
      <c r="Q55" s="6"/>
      <c r="R55" s="6"/>
    </row>
    <row r="56" spans="2:18">
      <c r="B56" s="28" t="s">
        <v>14</v>
      </c>
      <c r="C56" s="29">
        <v>43714</v>
      </c>
      <c r="D56" s="30">
        <v>129265424</v>
      </c>
      <c r="E56" s="30">
        <v>21340620</v>
      </c>
      <c r="F56" s="30">
        <v>44518103</v>
      </c>
      <c r="G56" s="30">
        <v>16985671</v>
      </c>
      <c r="H56" s="169" t="s">
        <v>135</v>
      </c>
      <c r="K56" s="6"/>
      <c r="L56" s="6"/>
      <c r="M56" s="6"/>
      <c r="N56" s="6"/>
      <c r="O56" s="6"/>
      <c r="P56" s="6"/>
      <c r="Q56" s="6"/>
      <c r="R56" s="6"/>
    </row>
    <row r="57" spans="2:18">
      <c r="B57" s="28" t="s">
        <v>8</v>
      </c>
      <c r="C57" s="29">
        <v>43715</v>
      </c>
      <c r="D57" s="30">
        <v>84576575</v>
      </c>
      <c r="E57" s="30">
        <v>16562900</v>
      </c>
      <c r="F57" s="30">
        <v>44413910</v>
      </c>
      <c r="G57" s="30">
        <v>17431204</v>
      </c>
      <c r="H57" s="169" t="s">
        <v>136</v>
      </c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>
      <c r="B58" s="28" t="s">
        <v>9</v>
      </c>
      <c r="C58" s="29">
        <v>43716</v>
      </c>
      <c r="D58" s="30">
        <v>85746970</v>
      </c>
      <c r="E58" s="30">
        <v>15944350</v>
      </c>
      <c r="F58" s="30">
        <v>50284938</v>
      </c>
      <c r="G58" s="30">
        <v>18140370</v>
      </c>
      <c r="H58" s="169" t="s">
        <v>137</v>
      </c>
      <c r="K58" s="6"/>
      <c r="L58" s="6"/>
      <c r="M58" s="6"/>
      <c r="N58" s="6"/>
      <c r="O58" s="6"/>
      <c r="P58" s="6"/>
      <c r="Q58" s="6"/>
      <c r="R58" s="6"/>
    </row>
    <row r="59" spans="2:18">
      <c r="B59" s="28" t="s">
        <v>10</v>
      </c>
      <c r="C59" s="29">
        <v>43717</v>
      </c>
      <c r="D59" s="30">
        <v>143994013</v>
      </c>
      <c r="E59" s="30">
        <v>23557730</v>
      </c>
      <c r="F59" s="30">
        <v>41334989</v>
      </c>
      <c r="G59" s="30">
        <v>16644746</v>
      </c>
      <c r="H59" s="169" t="s">
        <v>138</v>
      </c>
      <c r="K59" s="6"/>
      <c r="L59" s="6"/>
      <c r="M59" s="6"/>
      <c r="N59" s="6"/>
      <c r="O59" s="6"/>
      <c r="P59" s="6"/>
      <c r="Q59" s="6"/>
      <c r="R59" s="6"/>
    </row>
    <row r="60" spans="2:18">
      <c r="B60" s="28" t="s">
        <v>11</v>
      </c>
      <c r="C60" s="29">
        <v>43718</v>
      </c>
      <c r="D60" s="30">
        <v>129447940</v>
      </c>
      <c r="E60" s="30">
        <v>23111010</v>
      </c>
      <c r="F60" s="30">
        <v>34578116</v>
      </c>
      <c r="G60" s="30">
        <v>15236675</v>
      </c>
      <c r="H60" s="169" t="s">
        <v>139</v>
      </c>
      <c r="K60" s="6"/>
      <c r="L60" s="6"/>
      <c r="M60" s="6"/>
      <c r="N60" s="6"/>
      <c r="O60" s="6"/>
      <c r="P60" s="6"/>
      <c r="Q60" s="6"/>
      <c r="R60" s="6"/>
    </row>
    <row r="61" spans="2:18">
      <c r="B61" s="28" t="s">
        <v>12</v>
      </c>
      <c r="C61" s="29">
        <v>43719</v>
      </c>
      <c r="D61" s="30">
        <v>102693338</v>
      </c>
      <c r="E61" s="30">
        <v>19659200</v>
      </c>
      <c r="F61" s="30">
        <v>29240001</v>
      </c>
      <c r="G61" s="30">
        <v>19318874</v>
      </c>
      <c r="H61" s="169" t="s">
        <v>140</v>
      </c>
    </row>
    <row r="62" spans="2:18">
      <c r="B62" s="32" t="s">
        <v>82</v>
      </c>
      <c r="C62" s="26">
        <v>43720</v>
      </c>
      <c r="D62" s="27">
        <v>60717000</v>
      </c>
      <c r="E62" s="27">
        <v>10187760</v>
      </c>
      <c r="F62" s="27">
        <v>26773701</v>
      </c>
      <c r="G62" s="27">
        <v>12144194</v>
      </c>
      <c r="H62" s="169" t="s">
        <v>141</v>
      </c>
      <c r="K62" s="6"/>
      <c r="L62" s="6"/>
      <c r="M62" s="6"/>
      <c r="N62" s="6"/>
      <c r="O62" s="6"/>
      <c r="P62" s="6"/>
      <c r="Q62" s="6"/>
      <c r="R62" s="6"/>
    </row>
    <row r="63" spans="2:18">
      <c r="B63" s="32" t="s">
        <v>83</v>
      </c>
      <c r="C63" s="26">
        <v>43721</v>
      </c>
      <c r="D63" s="27">
        <v>57616318</v>
      </c>
      <c r="E63" s="27">
        <v>10061350</v>
      </c>
      <c r="F63" s="27">
        <v>27526970</v>
      </c>
      <c r="G63" s="27">
        <v>12517506</v>
      </c>
      <c r="H63" s="169" t="s">
        <v>142</v>
      </c>
      <c r="K63" s="6"/>
      <c r="L63" s="6"/>
      <c r="M63" s="6"/>
      <c r="N63" s="6"/>
      <c r="O63" s="6"/>
      <c r="P63" s="6"/>
      <c r="Q63" s="6"/>
      <c r="R63" s="6"/>
    </row>
    <row r="64" spans="2:18">
      <c r="B64" s="32" t="s">
        <v>84</v>
      </c>
      <c r="C64" s="26">
        <v>43722</v>
      </c>
      <c r="D64" s="27">
        <v>69459682</v>
      </c>
      <c r="E64" s="27">
        <v>12242110</v>
      </c>
      <c r="F64" s="27">
        <v>33511528</v>
      </c>
      <c r="G64" s="27">
        <v>14863488</v>
      </c>
      <c r="H64" s="169" t="s">
        <v>143</v>
      </c>
      <c r="K64" s="6"/>
      <c r="L64" s="6"/>
      <c r="M64" s="6"/>
      <c r="N64" s="6"/>
      <c r="O64" s="6"/>
      <c r="P64" s="6"/>
      <c r="Q64" s="6"/>
      <c r="R64" s="6"/>
    </row>
    <row r="65" spans="2:18">
      <c r="B65" s="32" t="s">
        <v>85</v>
      </c>
      <c r="C65" s="26">
        <v>43723</v>
      </c>
      <c r="D65" s="27">
        <v>81083313</v>
      </c>
      <c r="E65" s="27">
        <v>13494020</v>
      </c>
      <c r="F65" s="27">
        <v>45031460</v>
      </c>
      <c r="G65" s="27">
        <v>18364419</v>
      </c>
      <c r="H65" s="169" t="s">
        <v>144</v>
      </c>
      <c r="K65" s="6"/>
      <c r="L65" s="6"/>
      <c r="M65" s="6"/>
      <c r="N65" s="6"/>
      <c r="O65" s="6"/>
      <c r="P65" s="6"/>
      <c r="Q65" s="6"/>
      <c r="R65" s="6"/>
    </row>
    <row r="66" spans="2:18">
      <c r="B66" s="28" t="s">
        <v>10</v>
      </c>
      <c r="C66" s="29">
        <v>43724</v>
      </c>
      <c r="D66" s="30">
        <v>175692066</v>
      </c>
      <c r="E66" s="30">
        <v>24896240</v>
      </c>
      <c r="F66" s="30">
        <v>55501463</v>
      </c>
      <c r="G66" s="30">
        <v>21278836</v>
      </c>
      <c r="H66" s="169" t="s">
        <v>145</v>
      </c>
    </row>
    <row r="67" spans="2:18">
      <c r="B67" s="28" t="s">
        <v>11</v>
      </c>
      <c r="C67" s="29">
        <v>43725</v>
      </c>
      <c r="D67" s="30">
        <v>162211588</v>
      </c>
      <c r="E67" s="30">
        <v>22440600</v>
      </c>
      <c r="F67" s="30">
        <v>64021438</v>
      </c>
      <c r="G67" s="30">
        <v>20508296</v>
      </c>
      <c r="H67" s="169" t="s">
        <v>146</v>
      </c>
      <c r="K67" s="6"/>
      <c r="L67" s="6"/>
      <c r="M67" s="6"/>
      <c r="N67" s="6"/>
      <c r="O67" s="6"/>
      <c r="P67" s="6"/>
      <c r="Q67" s="6"/>
      <c r="R67" s="6"/>
    </row>
    <row r="68" spans="2:18">
      <c r="B68" s="28" t="s">
        <v>12</v>
      </c>
      <c r="C68" s="29">
        <v>43726</v>
      </c>
      <c r="D68" s="30">
        <v>157673112</v>
      </c>
      <c r="E68" s="30">
        <v>20722200</v>
      </c>
      <c r="F68" s="30">
        <v>51000110</v>
      </c>
      <c r="G68" s="30">
        <v>19427744</v>
      </c>
      <c r="H68" s="169" t="s">
        <v>147</v>
      </c>
      <c r="K68" s="6"/>
      <c r="L68" s="6"/>
      <c r="M68" s="6"/>
      <c r="N68" s="6"/>
      <c r="O68" s="6"/>
      <c r="P68" s="6"/>
      <c r="Q68" s="6"/>
      <c r="R68" s="6"/>
    </row>
    <row r="69" spans="2:18">
      <c r="B69" s="28" t="s">
        <v>13</v>
      </c>
      <c r="C69" s="29">
        <v>43727</v>
      </c>
      <c r="D69" s="30">
        <v>150788457</v>
      </c>
      <c r="E69" s="30">
        <v>21118110</v>
      </c>
      <c r="F69" s="30">
        <v>47186327</v>
      </c>
      <c r="G69" s="30">
        <v>18392325</v>
      </c>
      <c r="H69" s="169" t="s">
        <v>148</v>
      </c>
      <c r="K69" s="6"/>
      <c r="L69" s="6"/>
      <c r="M69" s="6"/>
      <c r="N69" s="6"/>
      <c r="O69" s="6"/>
      <c r="P69" s="6"/>
      <c r="Q69" s="6"/>
      <c r="R69" s="6"/>
    </row>
    <row r="70" spans="2:18">
      <c r="B70" s="28" t="s">
        <v>14</v>
      </c>
      <c r="C70" s="29">
        <v>43728</v>
      </c>
      <c r="D70" s="30">
        <v>141075733</v>
      </c>
      <c r="E70" s="30">
        <v>20557420</v>
      </c>
      <c r="F70" s="30">
        <v>44943093</v>
      </c>
      <c r="G70" s="30">
        <v>16729294</v>
      </c>
      <c r="H70" s="169" cm="1">
        <f t="array" ref="H70:K70">D66/O6:R6</f>
        <v>1.0912394114096873</v>
      </c>
      <c r="I70" s="169">
        <v>7.61819482255894</v>
      </c>
      <c r="J70" s="169">
        <v>3.2893634327673205</v>
      </c>
      <c r="K70" s="169">
        <v>9.3947422520021604</v>
      </c>
      <c r="L70" s="169"/>
      <c r="M70" s="6"/>
      <c r="N70" s="6"/>
      <c r="O70" s="6"/>
      <c r="P70" s="6"/>
      <c r="Q70" s="6"/>
      <c r="R70" s="6"/>
    </row>
    <row r="71" spans="2:18">
      <c r="B71" s="28" t="s">
        <v>8</v>
      </c>
      <c r="C71" s="29">
        <v>43729</v>
      </c>
      <c r="D71" s="30">
        <v>88619210</v>
      </c>
      <c r="E71" s="30">
        <v>13747270</v>
      </c>
      <c r="F71" s="30">
        <v>40619961</v>
      </c>
      <c r="G71" s="30">
        <v>17359039</v>
      </c>
      <c r="H71" s="203"/>
      <c r="I71" s="203"/>
      <c r="J71" s="203"/>
      <c r="K71" s="203"/>
      <c r="L71" s="6"/>
      <c r="M71" s="6"/>
      <c r="N71" s="6"/>
      <c r="O71" s="6"/>
      <c r="P71" s="6"/>
      <c r="Q71" s="6"/>
      <c r="R71" s="6"/>
    </row>
    <row r="72" spans="2:18">
      <c r="B72" s="28" t="s">
        <v>9</v>
      </c>
      <c r="C72" s="29">
        <v>43730</v>
      </c>
      <c r="D72" s="30">
        <v>88261143</v>
      </c>
      <c r="E72" s="30">
        <v>13511650</v>
      </c>
      <c r="F72" s="30">
        <v>47145294</v>
      </c>
      <c r="G72" s="30">
        <v>19782345</v>
      </c>
      <c r="H72" s="184"/>
      <c r="I72" s="184"/>
      <c r="J72" s="184"/>
      <c r="K72" s="184"/>
      <c r="L72" s="184"/>
      <c r="M72" s="6"/>
      <c r="N72" s="6"/>
      <c r="O72" s="6"/>
      <c r="P72" s="6"/>
      <c r="Q72" s="6"/>
      <c r="R72" s="6"/>
    </row>
    <row r="73" spans="2:18">
      <c r="B73" s="28" t="s">
        <v>10</v>
      </c>
      <c r="C73" s="29">
        <v>43731</v>
      </c>
      <c r="D73" s="30">
        <v>161051709</v>
      </c>
      <c r="E73" s="30">
        <v>22349830</v>
      </c>
      <c r="F73" s="30">
        <v>51147101</v>
      </c>
      <c r="G73" s="30">
        <v>18805256</v>
      </c>
      <c r="H73" s="169" t="s">
        <v>149</v>
      </c>
      <c r="K73" s="6"/>
      <c r="L73" s="6"/>
      <c r="M73" s="6"/>
      <c r="N73" s="6"/>
      <c r="O73" s="6"/>
      <c r="P73" s="6"/>
      <c r="Q73" s="6"/>
      <c r="R73" s="6"/>
    </row>
    <row r="74" spans="2:18">
      <c r="B74" s="28" t="s">
        <v>11</v>
      </c>
      <c r="C74" s="29">
        <v>43732</v>
      </c>
      <c r="D74" s="30">
        <v>158721040</v>
      </c>
      <c r="E74" s="30">
        <v>21178090</v>
      </c>
      <c r="F74" s="30">
        <v>49336508</v>
      </c>
      <c r="G74" s="30">
        <v>17875199</v>
      </c>
      <c r="H74" s="169" t="s">
        <v>150</v>
      </c>
      <c r="K74" s="6"/>
      <c r="L74" s="6"/>
      <c r="M74" s="6"/>
      <c r="N74" s="6"/>
      <c r="O74" s="6"/>
      <c r="P74" s="6"/>
      <c r="Q74" s="6"/>
      <c r="R74" s="6"/>
    </row>
    <row r="75" spans="2:18">
      <c r="B75" s="28" t="s">
        <v>12</v>
      </c>
      <c r="C75" s="29">
        <v>43733</v>
      </c>
      <c r="D75" s="30">
        <v>154622864</v>
      </c>
      <c r="E75" s="30">
        <v>20711470</v>
      </c>
      <c r="F75" s="30">
        <v>47185903</v>
      </c>
      <c r="G75" s="30">
        <v>18706093</v>
      </c>
      <c r="H75" s="169" t="s">
        <v>151</v>
      </c>
      <c r="K75" s="6"/>
      <c r="L75" s="6"/>
      <c r="M75" s="6"/>
      <c r="N75" s="6"/>
      <c r="O75" s="6"/>
      <c r="P75" s="6"/>
      <c r="Q75" s="6"/>
      <c r="R75" s="6"/>
    </row>
    <row r="76" spans="2:18">
      <c r="B76" s="28" t="s">
        <v>13</v>
      </c>
      <c r="C76" s="29">
        <v>43734</v>
      </c>
      <c r="D76" s="30">
        <v>149476021</v>
      </c>
      <c r="E76" s="30">
        <v>19113520</v>
      </c>
      <c r="F76" s="30">
        <v>45938201</v>
      </c>
      <c r="G76" s="30">
        <v>18589261</v>
      </c>
      <c r="H76" s="169" t="s">
        <v>152</v>
      </c>
    </row>
    <row r="77" spans="2:18">
      <c r="B77" s="28" t="s">
        <v>14</v>
      </c>
      <c r="C77" s="29">
        <v>43735</v>
      </c>
      <c r="D77" s="30">
        <v>139511814</v>
      </c>
      <c r="E77" s="30">
        <v>17334470</v>
      </c>
      <c r="F77" s="30">
        <v>41161735</v>
      </c>
      <c r="G77" s="30">
        <v>17044742</v>
      </c>
      <c r="H77" s="169" t="s">
        <v>153</v>
      </c>
    </row>
    <row r="78" spans="2:18">
      <c r="B78" s="28" t="s">
        <v>8</v>
      </c>
      <c r="C78" s="29">
        <v>43736</v>
      </c>
      <c r="D78" s="30">
        <v>89748279</v>
      </c>
      <c r="E78" s="30">
        <v>11130510</v>
      </c>
      <c r="F78" s="30">
        <v>38351288</v>
      </c>
      <c r="G78" s="30">
        <v>16173073</v>
      </c>
      <c r="H78" s="169" t="s">
        <v>154</v>
      </c>
    </row>
    <row r="79" spans="2:18">
      <c r="B79" s="28" t="s">
        <v>9</v>
      </c>
      <c r="C79" s="29">
        <v>43737</v>
      </c>
      <c r="D79" s="30">
        <v>89078152</v>
      </c>
      <c r="E79" s="30">
        <v>10699340</v>
      </c>
      <c r="F79" s="30">
        <v>45009638</v>
      </c>
      <c r="G79" s="30">
        <v>18653559</v>
      </c>
      <c r="H79" s="169" t="s">
        <v>155</v>
      </c>
    </row>
    <row r="80" spans="2:18">
      <c r="B80" s="28" t="s">
        <v>10</v>
      </c>
      <c r="C80" s="29">
        <v>43738</v>
      </c>
      <c r="D80" s="30">
        <v>158427788</v>
      </c>
      <c r="E80" s="30">
        <v>19567640</v>
      </c>
      <c r="F80" s="30">
        <v>49277705</v>
      </c>
      <c r="G80" s="30">
        <v>20527598</v>
      </c>
      <c r="H80" s="169" t="s">
        <v>156</v>
      </c>
    </row>
    <row r="81" spans="2:9">
      <c r="B81" s="418" t="s">
        <v>2</v>
      </c>
      <c r="C81" s="419"/>
      <c r="D81" s="45">
        <f>SUM(D51:D80)</f>
        <v>3697823832</v>
      </c>
      <c r="E81" s="45">
        <f t="shared" ref="E81:G81" si="10">SUM(E51:E80)</f>
        <v>544102490</v>
      </c>
      <c r="F81" s="45">
        <f t="shared" si="10"/>
        <v>1369305978</v>
      </c>
      <c r="G81" s="45">
        <f t="shared" si="10"/>
        <v>541437139</v>
      </c>
    </row>
    <row r="82" spans="2:9">
      <c r="B82"/>
      <c r="C82"/>
      <c r="D82" s="246">
        <f>D81-D50</f>
        <v>-322797649</v>
      </c>
      <c r="E82" s="246">
        <f t="shared" ref="E82:G82" si="11">E81-E50</f>
        <v>-64400450</v>
      </c>
      <c r="F82" s="246">
        <f t="shared" si="11"/>
        <v>-80629142</v>
      </c>
      <c r="G82" s="246">
        <f t="shared" si="11"/>
        <v>-12207921</v>
      </c>
    </row>
    <row r="83" spans="2:9">
      <c r="B83"/>
      <c r="C83" s="170"/>
      <c r="D83" s="170"/>
      <c r="E83" s="170"/>
      <c r="F83" s="170"/>
      <c r="G83" s="170"/>
      <c r="H83" s="170"/>
      <c r="I83" s="170"/>
    </row>
    <row r="84" spans="2:9">
      <c r="B84"/>
      <c r="C84" s="170"/>
      <c r="D84" s="170"/>
      <c r="E84" s="170"/>
      <c r="F84" s="170"/>
      <c r="G84" s="170"/>
      <c r="H84" s="170"/>
      <c r="I84" s="170"/>
    </row>
    <row r="85" spans="2:9">
      <c r="B85"/>
      <c r="C85" s="170"/>
      <c r="D85" s="170"/>
      <c r="E85" s="170"/>
      <c r="F85" s="170"/>
      <c r="G85" s="170"/>
      <c r="H85" s="170"/>
      <c r="I85" s="170"/>
    </row>
    <row r="86" spans="2:9">
      <c r="B86"/>
      <c r="C86" s="170"/>
      <c r="D86" s="170"/>
      <c r="E86" s="170"/>
      <c r="F86" s="170"/>
      <c r="G86" s="170"/>
      <c r="H86" s="170"/>
      <c r="I86" s="170"/>
    </row>
    <row r="87" spans="2:9">
      <c r="B87"/>
      <c r="C87" s="170"/>
      <c r="D87" s="170"/>
      <c r="E87" s="170"/>
      <c r="F87" s="170"/>
      <c r="G87" s="170"/>
      <c r="H87" s="170"/>
      <c r="I87" s="170"/>
    </row>
    <row r="88" spans="2:9">
      <c r="B88"/>
      <c r="C88" s="170"/>
      <c r="D88" s="170"/>
      <c r="E88" s="170"/>
      <c r="F88" s="170"/>
      <c r="G88" s="170"/>
      <c r="H88" s="170"/>
      <c r="I88" s="170"/>
    </row>
    <row r="89" spans="2:9">
      <c r="B89"/>
      <c r="C89" s="170"/>
      <c r="D89" s="170"/>
      <c r="E89" s="170"/>
      <c r="F89" s="170"/>
      <c r="G89" s="170"/>
      <c r="H89" s="170"/>
      <c r="I89" s="170"/>
    </row>
    <row r="90" spans="2:9">
      <c r="B90"/>
      <c r="C90" s="170"/>
      <c r="D90" s="170"/>
      <c r="E90" s="170"/>
      <c r="F90" s="170"/>
      <c r="G90" s="170"/>
      <c r="H90" s="170"/>
      <c r="I90" s="170"/>
    </row>
    <row r="91" spans="2:9">
      <c r="B91"/>
      <c r="C91" s="170"/>
      <c r="D91" s="170"/>
      <c r="E91" s="170"/>
      <c r="F91" s="170"/>
      <c r="G91" s="170"/>
      <c r="H91" s="170"/>
      <c r="I91" s="170"/>
    </row>
    <row r="92" spans="2:9">
      <c r="C92" s="170"/>
      <c r="D92" s="170"/>
      <c r="E92" s="170"/>
      <c r="F92" s="170"/>
      <c r="G92" s="170"/>
      <c r="H92" s="170"/>
      <c r="I92" s="170"/>
    </row>
    <row r="93" spans="2:9">
      <c r="C93" s="170"/>
      <c r="D93" s="170"/>
      <c r="E93" s="170"/>
      <c r="F93" s="170"/>
      <c r="G93" s="170"/>
      <c r="H93" s="170"/>
      <c r="I93" s="170"/>
    </row>
    <row r="94" spans="2:9">
      <c r="C94" s="170"/>
      <c r="D94" s="170"/>
      <c r="E94" s="170"/>
      <c r="F94" s="170"/>
      <c r="G94" s="170"/>
      <c r="H94" s="170"/>
      <c r="I94" s="170"/>
    </row>
    <row r="95" spans="2:9">
      <c r="C95" s="170"/>
      <c r="D95" s="170"/>
      <c r="E95" s="170"/>
      <c r="F95" s="170"/>
      <c r="G95" s="170"/>
      <c r="H95" s="170"/>
      <c r="I95" s="170"/>
    </row>
    <row r="96" spans="2:9">
      <c r="C96" s="170"/>
      <c r="D96" s="170"/>
      <c r="E96" s="170"/>
      <c r="F96" s="170"/>
      <c r="G96" s="170"/>
      <c r="H96" s="170"/>
      <c r="I96" s="170"/>
    </row>
    <row r="97" spans="3:9">
      <c r="C97" s="170"/>
      <c r="D97" s="170"/>
      <c r="E97" s="170"/>
      <c r="F97" s="170"/>
      <c r="G97" s="170"/>
      <c r="H97" s="170"/>
      <c r="I97" s="170"/>
    </row>
    <row r="98" spans="3:9">
      <c r="C98" s="170"/>
      <c r="D98" s="170"/>
      <c r="E98" s="170"/>
      <c r="F98" s="170"/>
      <c r="G98" s="170"/>
      <c r="H98" s="170"/>
      <c r="I98" s="170"/>
    </row>
    <row r="99" spans="3:9">
      <c r="C99" s="170"/>
      <c r="D99" s="170"/>
      <c r="E99" s="170"/>
      <c r="F99" s="170"/>
      <c r="G99" s="170"/>
      <c r="H99" s="170"/>
      <c r="I99" s="170"/>
    </row>
    <row r="100" spans="3:9">
      <c r="C100" s="170"/>
      <c r="D100" s="170"/>
      <c r="E100" s="170"/>
      <c r="F100" s="170"/>
      <c r="G100" s="170"/>
      <c r="H100" s="170"/>
      <c r="I100" s="170"/>
    </row>
    <row r="101" spans="3:9">
      <c r="C101" s="170"/>
      <c r="D101" s="170"/>
      <c r="E101" s="170"/>
      <c r="F101" s="170"/>
      <c r="G101" s="170"/>
      <c r="H101" s="170"/>
      <c r="I101" s="170"/>
    </row>
    <row r="102" spans="3:9">
      <c r="C102" s="170"/>
      <c r="D102" s="170"/>
      <c r="E102" s="170"/>
      <c r="F102" s="170"/>
      <c r="G102" s="170"/>
      <c r="H102" s="170"/>
      <c r="I102" s="170"/>
    </row>
    <row r="103" spans="3:9">
      <c r="C103" s="170"/>
      <c r="D103" s="170"/>
      <c r="E103" s="170"/>
      <c r="F103" s="170"/>
      <c r="G103" s="170"/>
      <c r="H103" s="170"/>
      <c r="I103" s="170"/>
    </row>
    <row r="104" spans="3:9">
      <c r="C104" s="170"/>
      <c r="D104" s="170"/>
      <c r="E104" s="170"/>
      <c r="F104" s="170"/>
      <c r="G104" s="170"/>
      <c r="H104" s="170"/>
      <c r="I104" s="170"/>
    </row>
    <row r="105" spans="3:9">
      <c r="C105" s="170"/>
      <c r="D105" s="170"/>
      <c r="E105" s="170"/>
      <c r="F105" s="170"/>
      <c r="G105" s="170"/>
      <c r="H105" s="170"/>
      <c r="I105" s="170"/>
    </row>
    <row r="106" spans="3:9">
      <c r="C106" s="170"/>
      <c r="D106" s="170"/>
      <c r="E106" s="170"/>
      <c r="F106" s="170"/>
      <c r="G106" s="170"/>
      <c r="H106" s="170"/>
      <c r="I106" s="170"/>
    </row>
    <row r="107" spans="3:9">
      <c r="C107" s="170"/>
      <c r="D107" s="170"/>
      <c r="E107" s="170"/>
      <c r="F107" s="170"/>
      <c r="G107" s="170"/>
      <c r="H107" s="170"/>
      <c r="I107" s="170"/>
    </row>
    <row r="108" spans="3:9">
      <c r="C108" s="170"/>
      <c r="D108" s="170"/>
      <c r="E108" s="170"/>
      <c r="F108" s="170"/>
      <c r="G108" s="170"/>
      <c r="H108" s="170"/>
      <c r="I108" s="170"/>
    </row>
    <row r="109" spans="3:9">
      <c r="C109" s="170"/>
      <c r="D109" s="170"/>
      <c r="E109" s="170"/>
      <c r="F109" s="170"/>
      <c r="G109" s="170"/>
      <c r="H109" s="170"/>
      <c r="I109" s="170"/>
    </row>
    <row r="110" spans="3:9">
      <c r="C110" s="170"/>
      <c r="D110" s="170"/>
      <c r="E110" s="170"/>
      <c r="F110" s="170"/>
      <c r="G110" s="170"/>
      <c r="H110" s="170"/>
      <c r="I110" s="170"/>
    </row>
    <row r="111" spans="3:9">
      <c r="C111" s="170"/>
      <c r="D111" s="170"/>
      <c r="E111" s="170"/>
      <c r="F111" s="170"/>
      <c r="G111" s="170"/>
      <c r="H111" s="170"/>
      <c r="I111" s="170"/>
    </row>
    <row r="112" spans="3:9">
      <c r="C112" s="169"/>
    </row>
    <row r="113" spans="3:3">
      <c r="C113" s="169"/>
    </row>
  </sheetData>
  <mergeCells count="7">
    <mergeCell ref="B81:C81"/>
    <mergeCell ref="S4:V4"/>
    <mergeCell ref="B50:C50"/>
    <mergeCell ref="C4:F4"/>
    <mergeCell ref="G4:J4"/>
    <mergeCell ref="K4:N4"/>
    <mergeCell ref="O4:R4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V91"/>
  <sheetViews>
    <sheetView showGridLines="0" zoomScaleNormal="100" workbookViewId="0"/>
  </sheetViews>
  <sheetFormatPr defaultColWidth="8.85546875" defaultRowHeight="13.5"/>
  <cols>
    <col min="1" max="1" width="2.7109375" customWidth="1"/>
    <col min="2" max="2" width="7.28515625" style="3" customWidth="1"/>
    <col min="3" max="3" width="14.7109375" style="3" bestFit="1" customWidth="1"/>
    <col min="4" max="4" width="15" bestFit="1" customWidth="1"/>
    <col min="5" max="5" width="14.7109375" bestFit="1" customWidth="1"/>
    <col min="6" max="6" width="15" bestFit="1" customWidth="1"/>
    <col min="7" max="7" width="14.7109375" bestFit="1" customWidth="1"/>
    <col min="8" max="8" width="13.42578125" bestFit="1" customWidth="1"/>
    <col min="9" max="9" width="14.7109375" bestFit="1" customWidth="1"/>
    <col min="10" max="10" width="13.42578125" bestFit="1" customWidth="1"/>
    <col min="11" max="14" width="7" customWidth="1"/>
    <col min="15" max="15" width="14.7109375" bestFit="1" customWidth="1"/>
    <col min="16" max="16" width="13.42578125" bestFit="1" customWidth="1"/>
    <col min="17" max="17" width="14.7109375" bestFit="1" customWidth="1"/>
    <col min="18" max="18" width="13.42578125" bestFit="1" customWidth="1"/>
    <col min="19" max="22" width="7" customWidth="1"/>
  </cols>
  <sheetData>
    <row r="2" spans="2:22" ht="17.25">
      <c r="B2" s="51" t="s">
        <v>39</v>
      </c>
    </row>
    <row r="3" spans="2:22" ht="18.75" customHeight="1">
      <c r="B3" s="4" t="s">
        <v>46</v>
      </c>
    </row>
    <row r="4" spans="2:22">
      <c r="B4" s="17" t="s">
        <v>20</v>
      </c>
      <c r="C4" s="421" t="s">
        <v>42</v>
      </c>
      <c r="D4" s="421"/>
      <c r="E4" s="421"/>
      <c r="F4" s="421"/>
      <c r="G4" s="422" t="s">
        <v>32</v>
      </c>
      <c r="H4" s="422"/>
      <c r="I4" s="422"/>
      <c r="J4" s="422"/>
      <c r="K4" s="423" t="s">
        <v>33</v>
      </c>
      <c r="L4" s="423"/>
      <c r="M4" s="423"/>
      <c r="N4" s="423"/>
      <c r="O4" s="424" t="s">
        <v>41</v>
      </c>
      <c r="P4" s="424"/>
      <c r="Q4" s="424"/>
      <c r="R4" s="424"/>
      <c r="S4" s="420" t="s">
        <v>45</v>
      </c>
      <c r="T4" s="420"/>
      <c r="U4" s="420"/>
      <c r="V4" s="420"/>
    </row>
    <row r="5" spans="2:22">
      <c r="B5" s="10" t="s">
        <v>21</v>
      </c>
      <c r="C5" s="9" t="s">
        <v>22</v>
      </c>
      <c r="D5" s="10" t="s">
        <v>23</v>
      </c>
      <c r="E5" s="10" t="s">
        <v>24</v>
      </c>
      <c r="F5" s="10" t="s">
        <v>7</v>
      </c>
      <c r="G5" s="41" t="s">
        <v>22</v>
      </c>
      <c r="H5" s="42" t="s">
        <v>23</v>
      </c>
      <c r="I5" s="42" t="s">
        <v>24</v>
      </c>
      <c r="J5" s="42" t="s">
        <v>7</v>
      </c>
      <c r="K5" s="41" t="s">
        <v>22</v>
      </c>
      <c r="L5" s="42" t="s">
        <v>23</v>
      </c>
      <c r="M5" s="42" t="s">
        <v>24</v>
      </c>
      <c r="N5" s="42" t="s">
        <v>7</v>
      </c>
      <c r="O5" s="8" t="s">
        <v>22</v>
      </c>
      <c r="P5" s="7" t="s">
        <v>23</v>
      </c>
      <c r="Q5" s="7" t="s">
        <v>24</v>
      </c>
      <c r="R5" s="7" t="s">
        <v>7</v>
      </c>
      <c r="S5" s="8" t="s">
        <v>22</v>
      </c>
      <c r="T5" s="7" t="s">
        <v>23</v>
      </c>
      <c r="U5" s="7" t="s">
        <v>24</v>
      </c>
      <c r="V5" s="7" t="s">
        <v>7</v>
      </c>
    </row>
    <row r="6" spans="2:22">
      <c r="B6" s="43" t="s">
        <v>25</v>
      </c>
      <c r="C6" s="13">
        <v>64133832</v>
      </c>
      <c r="D6" s="13">
        <v>7741020</v>
      </c>
      <c r="E6" s="13">
        <v>28399537</v>
      </c>
      <c r="F6" s="13">
        <v>10977156</v>
      </c>
      <c r="G6" s="20">
        <v>172209238</v>
      </c>
      <c r="H6" s="20">
        <v>19979540</v>
      </c>
      <c r="I6" s="20">
        <v>52786085</v>
      </c>
      <c r="J6" s="20">
        <v>17799577</v>
      </c>
      <c r="K6" s="34">
        <f t="shared" ref="K6:N8" si="0">C6/G6</f>
        <v>0.37241806969728303</v>
      </c>
      <c r="L6" s="34">
        <f t="shared" si="0"/>
        <v>0.38744735864789681</v>
      </c>
      <c r="M6" s="34">
        <f t="shared" si="0"/>
        <v>0.5380118074678204</v>
      </c>
      <c r="N6" s="34">
        <f t="shared" si="0"/>
        <v>0.61670881279931544</v>
      </c>
      <c r="O6" s="11">
        <f>AVERAGEIF($B$19:$B$49,"월",D$19:D$49)</f>
        <v>176370773.75</v>
      </c>
      <c r="P6" s="11">
        <f>AVERAGEIF($B$19:$B$49,"월",E$19:E$49)</f>
        <v>20976867.5</v>
      </c>
      <c r="Q6" s="11">
        <f>AVERAGEIF($B$19:$B$49,"월",F$19:F$49)</f>
        <v>52030982.5</v>
      </c>
      <c r="R6" s="11">
        <f>AVERAGEIF($B$19:$B$49,"월",G$19:G$49)</f>
        <v>17658030</v>
      </c>
      <c r="S6" s="34">
        <f t="shared" ref="S6:V8" si="1">C6/O6</f>
        <v>0.36363072314298334</v>
      </c>
      <c r="T6" s="34">
        <f t="shared" si="1"/>
        <v>0.36902650026272987</v>
      </c>
      <c r="U6" s="34">
        <f t="shared" si="1"/>
        <v>0.54581973346361468</v>
      </c>
      <c r="V6" s="34">
        <f t="shared" si="1"/>
        <v>0.62165235872857849</v>
      </c>
    </row>
    <row r="7" spans="2:22">
      <c r="B7" s="43" t="s">
        <v>26</v>
      </c>
      <c r="C7" s="13">
        <v>64267336</v>
      </c>
      <c r="D7" s="13">
        <v>7893650</v>
      </c>
      <c r="E7" s="13">
        <v>28869718</v>
      </c>
      <c r="F7" s="13">
        <v>11674598</v>
      </c>
      <c r="G7" s="20">
        <v>162182845</v>
      </c>
      <c r="H7" s="20">
        <v>18949910</v>
      </c>
      <c r="I7" s="20">
        <v>48470013</v>
      </c>
      <c r="J7" s="20">
        <v>15328249</v>
      </c>
      <c r="K7" s="34">
        <f t="shared" si="0"/>
        <v>0.3962646974160553</v>
      </c>
      <c r="L7" s="34">
        <f t="shared" si="0"/>
        <v>0.41655342954135405</v>
      </c>
      <c r="M7" s="34">
        <f t="shared" si="0"/>
        <v>0.59562018273029971</v>
      </c>
      <c r="N7" s="34">
        <f t="shared" si="0"/>
        <v>0.76163937576953511</v>
      </c>
      <c r="O7" s="11">
        <f>AVERAGEIF($B$19:$B$49,"화",D$19:D$49)</f>
        <v>169314412.75</v>
      </c>
      <c r="P7" s="11">
        <f>AVERAGEIF($B$19:$B$49,"화",E$19:E$49)</f>
        <v>20685417.5</v>
      </c>
      <c r="Q7" s="11">
        <f>AVERAGEIF($B$19:$B$49,"화",F$19:F$49)</f>
        <v>49175449.5</v>
      </c>
      <c r="R7" s="11">
        <f>AVERAGEIF($B$19:$B$49,"화",G$19:G$49)</f>
        <v>16447937</v>
      </c>
      <c r="S7" s="34">
        <f t="shared" si="1"/>
        <v>0.37957392377985849</v>
      </c>
      <c r="T7" s="34">
        <f t="shared" si="1"/>
        <v>0.38160457723417956</v>
      </c>
      <c r="U7" s="34">
        <f t="shared" si="1"/>
        <v>0.58707583344001768</v>
      </c>
      <c r="V7" s="34">
        <f t="shared" si="1"/>
        <v>0.70979102120831328</v>
      </c>
    </row>
    <row r="8" spans="2:22">
      <c r="B8" s="43" t="s">
        <v>27</v>
      </c>
      <c r="C8" s="13">
        <v>86612042</v>
      </c>
      <c r="D8" s="13">
        <v>9531930</v>
      </c>
      <c r="E8" s="13">
        <v>43657907</v>
      </c>
      <c r="F8" s="13">
        <v>15892705</v>
      </c>
      <c r="G8" s="20">
        <v>152242072</v>
      </c>
      <c r="H8" s="20">
        <v>17952180</v>
      </c>
      <c r="I8" s="20">
        <v>45511244</v>
      </c>
      <c r="J8" s="20">
        <v>13642796</v>
      </c>
      <c r="K8" s="34">
        <f t="shared" si="0"/>
        <v>0.568910031650121</v>
      </c>
      <c r="L8" s="34">
        <f t="shared" si="0"/>
        <v>0.53096225639448802</v>
      </c>
      <c r="M8" s="34">
        <f t="shared" si="0"/>
        <v>0.95927738209045654</v>
      </c>
      <c r="N8" s="34">
        <f t="shared" si="0"/>
        <v>1.1649155349094129</v>
      </c>
      <c r="O8" s="11">
        <f>AVERAGEIF($B$19:$B$49,"수",D$19:D$49)</f>
        <v>164189899.59999999</v>
      </c>
      <c r="P8" s="11">
        <f>AVERAGEIF($B$19:$B$49,"수",E$19:E$49)</f>
        <v>20461710</v>
      </c>
      <c r="Q8" s="11">
        <f>AVERAGEIF($B$19:$B$49,"수",F$19:F$49)</f>
        <v>49253325.799999997</v>
      </c>
      <c r="R8" s="11">
        <f>AVERAGEIF($B$19:$B$49,"수",G$19:G$49)</f>
        <v>16345562.4</v>
      </c>
      <c r="S8" s="34">
        <f t="shared" si="1"/>
        <v>0.52751138901360295</v>
      </c>
      <c r="T8" s="34">
        <f t="shared" si="1"/>
        <v>0.46584229763788071</v>
      </c>
      <c r="U8" s="34">
        <f t="shared" si="1"/>
        <v>0.88639510715030745</v>
      </c>
      <c r="V8" s="34">
        <f t="shared" si="1"/>
        <v>0.97229478014167314</v>
      </c>
    </row>
    <row r="9" spans="2:22" hidden="1">
      <c r="B9" s="43" t="s">
        <v>28</v>
      </c>
      <c r="C9" s="13"/>
      <c r="D9" s="13"/>
      <c r="E9" s="13"/>
      <c r="F9" s="13"/>
      <c r="G9" s="38">
        <v>136665576</v>
      </c>
      <c r="H9" s="38">
        <v>16601680</v>
      </c>
      <c r="I9" s="38">
        <v>38959248</v>
      </c>
      <c r="J9" s="38">
        <v>12215123</v>
      </c>
      <c r="K9" s="34"/>
      <c r="L9" s="34"/>
      <c r="M9" s="34"/>
      <c r="N9" s="34"/>
      <c r="O9" s="40">
        <f>AVERAGEIF($B$19:$B$49,"목",D$19:D$49)</f>
        <v>160265224.19999999</v>
      </c>
      <c r="P9" s="40">
        <f>AVERAGEIF($B$19:$B$49,"목",E$19:E$49)</f>
        <v>19731984</v>
      </c>
      <c r="Q9" s="40">
        <f>AVERAGEIF($B$19:$B$49,"목",F$19:F$49)</f>
        <v>45260109.600000001</v>
      </c>
      <c r="R9" s="40">
        <f>AVERAGEIF($B$19:$B$49,"목",G$19:G$49)</f>
        <v>15352887.6</v>
      </c>
      <c r="S9" s="34"/>
      <c r="T9" s="34"/>
      <c r="U9" s="34"/>
      <c r="V9" s="34"/>
    </row>
    <row r="10" spans="2:22" hidden="1">
      <c r="B10" s="43" t="s">
        <v>29</v>
      </c>
      <c r="C10" s="13"/>
      <c r="D10" s="13"/>
      <c r="E10" s="13"/>
      <c r="F10" s="13"/>
      <c r="G10" s="39">
        <v>107742454</v>
      </c>
      <c r="H10" s="39">
        <v>13708420</v>
      </c>
      <c r="I10" s="39">
        <v>32200694</v>
      </c>
      <c r="J10" s="39">
        <v>10788789</v>
      </c>
      <c r="K10" s="34"/>
      <c r="L10" s="34"/>
      <c r="M10" s="34"/>
      <c r="N10" s="34"/>
      <c r="O10" s="40">
        <f>AVERAGEIF($B$19:$B$49,"금",D$19:D$49)</f>
        <v>154419192.75</v>
      </c>
      <c r="P10" s="40">
        <f>AVERAGEIF($B$19:$B$49,"금",E$19:E$49)</f>
        <v>19941377.5</v>
      </c>
      <c r="Q10" s="40">
        <f>AVERAGEIF($B$19:$B$49,"금",F$19:F$49)</f>
        <v>43166623</v>
      </c>
      <c r="R10" s="40">
        <f>AVERAGEIF($B$19:$B$49,"금",G$19:G$49)</f>
        <v>15632255.5</v>
      </c>
      <c r="S10" s="34"/>
      <c r="T10" s="34"/>
      <c r="U10" s="34"/>
      <c r="V10" s="34"/>
    </row>
    <row r="11" spans="2:22">
      <c r="B11" s="43" t="s">
        <v>30</v>
      </c>
      <c r="C11" s="13">
        <v>75158578</v>
      </c>
      <c r="D11" s="13">
        <v>8769610</v>
      </c>
      <c r="E11" s="13">
        <v>31111497</v>
      </c>
      <c r="F11" s="13">
        <v>10982361</v>
      </c>
      <c r="G11" s="20">
        <v>100677067</v>
      </c>
      <c r="H11" s="20">
        <v>10829510</v>
      </c>
      <c r="I11" s="20">
        <v>45642083</v>
      </c>
      <c r="J11" s="20">
        <v>15361970</v>
      </c>
      <c r="K11" s="34">
        <f t="shared" ref="K11:N13" si="2">C11/G11</f>
        <v>0.74653126317237672</v>
      </c>
      <c r="L11" s="34">
        <f t="shared" si="2"/>
        <v>0.8097882545008962</v>
      </c>
      <c r="M11" s="34">
        <f t="shared" si="2"/>
        <v>0.68164060347552502</v>
      </c>
      <c r="N11" s="34">
        <f t="shared" si="2"/>
        <v>0.71490577054895954</v>
      </c>
      <c r="O11" s="11">
        <f>AVERAGEIF($B$19:$B$49,"토",D$19:D$49)</f>
        <v>101459383</v>
      </c>
      <c r="P11" s="11">
        <f>AVERAGEIF($B$19:$B$49,"토",E$19:E$49)</f>
        <v>11674872.5</v>
      </c>
      <c r="Q11" s="11">
        <f>AVERAGEIF($B$19:$B$49,"토",F$19:F$49)</f>
        <v>44514770.75</v>
      </c>
      <c r="R11" s="11">
        <f>AVERAGEIF($B$19:$B$49,"토",G$19:G$49)</f>
        <v>14546504</v>
      </c>
      <c r="S11" s="34">
        <f t="shared" ref="S11:V13" si="3">C11/O11</f>
        <v>0.74077503506994513</v>
      </c>
      <c r="T11" s="34">
        <f t="shared" si="3"/>
        <v>0.75115252864645843</v>
      </c>
      <c r="U11" s="34">
        <f t="shared" si="3"/>
        <v>0.69890277936565581</v>
      </c>
      <c r="V11" s="34">
        <f t="shared" si="3"/>
        <v>0.75498284673760785</v>
      </c>
    </row>
    <row r="12" spans="2:22">
      <c r="B12" s="43" t="s">
        <v>31</v>
      </c>
      <c r="C12" s="13">
        <v>69099505</v>
      </c>
      <c r="D12" s="13">
        <v>8122160</v>
      </c>
      <c r="E12" s="13">
        <v>30991977</v>
      </c>
      <c r="F12" s="13">
        <v>12067655</v>
      </c>
      <c r="G12" s="20">
        <v>97740819</v>
      </c>
      <c r="H12" s="20">
        <v>9293980</v>
      </c>
      <c r="I12" s="20">
        <v>50639862</v>
      </c>
      <c r="J12" s="20">
        <v>17634194</v>
      </c>
      <c r="K12" s="34">
        <f t="shared" si="2"/>
        <v>0.70696670753290902</v>
      </c>
      <c r="L12" s="34">
        <f t="shared" si="2"/>
        <v>0.87391623394928764</v>
      </c>
      <c r="M12" s="34">
        <f t="shared" si="2"/>
        <v>0.61200753272194941</v>
      </c>
      <c r="N12" s="34">
        <f t="shared" si="2"/>
        <v>0.68433266640936352</v>
      </c>
      <c r="O12" s="11">
        <f>AVERAGEIF($B$19:$B$49,"일",D$19:D$49)</f>
        <v>99785901.25</v>
      </c>
      <c r="P12" s="11">
        <f>AVERAGEIF($B$19:$B$49,"일",E$19:E$49)</f>
        <v>10136977.5</v>
      </c>
      <c r="Q12" s="11">
        <f>AVERAGEIF($B$19:$B$49,"일",F$19:F$49)</f>
        <v>45933421.5</v>
      </c>
      <c r="R12" s="11">
        <f>AVERAGEIF($B$19:$B$49,"일",G$19:G$49)</f>
        <v>16714093.25</v>
      </c>
      <c r="S12" s="34">
        <f t="shared" si="3"/>
        <v>0.69247763596262557</v>
      </c>
      <c r="T12" s="34">
        <f t="shared" si="3"/>
        <v>0.80124080378002216</v>
      </c>
      <c r="U12" s="34">
        <f t="shared" si="3"/>
        <v>0.6747151853253518</v>
      </c>
      <c r="V12" s="34">
        <f t="shared" si="3"/>
        <v>0.72200476684548831</v>
      </c>
    </row>
    <row r="13" spans="2:22">
      <c r="B13" s="44" t="s">
        <v>44</v>
      </c>
      <c r="C13" s="33">
        <f t="shared" ref="C13:J13" si="4">SUM(C6:C8,C11:C12)</f>
        <v>359271293</v>
      </c>
      <c r="D13" s="33">
        <f t="shared" si="4"/>
        <v>42058370</v>
      </c>
      <c r="E13" s="33">
        <f t="shared" si="4"/>
        <v>163030636</v>
      </c>
      <c r="F13" s="33">
        <f t="shared" si="4"/>
        <v>61594475</v>
      </c>
      <c r="G13" s="35">
        <f t="shared" si="4"/>
        <v>685052041</v>
      </c>
      <c r="H13" s="35">
        <f t="shared" si="4"/>
        <v>77005120</v>
      </c>
      <c r="I13" s="35">
        <f t="shared" si="4"/>
        <v>243049287</v>
      </c>
      <c r="J13" s="35">
        <f t="shared" si="4"/>
        <v>79766786</v>
      </c>
      <c r="K13" s="36">
        <f t="shared" si="2"/>
        <v>0.52444379623416082</v>
      </c>
      <c r="L13" s="36">
        <f t="shared" si="2"/>
        <v>0.54617628022656151</v>
      </c>
      <c r="M13" s="36">
        <f t="shared" si="2"/>
        <v>0.67077191631506417</v>
      </c>
      <c r="N13" s="36">
        <f t="shared" si="2"/>
        <v>0.77218198311262032</v>
      </c>
      <c r="O13" s="35">
        <f>SUM(O6:O8,O11:O12)</f>
        <v>711120370.35000002</v>
      </c>
      <c r="P13" s="35">
        <f>SUM(P6:P8,P11:P12)</f>
        <v>83935845</v>
      </c>
      <c r="Q13" s="35">
        <f>SUM(Q6:Q8,Q11:Q12)</f>
        <v>240907950.05000001</v>
      </c>
      <c r="R13" s="35">
        <f>SUM(R6:R8,R11:R12)</f>
        <v>81712126.650000006</v>
      </c>
      <c r="S13" s="108">
        <f t="shared" si="3"/>
        <v>0.50521867742752669</v>
      </c>
      <c r="T13" s="108">
        <f t="shared" si="3"/>
        <v>0.50107757895330651</v>
      </c>
      <c r="U13" s="108">
        <f t="shared" si="3"/>
        <v>0.67673414665710818</v>
      </c>
      <c r="V13" s="108">
        <f t="shared" si="3"/>
        <v>0.75379845715960192</v>
      </c>
    </row>
    <row r="14" spans="2:22"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32"/>
      <c r="T14" s="132"/>
      <c r="U14" s="132"/>
      <c r="V14" s="132"/>
    </row>
    <row r="15" spans="2:22" ht="18.75" customHeight="1">
      <c r="B15" s="4" t="s">
        <v>37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32"/>
      <c r="T15" s="132"/>
      <c r="U15" s="132"/>
      <c r="V15" s="132"/>
    </row>
    <row r="16" spans="2:22" ht="18.75" customHeight="1">
      <c r="B16" s="4"/>
      <c r="C16" s="5" t="s">
        <v>73</v>
      </c>
      <c r="D16" s="110">
        <f>MAX(D19:D49)</f>
        <v>181408624</v>
      </c>
      <c r="E16" s="110">
        <f>MAX(E19:E49)</f>
        <v>23582120</v>
      </c>
      <c r="F16" s="110">
        <f>MAX(F19:F49)</f>
        <v>54686883</v>
      </c>
      <c r="G16" s="110">
        <f>MAX(G19:G49)</f>
        <v>18699869</v>
      </c>
      <c r="H16" s="6"/>
      <c r="K16" s="6"/>
      <c r="L16" s="6"/>
      <c r="M16" s="6"/>
      <c r="N16" s="6"/>
      <c r="O16" s="6"/>
      <c r="P16" s="6"/>
      <c r="Q16" s="6"/>
      <c r="R16" s="6"/>
      <c r="S16" s="132"/>
    </row>
    <row r="17" spans="2:21" ht="18.75" customHeight="1">
      <c r="B17" s="4"/>
      <c r="C17" s="5" t="s">
        <v>74</v>
      </c>
      <c r="D17" s="110">
        <f>MIN(D19:D49)</f>
        <v>95157322</v>
      </c>
      <c r="E17" s="110">
        <f>MIN(E19:E49)</f>
        <v>9198370</v>
      </c>
      <c r="F17" s="110">
        <f>MIN(F19:F49)</f>
        <v>38326112</v>
      </c>
      <c r="G17" s="110">
        <f>MIN(G19:G49)</f>
        <v>11411413</v>
      </c>
      <c r="H17" s="6"/>
      <c r="K17" s="6"/>
      <c r="L17" s="6"/>
      <c r="M17" s="6"/>
      <c r="N17" s="6"/>
      <c r="O17" s="6"/>
      <c r="P17" s="6"/>
      <c r="Q17" s="6"/>
      <c r="R17" s="185"/>
      <c r="S17" s="185"/>
      <c r="T17" s="185"/>
      <c r="U17" s="185"/>
    </row>
    <row r="18" spans="2:21">
      <c r="B18" s="17" t="s">
        <v>35</v>
      </c>
      <c r="C18" s="17" t="s">
        <v>34</v>
      </c>
      <c r="D18" s="18" t="s">
        <v>3</v>
      </c>
      <c r="E18" s="18" t="s">
        <v>5</v>
      </c>
      <c r="F18" s="18" t="s">
        <v>6</v>
      </c>
      <c r="G18" s="18" t="s">
        <v>7</v>
      </c>
      <c r="H18" s="6"/>
      <c r="K18" s="6"/>
      <c r="L18" s="6"/>
      <c r="M18" s="6"/>
      <c r="N18" s="6"/>
      <c r="O18" s="6"/>
      <c r="P18" s="6"/>
      <c r="Q18" s="6"/>
      <c r="R18" s="6"/>
      <c r="S18" s="132"/>
    </row>
    <row r="19" spans="2:21">
      <c r="B19" s="31" t="s">
        <v>43</v>
      </c>
      <c r="C19" s="14">
        <v>43466</v>
      </c>
      <c r="D19" s="12">
        <v>95157322</v>
      </c>
      <c r="E19" s="12">
        <v>10917750</v>
      </c>
      <c r="F19" s="12">
        <v>46688209</v>
      </c>
      <c r="G19" s="12">
        <v>17456880</v>
      </c>
      <c r="K19" s="6"/>
      <c r="L19" s="6"/>
      <c r="M19" s="6"/>
      <c r="N19" s="6"/>
      <c r="O19" s="6"/>
      <c r="P19" s="6"/>
      <c r="Q19" s="6"/>
      <c r="R19" s="6"/>
      <c r="S19" s="132"/>
    </row>
    <row r="20" spans="2:21">
      <c r="B20" s="15" t="s">
        <v>12</v>
      </c>
      <c r="C20" s="14">
        <v>43467</v>
      </c>
      <c r="D20" s="12">
        <v>166471354</v>
      </c>
      <c r="E20" s="12">
        <v>21090270</v>
      </c>
      <c r="F20" s="12">
        <v>52420735</v>
      </c>
      <c r="G20" s="12">
        <v>18699869</v>
      </c>
      <c r="K20" s="6"/>
      <c r="L20" s="6"/>
      <c r="M20" s="6"/>
      <c r="N20" s="6"/>
      <c r="O20" s="6"/>
      <c r="P20" s="6"/>
      <c r="Q20" s="6"/>
      <c r="R20" s="6"/>
    </row>
    <row r="21" spans="2:21">
      <c r="B21" s="15" t="s">
        <v>13</v>
      </c>
      <c r="C21" s="14">
        <v>43468</v>
      </c>
      <c r="D21" s="12">
        <v>168476255</v>
      </c>
      <c r="E21" s="12">
        <v>22424420</v>
      </c>
      <c r="F21" s="12">
        <v>49374758</v>
      </c>
      <c r="G21" s="12">
        <v>18277680</v>
      </c>
      <c r="K21" s="6"/>
      <c r="L21" s="6"/>
      <c r="M21" s="6"/>
      <c r="N21" s="6"/>
      <c r="O21" s="6"/>
      <c r="P21" s="6"/>
      <c r="Q21" s="6"/>
      <c r="R21" s="6"/>
    </row>
    <row r="22" spans="2:21">
      <c r="B22" s="15" t="s">
        <v>14</v>
      </c>
      <c r="C22" s="14">
        <v>43469</v>
      </c>
      <c r="D22" s="12">
        <v>158539825</v>
      </c>
      <c r="E22" s="12">
        <v>22123480</v>
      </c>
      <c r="F22" s="12">
        <v>43878591</v>
      </c>
      <c r="G22" s="12">
        <v>15477256</v>
      </c>
      <c r="K22" s="6"/>
      <c r="L22" s="6"/>
      <c r="M22" s="6"/>
      <c r="N22" s="6"/>
      <c r="O22" s="6"/>
      <c r="P22" s="6"/>
      <c r="Q22" s="6"/>
      <c r="R22" s="6"/>
    </row>
    <row r="23" spans="2:21">
      <c r="B23" s="15" t="s">
        <v>8</v>
      </c>
      <c r="C23" s="14">
        <v>43470</v>
      </c>
      <c r="D23" s="12">
        <v>103667896</v>
      </c>
      <c r="E23" s="12">
        <v>13222500</v>
      </c>
      <c r="F23" s="12">
        <v>45130368</v>
      </c>
      <c r="G23" s="12">
        <v>15557475</v>
      </c>
      <c r="K23" s="6"/>
      <c r="L23" s="6"/>
      <c r="M23" s="6"/>
      <c r="N23" s="6"/>
      <c r="O23" s="6"/>
      <c r="P23" s="6"/>
      <c r="Q23" s="6"/>
      <c r="R23" s="6"/>
    </row>
    <row r="24" spans="2:21">
      <c r="B24" s="15" t="s">
        <v>9</v>
      </c>
      <c r="C24" s="14">
        <v>43471</v>
      </c>
      <c r="D24" s="12">
        <v>104122725</v>
      </c>
      <c r="E24" s="12">
        <v>11453170</v>
      </c>
      <c r="F24" s="12">
        <v>40263090</v>
      </c>
      <c r="G24" s="12">
        <v>17278945</v>
      </c>
      <c r="K24" s="6"/>
      <c r="L24" s="6"/>
      <c r="M24" s="6"/>
      <c r="N24" s="6"/>
      <c r="O24" s="6"/>
      <c r="P24" s="6"/>
      <c r="Q24" s="6"/>
      <c r="R24" s="6"/>
    </row>
    <row r="25" spans="2:21">
      <c r="B25" s="15" t="s">
        <v>10</v>
      </c>
      <c r="C25" s="14">
        <v>43472</v>
      </c>
      <c r="D25" s="12">
        <v>181408624</v>
      </c>
      <c r="E25" s="12">
        <v>23582120</v>
      </c>
      <c r="F25" s="12">
        <v>50346532</v>
      </c>
      <c r="G25" s="12">
        <v>18448196</v>
      </c>
      <c r="I25" s="111"/>
      <c r="K25" s="6"/>
      <c r="L25" s="6"/>
      <c r="M25" s="6"/>
      <c r="N25" s="6"/>
      <c r="O25" s="6"/>
      <c r="P25" s="6"/>
      <c r="Q25" s="6"/>
      <c r="R25" s="6"/>
    </row>
    <row r="26" spans="2:21">
      <c r="B26" s="15" t="s">
        <v>11</v>
      </c>
      <c r="C26" s="14">
        <v>43473</v>
      </c>
      <c r="D26" s="12">
        <v>175290106</v>
      </c>
      <c r="E26" s="12">
        <v>23033150</v>
      </c>
      <c r="F26" s="12">
        <v>49792823</v>
      </c>
      <c r="G26" s="12">
        <v>17260174</v>
      </c>
      <c r="K26" s="6"/>
      <c r="L26" s="6"/>
      <c r="M26" s="6"/>
      <c r="N26" s="6"/>
      <c r="O26" s="6"/>
      <c r="P26" s="6"/>
      <c r="Q26" s="6"/>
      <c r="R26" s="6"/>
    </row>
    <row r="27" spans="2:21">
      <c r="B27" s="15" t="s">
        <v>12</v>
      </c>
      <c r="C27" s="14">
        <v>43474</v>
      </c>
      <c r="D27" s="12">
        <v>172103554</v>
      </c>
      <c r="E27" s="12">
        <v>22783480</v>
      </c>
      <c r="F27" s="12">
        <v>50861844</v>
      </c>
      <c r="G27" s="12">
        <v>16671891</v>
      </c>
      <c r="K27" s="6"/>
      <c r="L27" s="6"/>
      <c r="M27" s="6"/>
      <c r="N27" s="6"/>
      <c r="O27" s="6"/>
      <c r="P27" s="6"/>
      <c r="Q27" s="6"/>
      <c r="R27" s="6"/>
    </row>
    <row r="28" spans="2:21">
      <c r="B28" s="15" t="s">
        <v>13</v>
      </c>
      <c r="C28" s="14">
        <v>43475</v>
      </c>
      <c r="D28" s="12">
        <v>166906977</v>
      </c>
      <c r="E28" s="12">
        <v>21221280</v>
      </c>
      <c r="F28" s="12">
        <v>45844392</v>
      </c>
      <c r="G28" s="12">
        <v>15970943</v>
      </c>
      <c r="K28" s="6"/>
      <c r="L28" s="6"/>
      <c r="M28" s="6"/>
      <c r="N28" s="6"/>
      <c r="O28" s="6"/>
      <c r="P28" s="6"/>
      <c r="Q28" s="6"/>
      <c r="R28" s="6"/>
    </row>
    <row r="29" spans="2:21">
      <c r="B29" s="15" t="s">
        <v>14</v>
      </c>
      <c r="C29" s="14">
        <v>43476</v>
      </c>
      <c r="D29" s="12">
        <v>157016290</v>
      </c>
      <c r="E29" s="12">
        <v>20949200</v>
      </c>
      <c r="F29" s="12">
        <v>41499855</v>
      </c>
      <c r="G29" s="12">
        <v>17121173</v>
      </c>
      <c r="K29" s="6"/>
      <c r="L29" s="6"/>
      <c r="M29" s="6"/>
      <c r="N29" s="6"/>
      <c r="O29" s="6"/>
      <c r="P29" s="6"/>
      <c r="Q29" s="6"/>
      <c r="R29" s="6"/>
    </row>
    <row r="30" spans="2:21">
      <c r="B30" s="15" t="s">
        <v>8</v>
      </c>
      <c r="C30" s="14">
        <v>43477</v>
      </c>
      <c r="D30" s="12">
        <v>100955718</v>
      </c>
      <c r="E30" s="12">
        <v>12062480</v>
      </c>
      <c r="F30" s="12">
        <v>40473740</v>
      </c>
      <c r="G30" s="12">
        <v>13238803</v>
      </c>
      <c r="K30" s="6"/>
      <c r="L30" s="6"/>
      <c r="M30" s="6"/>
      <c r="N30" s="6"/>
      <c r="O30" s="6"/>
      <c r="P30" s="6"/>
      <c r="Q30" s="6"/>
      <c r="R30" s="6"/>
    </row>
    <row r="31" spans="2:21">
      <c r="B31" s="15" t="s">
        <v>9</v>
      </c>
      <c r="C31" s="14">
        <v>43478</v>
      </c>
      <c r="D31" s="12">
        <v>98358706</v>
      </c>
      <c r="E31" s="12">
        <v>10310020</v>
      </c>
      <c r="F31" s="12">
        <v>46219446</v>
      </c>
      <c r="G31" s="12">
        <v>15686396</v>
      </c>
      <c r="K31" s="6"/>
      <c r="L31" s="6"/>
      <c r="M31" s="6"/>
      <c r="N31" s="6"/>
      <c r="O31" s="6"/>
      <c r="P31" s="6"/>
      <c r="Q31" s="6"/>
      <c r="R31" s="6"/>
    </row>
    <row r="32" spans="2:21">
      <c r="B32" s="15" t="s">
        <v>10</v>
      </c>
      <c r="C32" s="14">
        <v>43479</v>
      </c>
      <c r="D32" s="12">
        <v>178828286</v>
      </c>
      <c r="E32" s="12">
        <v>19875310</v>
      </c>
      <c r="F32" s="12">
        <v>54686883</v>
      </c>
      <c r="G32" s="12">
        <v>17764274</v>
      </c>
      <c r="K32" s="6"/>
      <c r="L32" s="6"/>
      <c r="M32" s="6"/>
      <c r="N32" s="6"/>
      <c r="O32" s="6"/>
      <c r="P32" s="6"/>
      <c r="Q32" s="6"/>
      <c r="R32" s="6"/>
    </row>
    <row r="33" spans="2:18">
      <c r="B33" s="15" t="s">
        <v>11</v>
      </c>
      <c r="C33" s="14">
        <v>43480</v>
      </c>
      <c r="D33" s="12">
        <v>170866186</v>
      </c>
      <c r="E33" s="12">
        <v>21001710</v>
      </c>
      <c r="F33" s="12">
        <v>49332710</v>
      </c>
      <c r="G33" s="12">
        <v>16813193</v>
      </c>
      <c r="K33" s="6"/>
      <c r="L33" s="6"/>
      <c r="M33" s="6"/>
      <c r="N33" s="6"/>
      <c r="O33" s="6"/>
      <c r="P33" s="6"/>
      <c r="Q33" s="6"/>
      <c r="R33" s="6"/>
    </row>
    <row r="34" spans="2:18">
      <c r="B34" s="15" t="s">
        <v>12</v>
      </c>
      <c r="C34" s="14">
        <v>43481</v>
      </c>
      <c r="D34" s="12">
        <v>167822492</v>
      </c>
      <c r="E34" s="12">
        <v>20730890</v>
      </c>
      <c r="F34" s="12">
        <v>49239181</v>
      </c>
      <c r="G34" s="12">
        <v>16898460</v>
      </c>
      <c r="K34" s="6"/>
      <c r="L34" s="6"/>
      <c r="M34" s="6"/>
      <c r="N34" s="6"/>
      <c r="O34" s="6"/>
      <c r="P34" s="6"/>
      <c r="Q34" s="6"/>
      <c r="R34" s="6"/>
    </row>
    <row r="35" spans="2:18">
      <c r="B35" s="15" t="s">
        <v>13</v>
      </c>
      <c r="C35" s="14">
        <v>43482</v>
      </c>
      <c r="D35" s="12">
        <v>167246093</v>
      </c>
      <c r="E35" s="12">
        <v>19275170</v>
      </c>
      <c r="F35" s="12">
        <v>45628455</v>
      </c>
      <c r="G35" s="12">
        <v>15327917</v>
      </c>
      <c r="K35" s="6"/>
      <c r="L35" s="6"/>
      <c r="M35" s="6"/>
      <c r="N35" s="6"/>
      <c r="O35" s="6"/>
      <c r="P35" s="6"/>
      <c r="Q35" s="6"/>
      <c r="R35" s="6"/>
    </row>
    <row r="36" spans="2:18">
      <c r="B36" s="15" t="s">
        <v>14</v>
      </c>
      <c r="C36" s="14">
        <v>43483</v>
      </c>
      <c r="D36" s="12">
        <v>153423768</v>
      </c>
      <c r="E36" s="12">
        <v>18547770</v>
      </c>
      <c r="F36" s="12">
        <v>43729842</v>
      </c>
      <c r="G36" s="12">
        <v>15026778</v>
      </c>
      <c r="K36" s="6"/>
      <c r="L36" s="6"/>
      <c r="M36" s="6"/>
      <c r="N36" s="6"/>
      <c r="O36" s="6"/>
      <c r="P36" s="6"/>
      <c r="Q36" s="6"/>
      <c r="R36" s="6"/>
    </row>
    <row r="37" spans="2:18">
      <c r="B37" s="15" t="s">
        <v>8</v>
      </c>
      <c r="C37" s="14">
        <v>43484</v>
      </c>
      <c r="D37" s="12">
        <v>101283983</v>
      </c>
      <c r="E37" s="12">
        <v>10620460</v>
      </c>
      <c r="F37" s="12">
        <v>47594177</v>
      </c>
      <c r="G37" s="12">
        <v>14863172</v>
      </c>
      <c r="K37" s="6"/>
      <c r="L37" s="6"/>
      <c r="M37" s="6"/>
      <c r="N37" s="6"/>
      <c r="O37" s="6"/>
      <c r="P37" s="6"/>
      <c r="Q37" s="6"/>
      <c r="R37" s="6"/>
    </row>
    <row r="38" spans="2:18">
      <c r="B38" s="15" t="s">
        <v>9</v>
      </c>
      <c r="C38" s="14">
        <v>43485</v>
      </c>
      <c r="D38" s="12">
        <v>99816455</v>
      </c>
      <c r="E38" s="12">
        <v>9586350</v>
      </c>
      <c r="F38" s="12">
        <v>47534684</v>
      </c>
      <c r="G38" s="12">
        <v>17246180</v>
      </c>
      <c r="K38" s="6"/>
      <c r="L38" s="6"/>
      <c r="M38" s="6"/>
      <c r="N38" s="6"/>
      <c r="O38" s="6"/>
      <c r="P38" s="6"/>
      <c r="Q38" s="6"/>
      <c r="R38" s="6"/>
    </row>
    <row r="39" spans="2:18">
      <c r="B39" s="15" t="s">
        <v>10</v>
      </c>
      <c r="C39" s="19">
        <v>43486</v>
      </c>
      <c r="D39" s="20">
        <v>174517243</v>
      </c>
      <c r="E39" s="20">
        <v>20512930</v>
      </c>
      <c r="F39" s="20">
        <v>51329078</v>
      </c>
      <c r="G39" s="20">
        <v>17558439</v>
      </c>
      <c r="K39" s="6"/>
      <c r="L39" s="6"/>
      <c r="M39" s="6"/>
      <c r="N39" s="6"/>
      <c r="O39" s="6"/>
      <c r="P39" s="6"/>
      <c r="Q39" s="6"/>
      <c r="R39" s="6"/>
    </row>
    <row r="40" spans="2:18">
      <c r="B40" s="15" t="s">
        <v>11</v>
      </c>
      <c r="C40" s="19">
        <v>43487</v>
      </c>
      <c r="D40" s="20">
        <v>170542525</v>
      </c>
      <c r="E40" s="20">
        <v>19782970</v>
      </c>
      <c r="F40" s="20">
        <v>50052444</v>
      </c>
      <c r="G40" s="20">
        <v>17256817</v>
      </c>
      <c r="K40" s="6"/>
      <c r="L40" s="6"/>
      <c r="M40" s="6"/>
      <c r="N40" s="6"/>
      <c r="O40" s="6"/>
      <c r="P40" s="6"/>
      <c r="Q40" s="6"/>
      <c r="R40" s="6"/>
    </row>
    <row r="41" spans="2:18">
      <c r="B41" s="15" t="s">
        <v>12</v>
      </c>
      <c r="C41" s="19">
        <v>43488</v>
      </c>
      <c r="D41" s="20">
        <v>163996895</v>
      </c>
      <c r="E41" s="20">
        <v>19823880</v>
      </c>
      <c r="F41" s="20">
        <v>48984705</v>
      </c>
      <c r="G41" s="20">
        <v>16625466</v>
      </c>
      <c r="K41" s="6"/>
      <c r="L41" s="6"/>
      <c r="M41" s="6"/>
      <c r="N41" s="6"/>
      <c r="O41" s="6"/>
      <c r="P41" s="6"/>
      <c r="Q41" s="6"/>
      <c r="R41" s="6"/>
    </row>
    <row r="42" spans="2:18">
      <c r="B42" s="15" t="s">
        <v>13</v>
      </c>
      <c r="C42" s="19">
        <v>43489</v>
      </c>
      <c r="D42" s="20">
        <v>163887609</v>
      </c>
      <c r="E42" s="20">
        <v>19221760</v>
      </c>
      <c r="F42" s="20">
        <v>47126831</v>
      </c>
      <c r="G42" s="20">
        <v>15776485</v>
      </c>
      <c r="K42" s="6"/>
      <c r="L42" s="6"/>
      <c r="M42" s="6"/>
      <c r="N42" s="6"/>
      <c r="O42" s="6"/>
      <c r="P42" s="6"/>
      <c r="Q42" s="6"/>
      <c r="R42" s="6"/>
    </row>
    <row r="43" spans="2:18">
      <c r="B43" s="15" t="s">
        <v>14</v>
      </c>
      <c r="C43" s="19">
        <v>43490</v>
      </c>
      <c r="D43" s="20">
        <v>148696888</v>
      </c>
      <c r="E43" s="20">
        <v>18145060</v>
      </c>
      <c r="F43" s="20">
        <v>43558204</v>
      </c>
      <c r="G43" s="20">
        <v>14903815</v>
      </c>
      <c r="K43" s="6"/>
      <c r="L43" s="6"/>
      <c r="M43" s="6"/>
      <c r="N43" s="6"/>
      <c r="O43" s="6"/>
      <c r="P43" s="6"/>
      <c r="Q43" s="6"/>
      <c r="R43" s="6"/>
    </row>
    <row r="44" spans="2:18">
      <c r="B44" s="15" t="s">
        <v>8</v>
      </c>
      <c r="C44" s="14">
        <v>43491</v>
      </c>
      <c r="D44" s="12">
        <v>99929935</v>
      </c>
      <c r="E44" s="12">
        <v>10794050</v>
      </c>
      <c r="F44" s="12">
        <v>44860798</v>
      </c>
      <c r="G44" s="12">
        <v>14526566</v>
      </c>
      <c r="K44" s="6"/>
      <c r="L44" s="6"/>
      <c r="M44" s="6"/>
      <c r="N44" s="6"/>
      <c r="O44" s="6"/>
      <c r="P44" s="6"/>
      <c r="Q44" s="6"/>
      <c r="R44" s="6"/>
    </row>
    <row r="45" spans="2:18">
      <c r="B45" s="15" t="s">
        <v>9</v>
      </c>
      <c r="C45" s="14">
        <v>43492</v>
      </c>
      <c r="D45" s="12">
        <v>96845719</v>
      </c>
      <c r="E45" s="12">
        <v>9198370</v>
      </c>
      <c r="F45" s="12">
        <v>49716466</v>
      </c>
      <c r="G45" s="12">
        <v>16644852</v>
      </c>
      <c r="K45" s="6"/>
      <c r="L45" s="6"/>
      <c r="M45" s="6"/>
      <c r="N45" s="6"/>
      <c r="O45" s="6"/>
      <c r="P45" s="6"/>
      <c r="Q45" s="6"/>
      <c r="R45" s="6"/>
    </row>
    <row r="46" spans="2:18">
      <c r="B46" s="15" t="s">
        <v>10</v>
      </c>
      <c r="C46" s="21">
        <v>43493</v>
      </c>
      <c r="D46" s="22">
        <v>170728942</v>
      </c>
      <c r="E46" s="22">
        <v>19937110</v>
      </c>
      <c r="F46" s="22">
        <v>51761437</v>
      </c>
      <c r="G46" s="22">
        <v>16861211</v>
      </c>
      <c r="K46" s="6"/>
      <c r="L46" s="6"/>
      <c r="M46" s="6"/>
      <c r="N46" s="6"/>
      <c r="O46" s="6"/>
      <c r="P46" s="6"/>
      <c r="Q46" s="6"/>
      <c r="R46" s="6"/>
    </row>
    <row r="47" spans="2:18">
      <c r="B47" s="15" t="s">
        <v>11</v>
      </c>
      <c r="C47" s="21">
        <v>43494</v>
      </c>
      <c r="D47" s="22">
        <v>160558834</v>
      </c>
      <c r="E47" s="22">
        <v>18923840</v>
      </c>
      <c r="F47" s="22">
        <v>47523821</v>
      </c>
      <c r="G47" s="22">
        <v>14461564</v>
      </c>
      <c r="K47" s="6"/>
      <c r="L47" s="6"/>
      <c r="M47" s="6"/>
      <c r="N47" s="6"/>
      <c r="O47" s="6"/>
      <c r="P47" s="6"/>
      <c r="Q47" s="6"/>
      <c r="R47" s="6"/>
    </row>
    <row r="48" spans="2:18">
      <c r="B48" s="15" t="s">
        <v>12</v>
      </c>
      <c r="C48" s="21">
        <v>43495</v>
      </c>
      <c r="D48" s="22">
        <v>150555203</v>
      </c>
      <c r="E48" s="22">
        <v>17880030</v>
      </c>
      <c r="F48" s="22">
        <v>44760164</v>
      </c>
      <c r="G48" s="22">
        <v>12832126</v>
      </c>
      <c r="K48" s="6"/>
      <c r="L48" s="6"/>
      <c r="M48" s="6"/>
      <c r="N48" s="6"/>
      <c r="O48" s="6"/>
      <c r="P48" s="6"/>
      <c r="Q48" s="6"/>
      <c r="R48" s="6"/>
    </row>
    <row r="49" spans="2:18">
      <c r="B49" s="15" t="s">
        <v>13</v>
      </c>
      <c r="C49" s="21">
        <v>43496</v>
      </c>
      <c r="D49" s="22">
        <v>134809187</v>
      </c>
      <c r="E49" s="22">
        <v>16517290</v>
      </c>
      <c r="F49" s="22">
        <v>38326112</v>
      </c>
      <c r="G49" s="22">
        <v>11411413</v>
      </c>
      <c r="K49" s="6"/>
      <c r="L49" s="6"/>
      <c r="M49" s="6"/>
      <c r="N49" s="6"/>
      <c r="O49" s="6"/>
      <c r="P49" s="6"/>
      <c r="Q49" s="6"/>
      <c r="R49" s="6"/>
    </row>
    <row r="50" spans="2:18">
      <c r="B50" s="425" t="s">
        <v>2</v>
      </c>
      <c r="C50" s="426"/>
      <c r="D50" s="22">
        <f>SUM(D19:D49)</f>
        <v>4522831595</v>
      </c>
      <c r="E50" s="22">
        <f>SUM(E19:E49)</f>
        <v>545548270</v>
      </c>
      <c r="F50" s="22">
        <f>SUM(F19:F49)</f>
        <v>1458540375</v>
      </c>
      <c r="G50" s="22">
        <f>SUM(G19:G49)</f>
        <v>499944409</v>
      </c>
      <c r="K50" s="6"/>
      <c r="L50" s="6"/>
      <c r="M50" s="6"/>
      <c r="N50" s="6"/>
      <c r="O50" s="6"/>
      <c r="P50" s="6"/>
      <c r="Q50" s="6"/>
      <c r="R50" s="6"/>
    </row>
    <row r="51" spans="2:18">
      <c r="B51" s="23" t="s">
        <v>40</v>
      </c>
      <c r="C51" s="24">
        <v>43497</v>
      </c>
      <c r="D51" s="25">
        <v>106535812</v>
      </c>
      <c r="E51" s="25">
        <v>13669420</v>
      </c>
      <c r="F51" s="25">
        <v>31556831</v>
      </c>
      <c r="G51" s="25">
        <v>10004704</v>
      </c>
      <c r="K51" s="6"/>
      <c r="L51" s="6"/>
      <c r="M51" s="6"/>
      <c r="N51" s="6"/>
      <c r="O51" s="6"/>
      <c r="P51" s="6"/>
      <c r="Q51" s="6"/>
      <c r="R51" s="6"/>
    </row>
    <row r="52" spans="2:18">
      <c r="B52" s="32" t="s">
        <v>15</v>
      </c>
      <c r="C52" s="26">
        <v>43498</v>
      </c>
      <c r="D52" s="27">
        <v>73749568</v>
      </c>
      <c r="E52" s="27">
        <v>8669100</v>
      </c>
      <c r="F52" s="27">
        <v>30511212</v>
      </c>
      <c r="G52" s="27">
        <v>10179526</v>
      </c>
      <c r="K52" s="6"/>
      <c r="L52" s="6"/>
      <c r="M52" s="6"/>
      <c r="N52" s="6"/>
      <c r="O52" s="6"/>
      <c r="P52" s="6"/>
      <c r="Q52" s="6"/>
      <c r="R52" s="6"/>
    </row>
    <row r="53" spans="2:18">
      <c r="B53" s="32" t="s">
        <v>16</v>
      </c>
      <c r="C53" s="26">
        <v>43499</v>
      </c>
      <c r="D53" s="27">
        <v>68482935</v>
      </c>
      <c r="E53" s="27">
        <v>8111720</v>
      </c>
      <c r="F53" s="27">
        <v>30297168</v>
      </c>
      <c r="G53" s="27">
        <v>11221874</v>
      </c>
      <c r="J53" s="6"/>
      <c r="K53" s="6"/>
      <c r="L53" s="6"/>
      <c r="M53" s="6"/>
      <c r="N53" s="6"/>
      <c r="O53" s="6"/>
      <c r="P53" s="6"/>
      <c r="Q53" s="6"/>
      <c r="R53" s="6"/>
    </row>
    <row r="54" spans="2:18">
      <c r="B54" s="32" t="s">
        <v>17</v>
      </c>
      <c r="C54" s="26">
        <v>43500</v>
      </c>
      <c r="D54" s="27">
        <v>63392172</v>
      </c>
      <c r="E54" s="27">
        <v>7730310</v>
      </c>
      <c r="F54" s="27">
        <v>27811990</v>
      </c>
      <c r="G54" s="27">
        <v>10240481</v>
      </c>
      <c r="J54" s="6"/>
      <c r="K54" s="6"/>
      <c r="L54" s="6"/>
      <c r="M54" s="6"/>
      <c r="N54" s="6"/>
      <c r="O54" s="6"/>
      <c r="P54" s="6"/>
      <c r="Q54" s="6"/>
      <c r="R54" s="6"/>
    </row>
    <row r="55" spans="2:18">
      <c r="B55" s="32" t="s">
        <v>18</v>
      </c>
      <c r="C55" s="26">
        <v>43501</v>
      </c>
      <c r="D55" s="27">
        <v>63818986</v>
      </c>
      <c r="E55" s="27">
        <v>7824610</v>
      </c>
      <c r="F55" s="27">
        <v>28297291</v>
      </c>
      <c r="G55" s="27">
        <v>10882166</v>
      </c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2:18">
      <c r="B56" s="32" t="s">
        <v>19</v>
      </c>
      <c r="C56" s="26">
        <v>43502</v>
      </c>
      <c r="D56" s="27">
        <v>86095902</v>
      </c>
      <c r="E56" s="27">
        <v>9427160</v>
      </c>
      <c r="F56" s="27">
        <v>42880932</v>
      </c>
      <c r="G56" s="27">
        <v>15026875</v>
      </c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2:18">
      <c r="B57" s="28" t="s">
        <v>13</v>
      </c>
      <c r="C57" s="29">
        <v>43503</v>
      </c>
      <c r="D57" s="30">
        <v>171096451</v>
      </c>
      <c r="E57" s="30">
        <v>19840990</v>
      </c>
      <c r="F57" s="30">
        <v>52375393</v>
      </c>
      <c r="G57" s="30">
        <v>17363019</v>
      </c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>
      <c r="B58" s="28" t="s">
        <v>14</v>
      </c>
      <c r="C58" s="29">
        <v>43504</v>
      </c>
      <c r="D58" s="30">
        <v>159717536</v>
      </c>
      <c r="E58" s="30">
        <v>19491200</v>
      </c>
      <c r="F58" s="30">
        <v>45927361</v>
      </c>
      <c r="G58" s="30">
        <v>15937877</v>
      </c>
      <c r="K58" s="6"/>
      <c r="L58" s="6"/>
      <c r="M58" s="6"/>
      <c r="N58" s="6"/>
      <c r="O58" s="6"/>
      <c r="P58" s="6"/>
      <c r="Q58" s="6"/>
      <c r="R58" s="6"/>
    </row>
    <row r="59" spans="2:18">
      <c r="B59" s="28" t="s">
        <v>8</v>
      </c>
      <c r="C59" s="29">
        <v>43505</v>
      </c>
      <c r="D59" s="30">
        <v>102971798</v>
      </c>
      <c r="E59" s="30">
        <v>11995380</v>
      </c>
      <c r="F59" s="30">
        <v>45020758</v>
      </c>
      <c r="G59" s="30">
        <v>15567360</v>
      </c>
      <c r="K59" s="6"/>
      <c r="L59" s="6"/>
      <c r="M59" s="6"/>
      <c r="N59" s="6"/>
      <c r="O59" s="6"/>
      <c r="P59" s="6"/>
      <c r="Q59" s="6"/>
      <c r="R59" s="6"/>
    </row>
    <row r="60" spans="2:18">
      <c r="B60" s="28" t="s">
        <v>9</v>
      </c>
      <c r="C60" s="29">
        <v>43506</v>
      </c>
      <c r="D60" s="30">
        <v>97630995</v>
      </c>
      <c r="E60" s="30">
        <v>10517120</v>
      </c>
      <c r="F60" s="30">
        <v>49347509</v>
      </c>
      <c r="G60" s="30">
        <v>17902594</v>
      </c>
      <c r="K60" s="6"/>
      <c r="L60" s="6"/>
      <c r="M60" s="6"/>
      <c r="N60" s="6"/>
      <c r="O60" s="6"/>
      <c r="P60" s="6"/>
      <c r="Q60" s="6"/>
      <c r="R60" s="6"/>
    </row>
    <row r="61" spans="2:18">
      <c r="B61" s="28" t="s">
        <v>10</v>
      </c>
      <c r="C61" s="29">
        <v>43507</v>
      </c>
      <c r="D61" s="30">
        <v>171649563</v>
      </c>
      <c r="E61" s="30">
        <v>21066170</v>
      </c>
      <c r="F61" s="30">
        <v>51103915</v>
      </c>
      <c r="G61" s="30">
        <v>22538932</v>
      </c>
    </row>
    <row r="62" spans="2:18">
      <c r="B62" s="28" t="s">
        <v>11</v>
      </c>
      <c r="C62" s="29">
        <v>43508</v>
      </c>
      <c r="D62" s="30">
        <v>166501267</v>
      </c>
      <c r="E62" s="30">
        <v>21248180</v>
      </c>
      <c r="F62" s="30">
        <v>47626334</v>
      </c>
      <c r="G62" s="30">
        <v>16995681</v>
      </c>
    </row>
    <row r="63" spans="2:18">
      <c r="B63" s="28" t="s">
        <v>12</v>
      </c>
      <c r="C63" s="29">
        <v>43509</v>
      </c>
      <c r="D63" s="30">
        <v>162524723</v>
      </c>
      <c r="E63" s="30">
        <v>22394580</v>
      </c>
      <c r="F63" s="30">
        <v>47512240</v>
      </c>
      <c r="G63" s="30">
        <v>16614972</v>
      </c>
    </row>
    <row r="64" spans="2:18">
      <c r="B64" s="28" t="s">
        <v>13</v>
      </c>
      <c r="C64" s="29">
        <v>43510</v>
      </c>
      <c r="D64" s="30">
        <v>157643436</v>
      </c>
      <c r="E64" s="30">
        <v>21031440</v>
      </c>
      <c r="F64" s="30">
        <v>45006670</v>
      </c>
      <c r="G64" s="30">
        <v>15819776</v>
      </c>
    </row>
    <row r="65" spans="2:11">
      <c r="B65" s="28" t="s">
        <v>14</v>
      </c>
      <c r="C65" s="29">
        <v>43511</v>
      </c>
      <c r="D65" s="30">
        <v>145061096</v>
      </c>
      <c r="E65" s="30">
        <v>20148590</v>
      </c>
      <c r="F65" s="30">
        <v>42332184</v>
      </c>
      <c r="G65" s="30">
        <v>14126364</v>
      </c>
    </row>
    <row r="66" spans="2:11">
      <c r="B66" s="28" t="s">
        <v>8</v>
      </c>
      <c r="C66" s="29">
        <v>43512</v>
      </c>
      <c r="D66" s="30">
        <v>92560328</v>
      </c>
      <c r="E66" s="30">
        <v>11686190</v>
      </c>
      <c r="F66" s="30">
        <v>40229080</v>
      </c>
      <c r="G66" s="30">
        <v>14508565</v>
      </c>
    </row>
    <row r="67" spans="2:11">
      <c r="B67"/>
      <c r="C67"/>
    </row>
    <row r="68" spans="2:11">
      <c r="B68"/>
      <c r="C68"/>
      <c r="D68" s="111"/>
      <c r="E68" s="111"/>
      <c r="F68" s="111"/>
      <c r="G68" s="111"/>
      <c r="H68" s="111"/>
      <c r="I68" s="111"/>
      <c r="J68" s="111"/>
      <c r="K68" s="111"/>
    </row>
    <row r="69" spans="2:11">
      <c r="B69"/>
      <c r="C69"/>
      <c r="D69" s="111"/>
      <c r="E69" s="111"/>
      <c r="F69" s="111"/>
      <c r="G69" s="111"/>
    </row>
    <row r="70" spans="2:11">
      <c r="B70"/>
      <c r="C70"/>
    </row>
    <row r="71" spans="2:11">
      <c r="B71"/>
      <c r="C71"/>
    </row>
    <row r="72" spans="2:11">
      <c r="B72"/>
      <c r="C72"/>
    </row>
    <row r="73" spans="2:11">
      <c r="B73"/>
      <c r="C73"/>
    </row>
    <row r="74" spans="2:11">
      <c r="B74"/>
      <c r="C74"/>
    </row>
    <row r="75" spans="2:11">
      <c r="B75"/>
      <c r="C75"/>
    </row>
    <row r="76" spans="2:11">
      <c r="B76"/>
      <c r="C76"/>
    </row>
    <row r="77" spans="2:11">
      <c r="B77"/>
      <c r="C77"/>
    </row>
    <row r="78" spans="2:11">
      <c r="B78"/>
      <c r="C78"/>
    </row>
    <row r="79" spans="2:11">
      <c r="B79"/>
      <c r="C79"/>
    </row>
    <row r="80" spans="2:11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</sheetData>
  <mergeCells count="6">
    <mergeCell ref="B50:C50"/>
    <mergeCell ref="C4:F4"/>
    <mergeCell ref="G4:J4"/>
    <mergeCell ref="K4:N4"/>
    <mergeCell ref="S4:V4"/>
    <mergeCell ref="O4:R4"/>
  </mergeCells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V106"/>
  <sheetViews>
    <sheetView showGridLines="0" workbookViewId="0"/>
  </sheetViews>
  <sheetFormatPr defaultColWidth="8.85546875" defaultRowHeight="13.5"/>
  <cols>
    <col min="1" max="1" width="2.7109375" customWidth="1"/>
    <col min="2" max="2" width="7.28515625" style="3" customWidth="1"/>
    <col min="3" max="3" width="14.28515625" style="3" bestFit="1" customWidth="1"/>
    <col min="4" max="4" width="15.28515625" bestFit="1" customWidth="1"/>
    <col min="5" max="5" width="15" bestFit="1" customWidth="1"/>
    <col min="6" max="6" width="15.28515625" bestFit="1" customWidth="1"/>
    <col min="7" max="7" width="15" bestFit="1" customWidth="1"/>
    <col min="8" max="8" width="12.42578125" bestFit="1" customWidth="1"/>
    <col min="9" max="9" width="14.7109375" bestFit="1" customWidth="1"/>
    <col min="10" max="10" width="12.42578125" bestFit="1" customWidth="1"/>
    <col min="11" max="11" width="8.28515625" bestFit="1" customWidth="1"/>
    <col min="12" max="13" width="6.7109375" bestFit="1" customWidth="1"/>
    <col min="14" max="14" width="7.28515625" bestFit="1" customWidth="1"/>
    <col min="15" max="15" width="14.7109375" bestFit="1" customWidth="1"/>
    <col min="16" max="16" width="13.42578125" bestFit="1" customWidth="1"/>
    <col min="17" max="18" width="14.7109375" bestFit="1" customWidth="1"/>
    <col min="19" max="19" width="8.28515625" bestFit="1" customWidth="1"/>
    <col min="20" max="21" width="6.7109375" bestFit="1" customWidth="1"/>
    <col min="22" max="22" width="7.28515625" bestFit="1" customWidth="1"/>
  </cols>
  <sheetData>
    <row r="2" spans="2:22" ht="17.25">
      <c r="B2" s="51" t="s">
        <v>38</v>
      </c>
    </row>
    <row r="3" spans="2:22" ht="18.75" customHeight="1">
      <c r="B3" s="4" t="s">
        <v>36</v>
      </c>
    </row>
    <row r="4" spans="2:22">
      <c r="B4" s="17" t="s">
        <v>20</v>
      </c>
      <c r="C4" s="421" t="s">
        <v>42</v>
      </c>
      <c r="D4" s="421"/>
      <c r="E4" s="421"/>
      <c r="F4" s="421"/>
      <c r="G4" s="422" t="s">
        <v>32</v>
      </c>
      <c r="H4" s="422"/>
      <c r="I4" s="422"/>
      <c r="J4" s="422"/>
      <c r="K4" s="423" t="s">
        <v>33</v>
      </c>
      <c r="L4" s="423"/>
      <c r="M4" s="423"/>
      <c r="N4" s="423"/>
      <c r="O4" s="424" t="s">
        <v>41</v>
      </c>
      <c r="P4" s="424"/>
      <c r="Q4" s="424"/>
      <c r="R4" s="424"/>
      <c r="S4" s="420" t="s">
        <v>45</v>
      </c>
      <c r="T4" s="420"/>
      <c r="U4" s="420"/>
      <c r="V4" s="420"/>
    </row>
    <row r="5" spans="2:22">
      <c r="B5" s="10" t="s">
        <v>21</v>
      </c>
      <c r="C5" s="9" t="s">
        <v>22</v>
      </c>
      <c r="D5" s="10" t="s">
        <v>23</v>
      </c>
      <c r="E5" s="10" t="s">
        <v>24</v>
      </c>
      <c r="F5" s="10" t="s">
        <v>7</v>
      </c>
      <c r="G5" s="41" t="s">
        <v>22</v>
      </c>
      <c r="H5" s="42" t="s">
        <v>23</v>
      </c>
      <c r="I5" s="42" t="s">
        <v>24</v>
      </c>
      <c r="J5" s="42" t="s">
        <v>7</v>
      </c>
      <c r="K5" s="41" t="s">
        <v>22</v>
      </c>
      <c r="L5" s="42" t="s">
        <v>23</v>
      </c>
      <c r="M5" s="42" t="s">
        <v>24</v>
      </c>
      <c r="N5" s="42" t="s">
        <v>7</v>
      </c>
      <c r="O5" s="8" t="s">
        <v>22</v>
      </c>
      <c r="P5" s="37" t="s">
        <v>23</v>
      </c>
      <c r="Q5" s="37" t="s">
        <v>24</v>
      </c>
      <c r="R5" s="37" t="s">
        <v>7</v>
      </c>
      <c r="S5" s="8" t="s">
        <v>22</v>
      </c>
      <c r="T5" s="37" t="s">
        <v>23</v>
      </c>
      <c r="U5" s="37" t="s">
        <v>24</v>
      </c>
      <c r="V5" s="37" t="s">
        <v>7</v>
      </c>
    </row>
    <row r="6" spans="2:22">
      <c r="B6" s="43" t="s">
        <v>25</v>
      </c>
      <c r="C6" s="13">
        <v>62595421</v>
      </c>
      <c r="D6" s="13">
        <v>6407410</v>
      </c>
      <c r="E6" s="13">
        <v>24139908</v>
      </c>
      <c r="F6" s="13">
        <v>14515291</v>
      </c>
      <c r="G6" s="20">
        <v>168596294</v>
      </c>
      <c r="H6" s="20">
        <v>17206150</v>
      </c>
      <c r="I6" s="20">
        <v>49069735</v>
      </c>
      <c r="J6" s="20">
        <v>19708185</v>
      </c>
      <c r="K6" s="34">
        <f>C6/G6</f>
        <v>0.37127400321148224</v>
      </c>
      <c r="L6" s="34">
        <f t="shared" ref="L6:N13" si="0">D6/H6</f>
        <v>0.3723906858884759</v>
      </c>
      <c r="M6" s="34">
        <f t="shared" si="0"/>
        <v>0.49195105700081732</v>
      </c>
      <c r="N6" s="34">
        <f t="shared" si="0"/>
        <v>0.73651079488040117</v>
      </c>
      <c r="O6" s="11">
        <f>AVERAGEIF($B$19:$B$49,"월",D$19:D$49)</f>
        <v>156503271.75</v>
      </c>
      <c r="P6" s="11">
        <f>AVERAGEIF($B$19:$B$49,"월",E$19:E$49)</f>
        <v>18604150</v>
      </c>
      <c r="Q6" s="11">
        <f>AVERAGEIF($B$19:$B$49,"월",F$19:F$49)</f>
        <v>47256680</v>
      </c>
      <c r="R6" s="11">
        <f>AVERAGEIF($B$19:$B$49,"월",G$19:G$49)</f>
        <v>16970240</v>
      </c>
      <c r="S6" s="34">
        <f>C6/O6</f>
        <v>0.39996237970021864</v>
      </c>
      <c r="T6" s="34">
        <f t="shared" ref="T6:V13" si="1">D6/P6</f>
        <v>0.34440756497878161</v>
      </c>
      <c r="U6" s="34">
        <f t="shared" si="1"/>
        <v>0.5108253055441051</v>
      </c>
      <c r="V6" s="34">
        <f t="shared" si="1"/>
        <v>0.85533799168426605</v>
      </c>
    </row>
    <row r="7" spans="2:22">
      <c r="B7" s="43" t="s">
        <v>26</v>
      </c>
      <c r="C7" s="13">
        <v>74471881</v>
      </c>
      <c r="D7" s="13">
        <v>7915160</v>
      </c>
      <c r="E7" s="13">
        <v>32678570</v>
      </c>
      <c r="F7" s="13">
        <v>19145762</v>
      </c>
      <c r="G7" s="20">
        <v>157783205</v>
      </c>
      <c r="H7" s="20">
        <v>15869340</v>
      </c>
      <c r="I7" s="20">
        <v>44432072</v>
      </c>
      <c r="J7" s="20">
        <v>18677976</v>
      </c>
      <c r="K7" s="34">
        <f t="shared" ref="K7:K12" si="2">C7/G7</f>
        <v>0.47198864416526459</v>
      </c>
      <c r="L7" s="34">
        <f t="shared" si="0"/>
        <v>0.49877058529214197</v>
      </c>
      <c r="M7" s="34">
        <f t="shared" si="0"/>
        <v>0.73547256585288212</v>
      </c>
      <c r="N7" s="34">
        <f t="shared" si="0"/>
        <v>1.025044790720365</v>
      </c>
      <c r="O7" s="11">
        <f>AVERAGEIF($B$19:$B$49,"화",D$19:D$49)</f>
        <v>154152228</v>
      </c>
      <c r="P7" s="11">
        <f>AVERAGEIF($B$19:$B$49,"화",E$19:E$49)</f>
        <v>18628280</v>
      </c>
      <c r="Q7" s="11">
        <f>AVERAGEIF($B$19:$B$49,"화",F$19:F$49)</f>
        <v>44522472.75</v>
      </c>
      <c r="R7" s="11">
        <f>AVERAGEIF($B$19:$B$49,"화",G$19:G$49)</f>
        <v>16058146.5</v>
      </c>
      <c r="S7" s="34">
        <f t="shared" ref="S7:S12" si="3">C7/O7</f>
        <v>0.48310609561867635</v>
      </c>
      <c r="T7" s="34">
        <f t="shared" si="1"/>
        <v>0.42490020549401231</v>
      </c>
      <c r="U7" s="34">
        <f t="shared" si="1"/>
        <v>0.73397922400884619</v>
      </c>
      <c r="V7" s="34">
        <f>F7/R7</f>
        <v>1.1922772033497142</v>
      </c>
    </row>
    <row r="8" spans="2:22">
      <c r="B8" s="43" t="s">
        <v>27</v>
      </c>
      <c r="C8" s="13">
        <v>91348939</v>
      </c>
      <c r="D8" s="13">
        <v>9155380</v>
      </c>
      <c r="E8" s="13">
        <v>43346669</v>
      </c>
      <c r="F8" s="13">
        <v>20932500</v>
      </c>
      <c r="G8" s="20">
        <v>143677234</v>
      </c>
      <c r="H8" s="20">
        <v>15239150</v>
      </c>
      <c r="I8" s="20">
        <v>37786753</v>
      </c>
      <c r="J8" s="20">
        <v>18656801</v>
      </c>
      <c r="K8" s="34">
        <f t="shared" si="2"/>
        <v>0.6357927171677038</v>
      </c>
      <c r="L8" s="34">
        <f t="shared" si="0"/>
        <v>0.60078022724364544</v>
      </c>
      <c r="M8" s="34">
        <f t="shared" si="0"/>
        <v>1.1471392897929071</v>
      </c>
      <c r="N8" s="34">
        <f t="shared" si="0"/>
        <v>1.1219769134054653</v>
      </c>
      <c r="O8" s="11">
        <f>AVERAGEIF($B$19:$B$49,"수",D$19:D$49)</f>
        <v>140011420</v>
      </c>
      <c r="P8" s="11">
        <f>AVERAGEIF($B$19:$B$49,"수",E$19:E$49)</f>
        <v>16661712</v>
      </c>
      <c r="Q8" s="11">
        <f>AVERAGEIF($B$19:$B$49,"수",F$19:F$49)</f>
        <v>46066168.600000001</v>
      </c>
      <c r="R8" s="11">
        <f>AVERAGEIF($B$19:$B$49,"수",G$19:G$49)</f>
        <v>17974594.399999999</v>
      </c>
      <c r="S8" s="34">
        <f t="shared" si="3"/>
        <v>0.65243920103088737</v>
      </c>
      <c r="T8" s="34">
        <f t="shared" si="1"/>
        <v>0.54948615124304157</v>
      </c>
      <c r="U8" s="34">
        <f t="shared" si="1"/>
        <v>0.94096536172535084</v>
      </c>
      <c r="V8" s="34">
        <f t="shared" si="1"/>
        <v>1.1645603530280495</v>
      </c>
    </row>
    <row r="9" spans="2:22" hidden="1">
      <c r="B9" s="43" t="s">
        <v>28</v>
      </c>
      <c r="C9" s="13"/>
      <c r="D9" s="13"/>
      <c r="E9" s="13"/>
      <c r="F9" s="13"/>
      <c r="G9" s="38">
        <v>135528084</v>
      </c>
      <c r="H9" s="38">
        <v>15790630</v>
      </c>
      <c r="I9" s="38">
        <v>32906837</v>
      </c>
      <c r="J9" s="38">
        <v>16765212</v>
      </c>
      <c r="K9" s="34"/>
      <c r="L9" s="34"/>
      <c r="M9" s="34"/>
      <c r="N9" s="34"/>
      <c r="O9" s="40">
        <f>AVERAGEIF($B$19:$B$49,"목",D$19:D$49)</f>
        <v>146077224</v>
      </c>
      <c r="P9" s="40">
        <f>AVERAGEIF($B$19:$B$49,"목",E$19:E$49)</f>
        <v>17738780</v>
      </c>
      <c r="Q9" s="40">
        <f>AVERAGEIF($B$19:$B$49,"목",F$19:F$49)</f>
        <v>44524744</v>
      </c>
      <c r="R9" s="40">
        <f>AVERAGEIF($B$19:$B$49,"목",G$19:G$49)</f>
        <v>16279661.199999999</v>
      </c>
      <c r="S9" s="34"/>
      <c r="T9" s="34"/>
      <c r="U9" s="34"/>
      <c r="V9" s="34"/>
    </row>
    <row r="10" spans="2:22" hidden="1">
      <c r="B10" s="43" t="s">
        <v>29</v>
      </c>
      <c r="C10" s="13"/>
      <c r="D10" s="13"/>
      <c r="E10" s="13"/>
      <c r="F10" s="13"/>
      <c r="G10" s="39">
        <v>113373086</v>
      </c>
      <c r="H10" s="39">
        <v>13922390</v>
      </c>
      <c r="I10" s="39">
        <v>26117452</v>
      </c>
      <c r="J10" s="39">
        <v>14548052</v>
      </c>
      <c r="K10" s="34"/>
      <c r="L10" s="34"/>
      <c r="M10" s="34"/>
      <c r="N10" s="34"/>
      <c r="O10" s="40">
        <f>AVERAGEIF($B$19:$B$49,"금",D$19:D$49)</f>
        <v>136216693</v>
      </c>
      <c r="P10" s="40">
        <f>AVERAGEIF($B$19:$B$49,"금",E$19:E$49)</f>
        <v>16732920</v>
      </c>
      <c r="Q10" s="40">
        <f>AVERAGEIF($B$19:$B$49,"금",F$19:F$49)</f>
        <v>41190524.399999999</v>
      </c>
      <c r="R10" s="40">
        <f>AVERAGEIF($B$19:$B$49,"금",G$19:G$49)</f>
        <v>14815481.4</v>
      </c>
      <c r="S10" s="34"/>
      <c r="T10" s="34"/>
      <c r="U10" s="34"/>
      <c r="V10" s="34"/>
    </row>
    <row r="11" spans="2:22">
      <c r="B11" s="43" t="s">
        <v>30</v>
      </c>
      <c r="C11" s="13">
        <v>70311437</v>
      </c>
      <c r="D11" s="13">
        <v>7494110</v>
      </c>
      <c r="E11" s="13">
        <v>24166640</v>
      </c>
      <c r="F11" s="13">
        <v>14554674</v>
      </c>
      <c r="G11" s="20">
        <v>93375971</v>
      </c>
      <c r="H11" s="20">
        <v>9578220</v>
      </c>
      <c r="I11" s="20">
        <v>42222688</v>
      </c>
      <c r="J11" s="20">
        <v>18479528</v>
      </c>
      <c r="K11" s="34">
        <f t="shared" si="2"/>
        <v>0.75299283367023839</v>
      </c>
      <c r="L11" s="34">
        <f t="shared" si="0"/>
        <v>0.78241155454771349</v>
      </c>
      <c r="M11" s="34">
        <f t="shared" si="0"/>
        <v>0.57236147542288163</v>
      </c>
      <c r="N11" s="34">
        <f t="shared" si="0"/>
        <v>0.78761070087937313</v>
      </c>
      <c r="O11" s="11">
        <f>AVERAGEIF($B$19:$B$49,"토",D$19:D$49)</f>
        <v>88486910.75</v>
      </c>
      <c r="P11" s="11">
        <f>AVERAGEIF($B$19:$B$49,"토",E$19:E$49)</f>
        <v>9899340</v>
      </c>
      <c r="Q11" s="11">
        <f>AVERAGEIF($B$19:$B$49,"토",F$19:F$49)</f>
        <v>37289993.25</v>
      </c>
      <c r="R11" s="11">
        <f>AVERAGEIF($B$19:$B$49,"토",G$19:G$49)</f>
        <v>15470551.25</v>
      </c>
      <c r="S11" s="34">
        <f t="shared" si="3"/>
        <v>0.79459703592375663</v>
      </c>
      <c r="T11" s="34">
        <f t="shared" si="1"/>
        <v>0.75703127683259697</v>
      </c>
      <c r="U11" s="34">
        <f t="shared" si="1"/>
        <v>0.64807305911754221</v>
      </c>
      <c r="V11" s="34">
        <f t="shared" si="1"/>
        <v>0.94079866740365825</v>
      </c>
    </row>
    <row r="12" spans="2:22">
      <c r="B12" s="43" t="s">
        <v>31</v>
      </c>
      <c r="C12" s="13">
        <v>59448696</v>
      </c>
      <c r="D12" s="13">
        <v>6379170</v>
      </c>
      <c r="E12" s="13">
        <v>22680913</v>
      </c>
      <c r="F12" s="13">
        <v>14061404</v>
      </c>
      <c r="G12" s="20">
        <v>90793199</v>
      </c>
      <c r="H12" s="20">
        <v>9052730</v>
      </c>
      <c r="I12" s="20">
        <v>48354996</v>
      </c>
      <c r="J12" s="20">
        <v>19948728</v>
      </c>
      <c r="K12" s="34">
        <f t="shared" si="2"/>
        <v>0.65477036446309156</v>
      </c>
      <c r="L12" s="34">
        <f t="shared" si="0"/>
        <v>0.70466809459687851</v>
      </c>
      <c r="M12" s="34">
        <f t="shared" si="0"/>
        <v>0.46905004397063749</v>
      </c>
      <c r="N12" s="34">
        <f t="shared" si="0"/>
        <v>0.70487722324952251</v>
      </c>
      <c r="O12" s="11">
        <f>AVERAGEIF($B$19:$B$49,"일",D$19:D$49)</f>
        <v>87141845.25</v>
      </c>
      <c r="P12" s="11">
        <f>AVERAGEIF($B$19:$B$49,"일",E$19:E$49)</f>
        <v>8916037.5</v>
      </c>
      <c r="Q12" s="11">
        <f>AVERAGEIF($B$19:$B$49,"일",F$19:F$49)</f>
        <v>41384239.5</v>
      </c>
      <c r="R12" s="11">
        <f>AVERAGEIF($B$19:$B$49,"일",G$19:G$49)</f>
        <v>16448525.75</v>
      </c>
      <c r="S12" s="34">
        <f t="shared" si="3"/>
        <v>0.68220607251830023</v>
      </c>
      <c r="T12" s="34">
        <f t="shared" si="1"/>
        <v>0.71547141877768006</v>
      </c>
      <c r="U12" s="34">
        <f t="shared" si="1"/>
        <v>0.54805677895808624</v>
      </c>
      <c r="V12" s="34">
        <f t="shared" si="1"/>
        <v>0.85487320953368728</v>
      </c>
    </row>
    <row r="13" spans="2:22">
      <c r="B13" s="44" t="s">
        <v>44</v>
      </c>
      <c r="C13" s="33">
        <f>SUM(C6:C12)</f>
        <v>358176374</v>
      </c>
      <c r="D13" s="33">
        <f>SUM(D6:D12)</f>
        <v>37351230</v>
      </c>
      <c r="E13" s="33">
        <f>SUM(E6:E12)</f>
        <v>147012700</v>
      </c>
      <c r="F13" s="33">
        <f>SUM(F6:F12)</f>
        <v>83209631</v>
      </c>
      <c r="G13" s="35">
        <f>SUM(G6:G8,G11:G12)</f>
        <v>654225903</v>
      </c>
      <c r="H13" s="35">
        <f>SUM(H6:H8,H11:H12)</f>
        <v>66945590</v>
      </c>
      <c r="I13" s="35">
        <f>SUM(I6:I8,I11:I12)</f>
        <v>221866244</v>
      </c>
      <c r="J13" s="35">
        <f>SUM(J6:J8,J11:J12)</f>
        <v>95471218</v>
      </c>
      <c r="K13" s="36">
        <f>C13/G13</f>
        <v>0.54748118709081439</v>
      </c>
      <c r="L13" s="36">
        <f t="shared" si="0"/>
        <v>0.55793413725982544</v>
      </c>
      <c r="M13" s="36">
        <f t="shared" si="0"/>
        <v>0.66261860006067441</v>
      </c>
      <c r="N13" s="36">
        <f t="shared" si="0"/>
        <v>0.87156771164268587</v>
      </c>
      <c r="O13" s="35">
        <f>SUM(O6:O8,O11:O12)</f>
        <v>626295675.75</v>
      </c>
      <c r="P13" s="35">
        <f>SUM(P6:P8,P11:P12)</f>
        <v>72709519.5</v>
      </c>
      <c r="Q13" s="35">
        <f>SUM(Q6:Q8,Q11:Q12)</f>
        <v>216519554.09999999</v>
      </c>
      <c r="R13" s="35">
        <f>SUM(R6:R8,R11:R12)</f>
        <v>82922057.900000006</v>
      </c>
      <c r="S13" s="108">
        <f>C13/O13</f>
        <v>0.5718966102888664</v>
      </c>
      <c r="T13" s="108">
        <f t="shared" si="1"/>
        <v>0.51370481137617752</v>
      </c>
      <c r="U13" s="108">
        <f t="shared" si="1"/>
        <v>0.67898116921163565</v>
      </c>
      <c r="V13" s="108">
        <f t="shared" si="1"/>
        <v>1.0034679928029138</v>
      </c>
    </row>
    <row r="14" spans="2:22"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32"/>
      <c r="T14" s="132"/>
      <c r="U14" s="132"/>
      <c r="V14" s="132"/>
    </row>
    <row r="15" spans="2:22" ht="18.75" customHeight="1">
      <c r="B15" s="4" t="s">
        <v>37</v>
      </c>
      <c r="C15" s="5"/>
      <c r="D15" s="6"/>
      <c r="E15" s="6"/>
      <c r="F15" s="6"/>
      <c r="G15" s="6"/>
      <c r="H15" s="6"/>
      <c r="K15" s="6"/>
      <c r="L15" s="6"/>
      <c r="M15" s="6"/>
      <c r="N15" s="6"/>
      <c r="O15" s="6"/>
      <c r="P15" s="6"/>
      <c r="Q15" s="6"/>
      <c r="R15" s="6"/>
      <c r="S15" s="132"/>
      <c r="T15" s="107"/>
      <c r="U15" s="107"/>
      <c r="V15" s="107"/>
    </row>
    <row r="16" spans="2:22" ht="18.75" customHeight="1">
      <c r="B16" s="4"/>
      <c r="C16" s="5" t="s">
        <v>73</v>
      </c>
      <c r="D16" s="110">
        <f>MAX(D19:D49)</f>
        <v>160827104</v>
      </c>
      <c r="E16" s="110">
        <f>MAX(E19:E49)</f>
        <v>19065700</v>
      </c>
      <c r="F16" s="110">
        <f>MAX(F19:F49)</f>
        <v>50029402</v>
      </c>
      <c r="G16" s="110">
        <f>MAX(G19:G49)</f>
        <v>19040255</v>
      </c>
      <c r="H16" s="6"/>
      <c r="K16" s="6"/>
      <c r="L16" s="6"/>
      <c r="M16" s="6"/>
      <c r="N16" s="6"/>
      <c r="O16" s="6"/>
      <c r="P16" s="6"/>
      <c r="Q16" s="6"/>
      <c r="R16" s="6"/>
      <c r="S16" s="132"/>
      <c r="T16" s="107"/>
      <c r="U16" s="107"/>
      <c r="V16" s="107"/>
    </row>
    <row r="17" spans="2:22" ht="18.75" customHeight="1">
      <c r="B17" s="4"/>
      <c r="C17" s="5" t="s">
        <v>74</v>
      </c>
      <c r="D17" s="110">
        <f>MIN(D19:D49)</f>
        <v>83536798</v>
      </c>
      <c r="E17" s="110">
        <f>MIN(E19:E49)</f>
        <v>8785240</v>
      </c>
      <c r="F17" s="110">
        <f>MIN(F19:F49)</f>
        <v>32584719</v>
      </c>
      <c r="G17" s="110">
        <f>MIN(G19:G49)</f>
        <v>13805225</v>
      </c>
      <c r="H17" s="6"/>
      <c r="K17" s="6"/>
      <c r="L17" s="6"/>
      <c r="M17" s="6"/>
      <c r="N17" s="6"/>
      <c r="O17" s="6"/>
      <c r="P17" s="6"/>
      <c r="Q17" s="6"/>
      <c r="R17" s="6"/>
      <c r="S17" s="132"/>
      <c r="T17" s="107"/>
      <c r="U17" s="107"/>
      <c r="V17" s="107"/>
    </row>
    <row r="18" spans="2:22">
      <c r="B18" s="17" t="s">
        <v>35</v>
      </c>
      <c r="C18" s="17" t="s">
        <v>34</v>
      </c>
      <c r="D18" s="18" t="s">
        <v>3</v>
      </c>
      <c r="E18" s="18" t="s">
        <v>5</v>
      </c>
      <c r="F18" s="18" t="s">
        <v>6</v>
      </c>
      <c r="G18" s="18" t="s">
        <v>7</v>
      </c>
      <c r="H18" s="6"/>
      <c r="K18" s="6"/>
      <c r="L18" s="6"/>
      <c r="M18" s="6"/>
      <c r="N18" s="6"/>
      <c r="O18" s="6"/>
      <c r="P18" s="6"/>
      <c r="Q18" s="6"/>
      <c r="R18" s="185"/>
      <c r="S18" s="185"/>
      <c r="T18" s="185"/>
      <c r="U18" s="185"/>
      <c r="V18" s="107"/>
    </row>
    <row r="19" spans="2:22">
      <c r="B19" s="15" t="s">
        <v>49</v>
      </c>
      <c r="C19" s="14">
        <v>43313</v>
      </c>
      <c r="D19" s="12">
        <v>138493127</v>
      </c>
      <c r="E19" s="12">
        <v>16522940</v>
      </c>
      <c r="F19" s="12">
        <v>50029402</v>
      </c>
      <c r="G19" s="12">
        <v>19040255</v>
      </c>
      <c r="K19" s="6"/>
      <c r="L19" s="6"/>
      <c r="M19" s="6"/>
      <c r="N19" s="6"/>
      <c r="O19" s="6"/>
      <c r="P19" s="6"/>
      <c r="Q19" s="6"/>
      <c r="R19" s="6"/>
    </row>
    <row r="20" spans="2:22">
      <c r="B20" s="15" t="s">
        <v>13</v>
      </c>
      <c r="C20" s="16">
        <v>43314</v>
      </c>
      <c r="D20" s="12">
        <v>134608837</v>
      </c>
      <c r="E20" s="12">
        <v>16397420</v>
      </c>
      <c r="F20" s="12">
        <v>46091142</v>
      </c>
      <c r="G20" s="12">
        <v>17241981</v>
      </c>
      <c r="K20" s="6"/>
      <c r="L20" s="6"/>
      <c r="M20" s="6"/>
      <c r="N20" s="6"/>
      <c r="O20" s="6"/>
      <c r="P20" s="6"/>
      <c r="Q20" s="6"/>
      <c r="R20" s="6"/>
    </row>
    <row r="21" spans="2:22">
      <c r="B21" s="15" t="s">
        <v>14</v>
      </c>
      <c r="C21" s="16">
        <v>43315</v>
      </c>
      <c r="D21" s="12">
        <v>123122463</v>
      </c>
      <c r="E21" s="12">
        <v>15716090</v>
      </c>
      <c r="F21" s="12">
        <v>40312345</v>
      </c>
      <c r="G21" s="12">
        <v>15861065</v>
      </c>
      <c r="K21" s="6"/>
      <c r="L21" s="6"/>
      <c r="M21" s="6"/>
      <c r="N21" s="6"/>
      <c r="O21" s="6"/>
      <c r="P21" s="6"/>
      <c r="Q21" s="6"/>
      <c r="R21" s="6"/>
    </row>
    <row r="22" spans="2:22">
      <c r="B22" s="15" t="s">
        <v>8</v>
      </c>
      <c r="C22" s="16">
        <v>43316</v>
      </c>
      <c r="D22" s="12">
        <v>83551213</v>
      </c>
      <c r="E22" s="12">
        <v>9768630</v>
      </c>
      <c r="F22" s="12">
        <v>32584719</v>
      </c>
      <c r="G22" s="12">
        <v>15078827</v>
      </c>
      <c r="K22" s="6"/>
      <c r="L22" s="6"/>
      <c r="M22" s="6"/>
      <c r="N22" s="6"/>
      <c r="O22" s="6"/>
      <c r="P22" s="6"/>
      <c r="Q22" s="6"/>
      <c r="R22" s="6"/>
    </row>
    <row r="23" spans="2:22">
      <c r="B23" s="15" t="s">
        <v>9</v>
      </c>
      <c r="C23" s="16">
        <v>43317</v>
      </c>
      <c r="D23" s="12">
        <v>83536798</v>
      </c>
      <c r="E23" s="12">
        <v>9038830</v>
      </c>
      <c r="F23" s="12">
        <v>37003021</v>
      </c>
      <c r="G23" s="12">
        <v>16897633</v>
      </c>
      <c r="K23" s="6"/>
      <c r="L23" s="6"/>
      <c r="M23" s="6"/>
      <c r="N23" s="6"/>
      <c r="O23" s="6"/>
      <c r="P23" s="6"/>
      <c r="Q23" s="6"/>
      <c r="R23" s="6"/>
    </row>
    <row r="24" spans="2:22">
      <c r="B24" s="15" t="s">
        <v>10</v>
      </c>
      <c r="C24" s="16">
        <v>43318</v>
      </c>
      <c r="D24" s="12">
        <v>153350081</v>
      </c>
      <c r="E24" s="12">
        <v>18357090</v>
      </c>
      <c r="F24" s="12">
        <v>46638479</v>
      </c>
      <c r="G24" s="12">
        <v>18314962</v>
      </c>
      <c r="K24" s="6"/>
      <c r="L24" s="6"/>
      <c r="M24" s="6"/>
      <c r="N24" s="6"/>
      <c r="O24" s="6"/>
      <c r="P24" s="6"/>
      <c r="Q24" s="6"/>
      <c r="R24" s="6"/>
    </row>
    <row r="25" spans="2:22">
      <c r="B25" s="15" t="s">
        <v>11</v>
      </c>
      <c r="C25" s="16">
        <v>43319</v>
      </c>
      <c r="D25" s="12">
        <v>155089700</v>
      </c>
      <c r="E25" s="12">
        <v>18606230</v>
      </c>
      <c r="F25" s="12">
        <v>46581806</v>
      </c>
      <c r="G25" s="12">
        <v>17268012</v>
      </c>
      <c r="K25" s="6"/>
      <c r="L25" s="6"/>
      <c r="M25" s="6"/>
      <c r="N25" s="6"/>
      <c r="O25" s="6"/>
      <c r="P25" s="6"/>
      <c r="Q25" s="6"/>
      <c r="R25" s="6"/>
    </row>
    <row r="26" spans="2:22">
      <c r="B26" s="15" t="s">
        <v>12</v>
      </c>
      <c r="C26" s="16">
        <v>43320</v>
      </c>
      <c r="D26" s="12">
        <v>152927659</v>
      </c>
      <c r="E26" s="12">
        <v>18217270</v>
      </c>
      <c r="F26" s="12">
        <v>44916297</v>
      </c>
      <c r="G26" s="12">
        <v>16980065</v>
      </c>
      <c r="K26" s="6"/>
      <c r="L26" s="6"/>
      <c r="M26" s="6"/>
      <c r="N26" s="6"/>
      <c r="O26" s="6"/>
      <c r="P26" s="6"/>
      <c r="Q26" s="6"/>
      <c r="R26" s="6"/>
    </row>
    <row r="27" spans="2:22">
      <c r="B27" s="15" t="s">
        <v>13</v>
      </c>
      <c r="C27" s="16">
        <v>43321</v>
      </c>
      <c r="D27" s="12">
        <v>150686075</v>
      </c>
      <c r="E27" s="12">
        <v>18406090</v>
      </c>
      <c r="F27" s="12">
        <v>41608697</v>
      </c>
      <c r="G27" s="12">
        <v>17150279</v>
      </c>
      <c r="K27" s="6"/>
      <c r="L27" s="6"/>
      <c r="M27" s="6"/>
      <c r="N27" s="6"/>
      <c r="O27" s="6"/>
      <c r="P27" s="6"/>
      <c r="Q27" s="6"/>
      <c r="R27" s="6"/>
    </row>
    <row r="28" spans="2:22">
      <c r="B28" s="15" t="s">
        <v>14</v>
      </c>
      <c r="C28" s="16">
        <v>43322</v>
      </c>
      <c r="D28" s="12">
        <v>138868684</v>
      </c>
      <c r="E28" s="12">
        <v>16517360</v>
      </c>
      <c r="F28" s="12">
        <v>39967891</v>
      </c>
      <c r="G28" s="12">
        <v>14678601</v>
      </c>
      <c r="K28" s="6"/>
      <c r="L28" s="6"/>
      <c r="M28" s="6"/>
      <c r="N28" s="6"/>
      <c r="O28" s="6"/>
      <c r="P28" s="6"/>
      <c r="Q28" s="6"/>
      <c r="R28" s="6"/>
    </row>
    <row r="29" spans="2:22">
      <c r="B29" s="15" t="s">
        <v>8</v>
      </c>
      <c r="C29" s="16">
        <v>43323</v>
      </c>
      <c r="D29" s="12">
        <v>86852710</v>
      </c>
      <c r="E29" s="12">
        <v>9764590</v>
      </c>
      <c r="F29" s="12">
        <v>33392373</v>
      </c>
      <c r="G29" s="12">
        <v>17202994</v>
      </c>
      <c r="K29" s="6"/>
      <c r="L29" s="6"/>
      <c r="M29" s="6"/>
      <c r="N29" s="6"/>
      <c r="O29" s="6"/>
      <c r="P29" s="6"/>
      <c r="Q29" s="6"/>
      <c r="R29" s="6"/>
    </row>
    <row r="30" spans="2:22">
      <c r="B30" s="15" t="s">
        <v>9</v>
      </c>
      <c r="C30" s="16">
        <v>43324</v>
      </c>
      <c r="D30" s="12">
        <v>87218789</v>
      </c>
      <c r="E30" s="12">
        <v>8785240</v>
      </c>
      <c r="F30" s="12">
        <v>40582079</v>
      </c>
      <c r="G30" s="12">
        <v>16622333</v>
      </c>
      <c r="K30" s="6"/>
      <c r="L30" s="6"/>
      <c r="M30" s="6"/>
      <c r="N30" s="6"/>
      <c r="O30" s="6"/>
      <c r="P30" s="6"/>
      <c r="Q30" s="6"/>
      <c r="R30" s="6"/>
    </row>
    <row r="31" spans="2:22">
      <c r="B31" s="15" t="s">
        <v>10</v>
      </c>
      <c r="C31" s="16">
        <v>43325</v>
      </c>
      <c r="D31" s="12">
        <v>157754979</v>
      </c>
      <c r="E31" s="12">
        <v>18302270</v>
      </c>
      <c r="F31" s="12">
        <v>45661599</v>
      </c>
      <c r="G31" s="12">
        <v>16589318</v>
      </c>
      <c r="K31" s="6"/>
      <c r="L31" s="6"/>
      <c r="M31" s="6"/>
      <c r="N31" s="6"/>
      <c r="O31" s="6"/>
      <c r="P31" s="6"/>
      <c r="Q31" s="6"/>
      <c r="R31" s="6"/>
    </row>
    <row r="32" spans="2:22">
      <c r="B32" s="15" t="s">
        <v>11</v>
      </c>
      <c r="C32" s="16">
        <v>43326</v>
      </c>
      <c r="D32" s="12">
        <v>150182166</v>
      </c>
      <c r="E32" s="12">
        <v>18106760</v>
      </c>
      <c r="F32" s="12">
        <v>40574338</v>
      </c>
      <c r="G32" s="12">
        <v>14763373</v>
      </c>
      <c r="K32" s="6"/>
      <c r="L32" s="6"/>
      <c r="M32" s="6"/>
      <c r="N32" s="6"/>
      <c r="O32" s="6"/>
      <c r="P32" s="6"/>
      <c r="Q32" s="6"/>
      <c r="R32" s="6"/>
    </row>
    <row r="33" spans="2:18">
      <c r="B33" s="15" t="s">
        <v>12</v>
      </c>
      <c r="C33" s="16">
        <v>43327</v>
      </c>
      <c r="D33" s="12">
        <v>107448365</v>
      </c>
      <c r="E33" s="12">
        <v>12347860</v>
      </c>
      <c r="F33" s="12">
        <v>44569080</v>
      </c>
      <c r="G33" s="12">
        <v>18144105</v>
      </c>
      <c r="K33" s="6"/>
      <c r="L33" s="6"/>
      <c r="M33" s="6"/>
      <c r="N33" s="6"/>
      <c r="O33" s="6"/>
      <c r="P33" s="6"/>
      <c r="Q33" s="6"/>
      <c r="R33" s="6"/>
    </row>
    <row r="34" spans="2:18">
      <c r="B34" s="15" t="s">
        <v>13</v>
      </c>
      <c r="C34" s="16">
        <v>43328</v>
      </c>
      <c r="D34" s="12">
        <v>151551292</v>
      </c>
      <c r="E34" s="12">
        <v>17790090</v>
      </c>
      <c r="F34" s="12">
        <v>44682183</v>
      </c>
      <c r="G34" s="12">
        <v>15763587</v>
      </c>
      <c r="K34" s="6"/>
      <c r="L34" s="6"/>
      <c r="M34" s="6"/>
      <c r="N34" s="6"/>
      <c r="O34" s="6"/>
      <c r="P34" s="6"/>
      <c r="Q34" s="6"/>
      <c r="R34" s="6"/>
    </row>
    <row r="35" spans="2:18">
      <c r="B35" s="15" t="s">
        <v>14</v>
      </c>
      <c r="C35" s="16">
        <v>43329</v>
      </c>
      <c r="D35" s="12">
        <v>141083955</v>
      </c>
      <c r="E35" s="12">
        <v>16970980</v>
      </c>
      <c r="F35" s="12">
        <v>41262465</v>
      </c>
      <c r="G35" s="12">
        <v>13805225</v>
      </c>
      <c r="K35" s="6"/>
      <c r="L35" s="6"/>
      <c r="M35" s="6"/>
      <c r="N35" s="6"/>
      <c r="O35" s="6"/>
      <c r="P35" s="6"/>
      <c r="Q35" s="6"/>
      <c r="R35" s="6"/>
    </row>
    <row r="36" spans="2:18">
      <c r="B36" s="15" t="s">
        <v>8</v>
      </c>
      <c r="C36" s="16">
        <v>43330</v>
      </c>
      <c r="D36" s="12">
        <v>92145195</v>
      </c>
      <c r="E36" s="12">
        <v>9681090</v>
      </c>
      <c r="F36" s="12">
        <v>45624646</v>
      </c>
      <c r="G36" s="12">
        <v>14495486</v>
      </c>
      <c r="K36" s="6"/>
      <c r="L36" s="6"/>
      <c r="M36" s="6"/>
      <c r="N36" s="6"/>
      <c r="O36" s="6"/>
      <c r="P36" s="6"/>
      <c r="Q36" s="6"/>
      <c r="R36" s="6"/>
    </row>
    <row r="37" spans="2:18">
      <c r="B37" s="15" t="s">
        <v>9</v>
      </c>
      <c r="C37" s="16">
        <v>43331</v>
      </c>
      <c r="D37" s="12">
        <v>87166768</v>
      </c>
      <c r="E37" s="12">
        <v>8828820</v>
      </c>
      <c r="F37" s="12">
        <v>42586728</v>
      </c>
      <c r="G37" s="12">
        <v>15671577</v>
      </c>
      <c r="K37" s="6"/>
      <c r="L37" s="6"/>
      <c r="M37" s="6"/>
      <c r="N37" s="6"/>
      <c r="O37" s="6"/>
      <c r="P37" s="6"/>
      <c r="Q37" s="6"/>
      <c r="R37" s="6"/>
    </row>
    <row r="38" spans="2:18">
      <c r="B38" s="15" t="s">
        <v>10</v>
      </c>
      <c r="C38" s="16">
        <v>43332</v>
      </c>
      <c r="D38" s="12">
        <v>160827104</v>
      </c>
      <c r="E38" s="12">
        <v>18695080</v>
      </c>
      <c r="F38" s="12">
        <v>47952537</v>
      </c>
      <c r="G38" s="12">
        <v>16345058</v>
      </c>
      <c r="K38" s="6"/>
      <c r="L38" s="6"/>
      <c r="M38" s="6"/>
      <c r="N38" s="6"/>
      <c r="O38" s="6"/>
      <c r="P38" s="6"/>
      <c r="Q38" s="6"/>
      <c r="R38" s="6"/>
    </row>
    <row r="39" spans="2:18">
      <c r="B39" s="15" t="s">
        <v>11</v>
      </c>
      <c r="C39" s="16">
        <v>43333</v>
      </c>
      <c r="D39" s="12">
        <v>155016102</v>
      </c>
      <c r="E39" s="12">
        <v>18734430</v>
      </c>
      <c r="F39" s="12">
        <v>45470896</v>
      </c>
      <c r="G39" s="12">
        <v>16110368</v>
      </c>
      <c r="K39" s="6"/>
      <c r="L39" s="6"/>
      <c r="M39" s="6"/>
      <c r="N39" s="6"/>
      <c r="O39" s="6"/>
      <c r="P39" s="6"/>
      <c r="Q39" s="6"/>
      <c r="R39" s="6"/>
    </row>
    <row r="40" spans="2:18">
      <c r="B40" s="15" t="s">
        <v>12</v>
      </c>
      <c r="C40" s="16">
        <v>43334</v>
      </c>
      <c r="D40" s="12">
        <v>151384503</v>
      </c>
      <c r="E40" s="12">
        <v>18720070</v>
      </c>
      <c r="F40" s="12">
        <v>44304899</v>
      </c>
      <c r="G40" s="12">
        <v>17795537</v>
      </c>
      <c r="K40" s="6"/>
      <c r="L40" s="6"/>
      <c r="M40" s="6"/>
      <c r="N40" s="6"/>
      <c r="O40" s="6"/>
      <c r="P40" s="6"/>
      <c r="Q40" s="6"/>
      <c r="R40" s="6"/>
    </row>
    <row r="41" spans="2:18">
      <c r="B41" s="15" t="s">
        <v>13</v>
      </c>
      <c r="C41" s="16">
        <v>43335</v>
      </c>
      <c r="D41" s="12">
        <v>142907846</v>
      </c>
      <c r="E41" s="12">
        <v>18498810</v>
      </c>
      <c r="F41" s="12">
        <v>42911646</v>
      </c>
      <c r="G41" s="12">
        <v>15968387</v>
      </c>
      <c r="K41" s="6"/>
      <c r="L41" s="6"/>
      <c r="M41" s="6"/>
      <c r="N41" s="6"/>
      <c r="O41" s="6"/>
      <c r="P41" s="6"/>
      <c r="Q41" s="6"/>
      <c r="R41" s="6"/>
    </row>
    <row r="42" spans="2:18">
      <c r="B42" s="15" t="s">
        <v>14</v>
      </c>
      <c r="C42" s="16">
        <v>43336</v>
      </c>
      <c r="D42" s="12">
        <v>139750128</v>
      </c>
      <c r="E42" s="12">
        <v>17863990</v>
      </c>
      <c r="F42" s="12">
        <v>41806280</v>
      </c>
      <c r="G42" s="12">
        <v>15268905</v>
      </c>
      <c r="K42" s="6"/>
      <c r="L42" s="6"/>
      <c r="M42" s="6"/>
      <c r="N42" s="6"/>
      <c r="O42" s="6"/>
      <c r="P42" s="6"/>
      <c r="Q42" s="6"/>
      <c r="R42" s="6"/>
    </row>
    <row r="43" spans="2:18">
      <c r="B43" s="15" t="s">
        <v>8</v>
      </c>
      <c r="C43" s="16">
        <v>43337</v>
      </c>
      <c r="D43" s="12">
        <v>91398525</v>
      </c>
      <c r="E43" s="12">
        <v>10383050</v>
      </c>
      <c r="F43" s="12">
        <v>37558235</v>
      </c>
      <c r="G43" s="12">
        <v>15104898</v>
      </c>
      <c r="K43" s="6"/>
      <c r="L43" s="6"/>
      <c r="M43" s="6"/>
      <c r="N43" s="6"/>
      <c r="O43" s="6"/>
      <c r="P43" s="6"/>
      <c r="Q43" s="6"/>
      <c r="R43" s="6"/>
    </row>
    <row r="44" spans="2:18">
      <c r="B44" s="15" t="s">
        <v>9</v>
      </c>
      <c r="C44" s="16">
        <v>43338</v>
      </c>
      <c r="D44" s="12">
        <v>90645026</v>
      </c>
      <c r="E44" s="12">
        <v>9011260</v>
      </c>
      <c r="F44" s="12">
        <v>45365130</v>
      </c>
      <c r="G44" s="12">
        <v>16602560</v>
      </c>
      <c r="K44" s="6"/>
      <c r="L44" s="6"/>
      <c r="M44" s="6"/>
      <c r="N44" s="6"/>
      <c r="O44" s="6"/>
      <c r="P44" s="6"/>
      <c r="Q44" s="6"/>
      <c r="R44" s="6"/>
    </row>
    <row r="45" spans="2:18">
      <c r="B45" s="15" t="s">
        <v>10</v>
      </c>
      <c r="C45" s="16">
        <v>43339</v>
      </c>
      <c r="D45" s="12">
        <v>154080923</v>
      </c>
      <c r="E45" s="12">
        <v>19062160</v>
      </c>
      <c r="F45" s="12">
        <v>48774105</v>
      </c>
      <c r="G45" s="12">
        <v>16631622</v>
      </c>
      <c r="K45" s="6"/>
      <c r="L45" s="6"/>
      <c r="M45" s="6"/>
      <c r="N45" s="6"/>
      <c r="O45" s="6"/>
      <c r="P45" s="6"/>
      <c r="Q45" s="6"/>
      <c r="R45" s="6"/>
    </row>
    <row r="46" spans="2:18">
      <c r="B46" s="15" t="s">
        <v>11</v>
      </c>
      <c r="C46" s="16">
        <v>43340</v>
      </c>
      <c r="D46" s="12">
        <v>156320944</v>
      </c>
      <c r="E46" s="12">
        <v>19065700</v>
      </c>
      <c r="F46" s="12">
        <v>45462851</v>
      </c>
      <c r="G46" s="12">
        <v>16090833</v>
      </c>
      <c r="K46" s="6"/>
      <c r="L46" s="6"/>
      <c r="M46" s="6"/>
      <c r="N46" s="6"/>
      <c r="O46" s="6"/>
      <c r="P46" s="6"/>
      <c r="Q46" s="6"/>
      <c r="R46" s="6"/>
    </row>
    <row r="47" spans="2:18">
      <c r="B47" s="15" t="s">
        <v>12</v>
      </c>
      <c r="C47" s="16">
        <v>43341</v>
      </c>
      <c r="D47" s="12">
        <v>149803446</v>
      </c>
      <c r="E47" s="12">
        <v>17500420</v>
      </c>
      <c r="F47" s="12">
        <v>46511165</v>
      </c>
      <c r="G47" s="12">
        <v>17913010</v>
      </c>
      <c r="K47" s="6"/>
      <c r="L47" s="6"/>
      <c r="M47" s="6"/>
      <c r="N47" s="6"/>
      <c r="O47" s="6"/>
      <c r="P47" s="6"/>
      <c r="Q47" s="6"/>
      <c r="R47" s="6"/>
    </row>
    <row r="48" spans="2:18">
      <c r="B48" s="15" t="s">
        <v>13</v>
      </c>
      <c r="C48" s="16">
        <v>43342</v>
      </c>
      <c r="D48" s="12">
        <v>150632070</v>
      </c>
      <c r="E48" s="12">
        <v>17601490</v>
      </c>
      <c r="F48" s="12">
        <v>47330052</v>
      </c>
      <c r="G48" s="12">
        <v>15274072</v>
      </c>
      <c r="K48" s="6"/>
      <c r="L48" s="6"/>
      <c r="M48" s="6"/>
      <c r="N48" s="6"/>
      <c r="O48" s="6"/>
      <c r="P48" s="6"/>
      <c r="Q48" s="6"/>
      <c r="R48" s="6"/>
    </row>
    <row r="49" spans="2:18">
      <c r="B49" s="15" t="s">
        <v>14</v>
      </c>
      <c r="C49" s="16">
        <v>43343</v>
      </c>
      <c r="D49" s="12">
        <v>138258235</v>
      </c>
      <c r="E49" s="12">
        <v>16596180</v>
      </c>
      <c r="F49" s="12">
        <v>42603641</v>
      </c>
      <c r="G49" s="12">
        <v>14463611</v>
      </c>
      <c r="K49" s="6"/>
      <c r="L49" s="6"/>
      <c r="M49" s="6"/>
      <c r="N49" s="6"/>
      <c r="O49" s="6"/>
      <c r="P49" s="6"/>
      <c r="Q49" s="6"/>
      <c r="R49" s="6"/>
    </row>
    <row r="50" spans="2:18">
      <c r="B50" s="418" t="s">
        <v>2</v>
      </c>
      <c r="C50" s="419"/>
      <c r="D50" s="45">
        <f>SUM(D19:D49)</f>
        <v>4056663708</v>
      </c>
      <c r="E50" s="45">
        <f>SUM(E19:E49)</f>
        <v>479858290</v>
      </c>
      <c r="F50" s="45">
        <f>SUM(F19:F49)</f>
        <v>1340720727</v>
      </c>
      <c r="G50" s="45">
        <f>SUM(G19:G49)</f>
        <v>505138539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2:18">
      <c r="B51" s="46" t="s">
        <v>8</v>
      </c>
      <c r="C51" s="47">
        <v>43344</v>
      </c>
      <c r="D51" s="40">
        <v>87443811</v>
      </c>
      <c r="E51" s="40">
        <v>9180820</v>
      </c>
      <c r="F51" s="40">
        <v>41649637</v>
      </c>
      <c r="G51" s="40">
        <v>16945418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2:18">
      <c r="B52" s="46" t="s">
        <v>9</v>
      </c>
      <c r="C52" s="47">
        <v>43345</v>
      </c>
      <c r="D52" s="40">
        <v>85796706</v>
      </c>
      <c r="E52" s="40">
        <v>8780730</v>
      </c>
      <c r="F52" s="40">
        <v>45817579</v>
      </c>
      <c r="G52" s="40">
        <v>18720340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2:18">
      <c r="B53" s="46" t="s">
        <v>10</v>
      </c>
      <c r="C53" s="47">
        <v>43346</v>
      </c>
      <c r="D53" s="40">
        <v>163252650</v>
      </c>
      <c r="E53" s="40">
        <v>19240930</v>
      </c>
      <c r="F53" s="40">
        <v>52935878</v>
      </c>
      <c r="G53" s="40">
        <v>21175787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2:18">
      <c r="B54" s="46" t="s">
        <v>11</v>
      </c>
      <c r="C54" s="47">
        <v>43347</v>
      </c>
      <c r="D54" s="40">
        <v>164344332</v>
      </c>
      <c r="E54" s="40">
        <v>19468790</v>
      </c>
      <c r="F54" s="40">
        <v>47691113</v>
      </c>
      <c r="G54" s="40">
        <v>20507475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2:18">
      <c r="B55" s="46" t="s">
        <v>12</v>
      </c>
      <c r="C55" s="47">
        <v>43348</v>
      </c>
      <c r="D55" s="40">
        <v>158302680</v>
      </c>
      <c r="E55" s="40">
        <v>17931750</v>
      </c>
      <c r="F55" s="40">
        <v>45917927</v>
      </c>
      <c r="G55" s="40">
        <v>19078317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2:18">
      <c r="B56" s="46" t="s">
        <v>13</v>
      </c>
      <c r="C56" s="47">
        <v>43349</v>
      </c>
      <c r="D56" s="40">
        <v>157634933</v>
      </c>
      <c r="E56" s="40">
        <v>18200810</v>
      </c>
      <c r="F56" s="40">
        <v>46521328</v>
      </c>
      <c r="G56" s="40">
        <v>18967637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2:18">
      <c r="B57" s="46" t="s">
        <v>14</v>
      </c>
      <c r="C57" s="47">
        <v>43350</v>
      </c>
      <c r="D57" s="40">
        <v>142009337</v>
      </c>
      <c r="E57" s="40">
        <v>17083580</v>
      </c>
      <c r="F57" s="40">
        <v>44531406</v>
      </c>
      <c r="G57" s="40">
        <v>17832060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>
      <c r="B58" s="46" t="s">
        <v>8</v>
      </c>
      <c r="C58" s="47">
        <v>43351</v>
      </c>
      <c r="D58" s="40">
        <v>90201432</v>
      </c>
      <c r="E58" s="40">
        <v>9529450</v>
      </c>
      <c r="F58" s="40">
        <v>39082362</v>
      </c>
      <c r="G58" s="40">
        <v>18082339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2:18">
      <c r="B59" s="46" t="s">
        <v>9</v>
      </c>
      <c r="C59" s="47">
        <v>43352</v>
      </c>
      <c r="D59" s="40">
        <v>89320379</v>
      </c>
      <c r="E59" s="40">
        <v>8416920</v>
      </c>
      <c r="F59" s="40">
        <v>45278428</v>
      </c>
      <c r="G59" s="40">
        <v>19798846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2:18">
      <c r="B60" s="46" t="s">
        <v>10</v>
      </c>
      <c r="C60" s="47">
        <v>43353</v>
      </c>
      <c r="D60" s="40">
        <v>167438693</v>
      </c>
      <c r="E60" s="40">
        <v>18340460</v>
      </c>
      <c r="F60" s="40">
        <v>53021819</v>
      </c>
      <c r="G60" s="40">
        <v>21742596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2:18">
      <c r="B61" s="46" t="s">
        <v>11</v>
      </c>
      <c r="C61" s="47">
        <v>43354</v>
      </c>
      <c r="D61" s="40">
        <v>164377372</v>
      </c>
      <c r="E61" s="40">
        <v>18521910</v>
      </c>
      <c r="F61" s="40">
        <v>51936923</v>
      </c>
      <c r="G61" s="40">
        <v>26155751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2:18">
      <c r="B62" s="46" t="s">
        <v>12</v>
      </c>
      <c r="C62" s="47">
        <v>43355</v>
      </c>
      <c r="D62" s="40">
        <v>161301345</v>
      </c>
      <c r="E62" s="40">
        <v>17403710</v>
      </c>
      <c r="F62" s="40">
        <v>50642594</v>
      </c>
      <c r="G62" s="40">
        <v>20402364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2:18">
      <c r="B63" s="46" t="s">
        <v>13</v>
      </c>
      <c r="C63" s="47">
        <v>43356</v>
      </c>
      <c r="D63" s="40">
        <v>156981935</v>
      </c>
      <c r="E63" s="40">
        <v>17192160</v>
      </c>
      <c r="F63" s="40">
        <v>47306759</v>
      </c>
      <c r="G63" s="40">
        <v>19348658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2:18">
      <c r="B64" s="46" t="s">
        <v>14</v>
      </c>
      <c r="C64" s="47">
        <v>43357</v>
      </c>
      <c r="D64" s="40">
        <v>146403435</v>
      </c>
      <c r="E64" s="40">
        <v>16459520</v>
      </c>
      <c r="F64" s="40">
        <v>46697173</v>
      </c>
      <c r="G64" s="40">
        <v>18476920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2:18">
      <c r="B65" s="46" t="s">
        <v>8</v>
      </c>
      <c r="C65" s="47">
        <v>43358</v>
      </c>
      <c r="D65" s="40">
        <v>92771161</v>
      </c>
      <c r="E65" s="40">
        <v>9518790</v>
      </c>
      <c r="F65" s="40">
        <v>41715628</v>
      </c>
      <c r="G65" s="40">
        <v>18479528</v>
      </c>
      <c r="H65" s="6"/>
      <c r="J65" s="6"/>
      <c r="K65" s="6"/>
      <c r="L65" s="6"/>
      <c r="M65" s="6"/>
      <c r="N65" s="6"/>
      <c r="O65" s="6"/>
      <c r="P65" s="6"/>
      <c r="Q65" s="6"/>
      <c r="R65" s="6"/>
    </row>
    <row r="66" spans="2:18">
      <c r="B66" s="46" t="s">
        <v>9</v>
      </c>
      <c r="C66" s="47">
        <v>43359</v>
      </c>
      <c r="D66" s="40">
        <v>90129549</v>
      </c>
      <c r="E66" s="40">
        <v>8965420</v>
      </c>
      <c r="F66" s="40">
        <v>47793330</v>
      </c>
      <c r="G66" s="40">
        <v>19948728</v>
      </c>
      <c r="H66" s="6"/>
      <c r="J66" s="6"/>
      <c r="K66" s="6"/>
      <c r="L66" s="6"/>
      <c r="M66" s="6"/>
      <c r="N66" s="6"/>
      <c r="O66" s="6"/>
      <c r="P66" s="6"/>
      <c r="Q66" s="6"/>
      <c r="R66" s="6"/>
    </row>
    <row r="67" spans="2:18">
      <c r="B67" s="46" t="s">
        <v>10</v>
      </c>
      <c r="C67" s="47">
        <v>43360</v>
      </c>
      <c r="D67" s="40">
        <v>167834984</v>
      </c>
      <c r="E67" s="40">
        <v>17093960</v>
      </c>
      <c r="F67" s="40">
        <v>48520455</v>
      </c>
      <c r="G67" s="40">
        <v>19708185</v>
      </c>
      <c r="H67" s="6"/>
      <c r="J67" s="6"/>
      <c r="K67" s="6"/>
      <c r="L67" s="6"/>
      <c r="M67" s="6"/>
      <c r="N67" s="6"/>
      <c r="O67" s="6"/>
      <c r="P67" s="6"/>
      <c r="Q67" s="6"/>
      <c r="R67" s="6"/>
    </row>
    <row r="68" spans="2:18">
      <c r="B68" s="46" t="s">
        <v>11</v>
      </c>
      <c r="C68" s="47">
        <v>43361</v>
      </c>
      <c r="D68" s="40">
        <v>157014875</v>
      </c>
      <c r="E68" s="40">
        <v>15819010</v>
      </c>
      <c r="F68" s="40">
        <v>43933614</v>
      </c>
      <c r="G68" s="40">
        <v>18677976</v>
      </c>
      <c r="H68" s="6"/>
      <c r="J68" s="6"/>
      <c r="K68" s="6"/>
      <c r="L68" s="6"/>
      <c r="M68" s="6"/>
      <c r="N68" s="6"/>
      <c r="O68" s="6"/>
      <c r="P68" s="6"/>
      <c r="Q68" s="6"/>
      <c r="R68" s="6"/>
    </row>
    <row r="69" spans="2:18">
      <c r="B69" s="46" t="s">
        <v>12</v>
      </c>
      <c r="C69" s="47">
        <v>43362</v>
      </c>
      <c r="D69" s="40">
        <v>142973150</v>
      </c>
      <c r="E69" s="40">
        <v>15175170</v>
      </c>
      <c r="F69" s="40">
        <v>37382613</v>
      </c>
      <c r="G69" s="40">
        <v>18656801</v>
      </c>
      <c r="H69" s="6"/>
      <c r="J69" s="6"/>
      <c r="K69" s="6"/>
      <c r="L69" s="6"/>
      <c r="M69" s="6"/>
      <c r="N69" s="6"/>
      <c r="O69" s="6"/>
      <c r="P69" s="6"/>
      <c r="Q69" s="6"/>
      <c r="R69" s="6"/>
    </row>
    <row r="70" spans="2:18">
      <c r="B70" s="46" t="s">
        <v>13</v>
      </c>
      <c r="C70" s="47">
        <v>43363</v>
      </c>
      <c r="D70" s="40">
        <v>134633744</v>
      </c>
      <c r="E70" s="40">
        <v>15757630</v>
      </c>
      <c r="F70" s="40">
        <v>32518427</v>
      </c>
      <c r="G70" s="40">
        <v>16765212</v>
      </c>
      <c r="H70" s="6"/>
      <c r="J70" s="6"/>
      <c r="K70" s="6"/>
      <c r="L70" s="6"/>
      <c r="M70" s="6"/>
      <c r="N70" s="6"/>
      <c r="O70" s="6"/>
      <c r="P70" s="6"/>
      <c r="Q70" s="6"/>
      <c r="R70" s="6"/>
    </row>
    <row r="71" spans="2:18">
      <c r="B71" s="46" t="s">
        <v>14</v>
      </c>
      <c r="C71" s="47">
        <v>43364</v>
      </c>
      <c r="D71" s="40">
        <v>112678726</v>
      </c>
      <c r="E71" s="40">
        <v>13879400</v>
      </c>
      <c r="F71" s="40">
        <v>25765503</v>
      </c>
      <c r="G71" s="40">
        <v>14548052</v>
      </c>
      <c r="H71" s="6"/>
      <c r="J71" s="6"/>
      <c r="K71" s="6"/>
      <c r="L71" s="6"/>
      <c r="M71" s="6"/>
      <c r="N71" s="6"/>
      <c r="O71" s="6"/>
      <c r="P71" s="6"/>
      <c r="Q71" s="6"/>
      <c r="R71" s="6"/>
    </row>
    <row r="72" spans="2:18">
      <c r="B72" s="48" t="s">
        <v>15</v>
      </c>
      <c r="C72" s="49">
        <v>43365</v>
      </c>
      <c r="D72" s="50">
        <v>69651317</v>
      </c>
      <c r="E72" s="50">
        <v>7394140</v>
      </c>
      <c r="F72" s="50">
        <v>23880720</v>
      </c>
      <c r="G72" s="50">
        <v>14554674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2:18">
      <c r="B73" s="48" t="s">
        <v>16</v>
      </c>
      <c r="C73" s="49">
        <v>43366</v>
      </c>
      <c r="D73" s="50">
        <v>58793396</v>
      </c>
      <c r="E73" s="50">
        <v>6321650</v>
      </c>
      <c r="F73" s="50">
        <v>22395323</v>
      </c>
      <c r="G73" s="50">
        <v>14061404</v>
      </c>
      <c r="H73" s="6"/>
      <c r="J73" s="6"/>
      <c r="K73" s="6"/>
      <c r="L73" s="6"/>
      <c r="M73" s="6"/>
      <c r="N73" s="6"/>
      <c r="O73" s="6"/>
      <c r="P73" s="6"/>
      <c r="Q73" s="6"/>
      <c r="R73" s="6"/>
    </row>
    <row r="74" spans="2:18">
      <c r="B74" s="48" t="s">
        <v>17</v>
      </c>
      <c r="C74" s="49">
        <v>43367</v>
      </c>
      <c r="D74" s="50">
        <v>62105661</v>
      </c>
      <c r="E74" s="50">
        <v>6342250</v>
      </c>
      <c r="F74" s="50">
        <v>23840688</v>
      </c>
      <c r="G74" s="50">
        <v>14515291</v>
      </c>
    </row>
    <row r="75" spans="2:18">
      <c r="B75" s="48" t="s">
        <v>18</v>
      </c>
      <c r="C75" s="49">
        <v>43368</v>
      </c>
      <c r="D75" s="50">
        <v>73700751</v>
      </c>
      <c r="E75" s="50">
        <v>7842870</v>
      </c>
      <c r="F75" s="50">
        <v>32247792</v>
      </c>
      <c r="G75" s="50">
        <v>19145762</v>
      </c>
    </row>
    <row r="76" spans="2:18">
      <c r="B76" s="48" t="s">
        <v>19</v>
      </c>
      <c r="C76" s="49">
        <v>43369</v>
      </c>
      <c r="D76" s="50">
        <v>90921789</v>
      </c>
      <c r="E76" s="50">
        <v>9100080</v>
      </c>
      <c r="F76" s="50">
        <v>42827820</v>
      </c>
      <c r="G76" s="50">
        <v>20932500</v>
      </c>
    </row>
    <row r="77" spans="2:18">
      <c r="B77" s="46" t="s">
        <v>13</v>
      </c>
      <c r="C77" s="47">
        <v>43370</v>
      </c>
      <c r="D77" s="40">
        <v>167345187</v>
      </c>
      <c r="E77" s="40">
        <v>18179100</v>
      </c>
      <c r="F77" s="40">
        <v>50905771</v>
      </c>
      <c r="G77" s="40">
        <v>23506446</v>
      </c>
    </row>
    <row r="78" spans="2:18">
      <c r="B78" s="46" t="s">
        <v>14</v>
      </c>
      <c r="C78" s="47">
        <v>43371</v>
      </c>
      <c r="D78" s="40">
        <v>151507199</v>
      </c>
      <c r="E78" s="40">
        <v>16353940</v>
      </c>
      <c r="F78" s="40">
        <v>44562873</v>
      </c>
      <c r="G78" s="40">
        <v>21345619</v>
      </c>
    </row>
    <row r="79" spans="2:18">
      <c r="B79" s="46" t="s">
        <v>8</v>
      </c>
      <c r="C79" s="47">
        <v>43372</v>
      </c>
      <c r="D79" s="40">
        <v>94174678</v>
      </c>
      <c r="E79" s="40">
        <v>9899470</v>
      </c>
      <c r="F79" s="40">
        <v>39392983</v>
      </c>
      <c r="G79" s="40">
        <v>21601281</v>
      </c>
    </row>
    <row r="80" spans="2:18">
      <c r="B80" s="46" t="s">
        <v>9</v>
      </c>
      <c r="C80" s="47">
        <v>43373</v>
      </c>
      <c r="D80" s="40">
        <v>88251760</v>
      </c>
      <c r="E80" s="40">
        <v>8683000</v>
      </c>
      <c r="F80" s="40">
        <v>41704635</v>
      </c>
      <c r="G80" s="40">
        <v>22352350</v>
      </c>
    </row>
    <row r="81" spans="2:7">
      <c r="B81" s="46" t="s">
        <v>10</v>
      </c>
      <c r="C81" s="47">
        <v>43374</v>
      </c>
      <c r="D81" s="40">
        <v>169538451</v>
      </c>
      <c r="E81" s="40">
        <v>17500140</v>
      </c>
      <c r="F81" s="40">
        <v>54877145</v>
      </c>
      <c r="G81" s="40">
        <v>20468389</v>
      </c>
    </row>
    <row r="82" spans="2:7">
      <c r="B82" s="46" t="s">
        <v>11</v>
      </c>
      <c r="C82" s="47">
        <v>43375</v>
      </c>
      <c r="D82" s="40">
        <v>163546756</v>
      </c>
      <c r="E82" s="40">
        <v>17824760</v>
      </c>
      <c r="F82" s="40">
        <v>47397681</v>
      </c>
      <c r="G82" s="40">
        <v>18147716</v>
      </c>
    </row>
    <row r="83" spans="2:7">
      <c r="B83" s="46" t="s">
        <v>12</v>
      </c>
      <c r="C83" s="47">
        <v>43376</v>
      </c>
      <c r="D83" s="40">
        <v>107671948</v>
      </c>
      <c r="E83" s="40">
        <v>12517350</v>
      </c>
      <c r="F83" s="40">
        <v>45582516</v>
      </c>
      <c r="G83" s="40">
        <v>18958711</v>
      </c>
    </row>
    <row r="84" spans="2:7">
      <c r="B84"/>
      <c r="C84"/>
    </row>
    <row r="85" spans="2:7">
      <c r="B85"/>
      <c r="C85"/>
    </row>
    <row r="86" spans="2:7">
      <c r="B86"/>
      <c r="C86"/>
    </row>
    <row r="87" spans="2:7">
      <c r="B87"/>
      <c r="C87"/>
    </row>
    <row r="88" spans="2:7">
      <c r="B88"/>
      <c r="C88"/>
      <c r="D88" s="107"/>
      <c r="E88" s="107"/>
      <c r="F88" s="107"/>
      <c r="G88" s="107"/>
    </row>
    <row r="89" spans="2:7">
      <c r="B89"/>
      <c r="C89"/>
    </row>
    <row r="90" spans="2:7">
      <c r="B90"/>
      <c r="C90"/>
    </row>
    <row r="91" spans="2:7">
      <c r="B91"/>
      <c r="C91"/>
    </row>
    <row r="92" spans="2:7">
      <c r="B92"/>
      <c r="C92"/>
    </row>
    <row r="93" spans="2:7">
      <c r="B93"/>
      <c r="C93"/>
    </row>
    <row r="94" spans="2:7">
      <c r="B94"/>
      <c r="C94"/>
    </row>
    <row r="95" spans="2:7">
      <c r="B95"/>
      <c r="C95"/>
    </row>
    <row r="96" spans="2:7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</sheetData>
  <mergeCells count="6">
    <mergeCell ref="B50:C50"/>
    <mergeCell ref="S4:V4"/>
    <mergeCell ref="O4:R4"/>
    <mergeCell ref="C4:F4"/>
    <mergeCell ref="G4:J4"/>
    <mergeCell ref="K4:N4"/>
  </mergeCells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AP45"/>
  <sheetViews>
    <sheetView showGridLines="0" workbookViewId="0">
      <selection activeCell="S35" sqref="S35"/>
    </sheetView>
  </sheetViews>
  <sheetFormatPr defaultColWidth="9.140625" defaultRowHeight="16.5"/>
  <cols>
    <col min="1" max="1" width="9.140625" style="188"/>
    <col min="2" max="2" width="15.140625" style="188" customWidth="1"/>
    <col min="3" max="6" width="9.140625" style="188"/>
    <col min="7" max="7" width="3.7109375" style="188" customWidth="1"/>
    <col min="8" max="8" width="26.7109375" style="188" bestFit="1" customWidth="1"/>
    <col min="9" max="9" width="17.85546875" style="188" bestFit="1" customWidth="1"/>
    <col min="10" max="12" width="16.7109375" style="188" bestFit="1" customWidth="1"/>
    <col min="13" max="13" width="16.85546875" style="188" bestFit="1" customWidth="1"/>
    <col min="14" max="26" width="9.140625" style="188"/>
    <col min="27" max="42" width="9.140625" style="188" customWidth="1"/>
    <col min="43" max="16384" width="9.140625" style="188"/>
  </cols>
  <sheetData>
    <row r="2" spans="2:42">
      <c r="B2" s="186" t="s">
        <v>200</v>
      </c>
      <c r="C2" s="187"/>
      <c r="D2" s="187"/>
      <c r="E2" s="187"/>
      <c r="F2" s="187"/>
      <c r="I2" s="200" t="s">
        <v>3</v>
      </c>
      <c r="J2" s="200" t="s">
        <v>5</v>
      </c>
      <c r="K2" s="200" t="s">
        <v>6</v>
      </c>
      <c r="L2" s="200" t="s">
        <v>7</v>
      </c>
    </row>
    <row r="3" spans="2:42">
      <c r="B3" s="187" t="s">
        <v>201</v>
      </c>
      <c r="C3" s="189">
        <v>0.41979516707539311</v>
      </c>
      <c r="D3" s="189">
        <v>0.48085770762311286</v>
      </c>
      <c r="E3" s="189">
        <v>0.40243201033359771</v>
      </c>
      <c r="F3" s="189">
        <v>0.61350143721580463</v>
      </c>
      <c r="H3" s="190" t="s">
        <v>202</v>
      </c>
      <c r="I3" s="191">
        <v>191526352</v>
      </c>
      <c r="J3" s="191">
        <v>15186825</v>
      </c>
      <c r="K3" s="191">
        <v>64223304.5</v>
      </c>
      <c r="L3" s="191">
        <v>20890891</v>
      </c>
    </row>
    <row r="4" spans="2:42">
      <c r="B4" s="187" t="s">
        <v>203</v>
      </c>
      <c r="C4" s="189">
        <v>0.39641271077897849</v>
      </c>
      <c r="D4" s="189">
        <v>0.39860711155627893</v>
      </c>
      <c r="E4" s="189">
        <v>0.45736436425933802</v>
      </c>
      <c r="F4" s="189">
        <v>0.60556773336935565</v>
      </c>
      <c r="H4" s="190" t="s">
        <v>233</v>
      </c>
      <c r="I4" s="191">
        <v>193621812.66666666</v>
      </c>
      <c r="J4" s="191">
        <v>15111773.333333334</v>
      </c>
      <c r="K4" s="191">
        <v>66512114.333333336</v>
      </c>
      <c r="L4" s="191">
        <v>23511844.333333332</v>
      </c>
    </row>
    <row r="5" spans="2:42">
      <c r="B5" s="187" t="s">
        <v>204</v>
      </c>
      <c r="C5" s="189">
        <v>0.42259186961829326</v>
      </c>
      <c r="D5" s="189">
        <v>0.42261636928512897</v>
      </c>
      <c r="E5" s="189">
        <v>0.59442353513538659</v>
      </c>
      <c r="F5" s="189">
        <v>0.57975119542232656</v>
      </c>
      <c r="H5" s="190" t="s">
        <v>234</v>
      </c>
      <c r="I5" s="191">
        <v>193425475.33333334</v>
      </c>
      <c r="J5" s="191">
        <v>14818533.333333334</v>
      </c>
      <c r="K5" s="191">
        <v>67629016</v>
      </c>
      <c r="L5" s="191">
        <v>20116742</v>
      </c>
    </row>
    <row r="6" spans="2:42">
      <c r="B6" s="187" t="s">
        <v>207</v>
      </c>
      <c r="C6" s="189">
        <v>0.41598101222636752</v>
      </c>
      <c r="D6" s="189">
        <v>0.40316000798235158</v>
      </c>
      <c r="E6" s="189">
        <v>0.45039420469524066</v>
      </c>
      <c r="F6" s="189">
        <v>0.66940828960810383</v>
      </c>
      <c r="H6" s="190" t="s">
        <v>28</v>
      </c>
      <c r="I6" s="191">
        <v>190589891</v>
      </c>
      <c r="J6" s="191">
        <v>14702216.666666666</v>
      </c>
      <c r="K6" s="191">
        <v>62205964</v>
      </c>
      <c r="L6" s="191">
        <v>18601483.666666668</v>
      </c>
      <c r="AA6" s="202" t="s">
        <v>230</v>
      </c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</row>
    <row r="7" spans="2:42">
      <c r="B7" s="187" t="s">
        <v>210</v>
      </c>
      <c r="C7" s="195">
        <f>AVERAGE(C3:C6)</f>
        <v>0.41369518992475807</v>
      </c>
      <c r="D7" s="195">
        <f t="shared" ref="D7:F7" si="0">AVERAGE(D3:D6)</f>
        <v>0.42631029911171808</v>
      </c>
      <c r="E7" s="195">
        <f t="shared" si="0"/>
        <v>0.47615352860589077</v>
      </c>
      <c r="F7" s="195">
        <f t="shared" si="0"/>
        <v>0.61705716390389775</v>
      </c>
      <c r="H7" s="190" t="s">
        <v>29</v>
      </c>
      <c r="I7" s="191">
        <v>177892772.33333334</v>
      </c>
      <c r="J7" s="191">
        <v>14194250</v>
      </c>
      <c r="K7" s="191">
        <v>58185831.666666664</v>
      </c>
      <c r="L7" s="191">
        <v>16453647</v>
      </c>
      <c r="AA7" s="202" t="s">
        <v>231</v>
      </c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</row>
    <row r="8" spans="2:42">
      <c r="H8" s="190" t="s">
        <v>30</v>
      </c>
      <c r="I8" s="191">
        <v>129113166.66666667</v>
      </c>
      <c r="J8" s="191">
        <v>9346600</v>
      </c>
      <c r="K8" s="191">
        <v>53638184</v>
      </c>
      <c r="L8" s="191">
        <v>18651794.333333332</v>
      </c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</row>
    <row r="9" spans="2:42">
      <c r="B9" s="186" t="s">
        <v>214</v>
      </c>
      <c r="C9" s="187"/>
      <c r="D9" s="187"/>
      <c r="E9" s="187"/>
      <c r="F9" s="187"/>
      <c r="H9" s="190" t="s">
        <v>31</v>
      </c>
      <c r="I9" s="191">
        <v>128965304.25</v>
      </c>
      <c r="J9" s="191">
        <v>8589415</v>
      </c>
      <c r="K9" s="191">
        <v>61669932.75</v>
      </c>
      <c r="L9" s="191">
        <v>20119974.25</v>
      </c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</row>
    <row r="10" spans="2:42">
      <c r="B10" s="187" t="s">
        <v>201</v>
      </c>
      <c r="C10" s="189">
        <v>1.0648143700118609</v>
      </c>
      <c r="D10" s="189">
        <v>1.0994184284429778</v>
      </c>
      <c r="E10" s="189">
        <v>1.425593258390784</v>
      </c>
      <c r="F10" s="189">
        <v>1.0111915886956897</v>
      </c>
      <c r="H10" s="190" t="s">
        <v>76</v>
      </c>
      <c r="I10" s="191">
        <f>SUM(I3:I9)</f>
        <v>1205134774.25</v>
      </c>
      <c r="J10" s="191">
        <f t="shared" ref="J10:L10" si="1">SUM(J3:J9)</f>
        <v>91949613.333333343</v>
      </c>
      <c r="K10" s="191">
        <f t="shared" si="1"/>
        <v>434064347.25</v>
      </c>
      <c r="L10" s="191">
        <f t="shared" si="1"/>
        <v>138346376.58333331</v>
      </c>
      <c r="M10" s="211">
        <f>SUM(I10:L10)</f>
        <v>1869495111.4166665</v>
      </c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</row>
    <row r="11" spans="2:42">
      <c r="B11" s="187" t="s">
        <v>203</v>
      </c>
      <c r="C11" s="189">
        <v>0.95132876043828196</v>
      </c>
      <c r="D11" s="189">
        <v>1.1082394042363326</v>
      </c>
      <c r="E11" s="189">
        <v>1.0959879922141165</v>
      </c>
      <c r="F11" s="189">
        <v>1.0723552679813502</v>
      </c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</row>
    <row r="12" spans="2:42">
      <c r="B12" s="187" t="s">
        <v>204</v>
      </c>
      <c r="C12" s="189">
        <v>0.98949071486964546</v>
      </c>
      <c r="D12" s="189">
        <v>0.97788337558026717</v>
      </c>
      <c r="E12" s="189">
        <v>0.98650987418890279</v>
      </c>
      <c r="F12" s="189">
        <v>0.9943600163778179</v>
      </c>
      <c r="AA12" s="194"/>
      <c r="AB12" s="194"/>
      <c r="AC12" s="194"/>
      <c r="AD12" s="194"/>
      <c r="AE12" s="194"/>
      <c r="AF12" s="194"/>
      <c r="AG12" s="194"/>
      <c r="AH12" s="194"/>
      <c r="AI12" s="194"/>
      <c r="AJ12" s="194"/>
      <c r="AK12" s="194"/>
      <c r="AL12" s="194"/>
      <c r="AM12" s="194"/>
      <c r="AN12" s="194"/>
      <c r="AO12" s="194"/>
      <c r="AP12" s="194"/>
    </row>
    <row r="13" spans="2:42">
      <c r="B13" s="187" t="s">
        <v>207</v>
      </c>
      <c r="C13" s="189">
        <v>1.0698734354095061</v>
      </c>
      <c r="D13" s="189">
        <v>0.98582628069543621</v>
      </c>
      <c r="E13" s="189">
        <v>1.1219962765052476</v>
      </c>
      <c r="F13" s="189">
        <v>1.281219122416654</v>
      </c>
      <c r="H13" s="190" t="s">
        <v>205</v>
      </c>
      <c r="I13" s="191">
        <f>I3*C14</f>
        <v>195141760.5068804</v>
      </c>
      <c r="J13" s="191">
        <f>J3*D14</f>
        <v>15837457.016362309</v>
      </c>
      <c r="K13" s="191">
        <f>K3*E14</f>
        <v>74339878.258810669</v>
      </c>
      <c r="L13" s="191">
        <f>L3*F14</f>
        <v>22766506.506665457</v>
      </c>
      <c r="M13" s="192" t="s">
        <v>206</v>
      </c>
      <c r="AA13" s="193" t="s">
        <v>217</v>
      </c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</row>
    <row r="14" spans="2:42">
      <c r="B14" s="187" t="s">
        <v>210</v>
      </c>
      <c r="C14" s="195">
        <f>AVERAGE(C10:C13)</f>
        <v>1.0188768201823235</v>
      </c>
      <c r="D14" s="195">
        <f t="shared" ref="D14:F14" si="2">AVERAGE(D10:D13)</f>
        <v>1.0428418722387536</v>
      </c>
      <c r="E14" s="195">
        <f t="shared" si="2"/>
        <v>1.1575218503247628</v>
      </c>
      <c r="F14" s="195">
        <f t="shared" si="2"/>
        <v>1.0897814988678778</v>
      </c>
      <c r="H14" s="190" t="s">
        <v>208</v>
      </c>
      <c r="I14" s="191">
        <f>I13*C7</f>
        <v>80729207.675145537</v>
      </c>
      <c r="J14" s="191">
        <f>J13*D7</f>
        <v>6751671.0378143946</v>
      </c>
      <c r="K14" s="191">
        <f>K13*E7</f>
        <v>35397195.349065043</v>
      </c>
      <c r="L14" s="191">
        <f>L13*F7</f>
        <v>14048235.937002622</v>
      </c>
      <c r="M14" s="192" t="s">
        <v>209</v>
      </c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</row>
    <row r="15" spans="2:42">
      <c r="H15" s="190" t="s">
        <v>211</v>
      </c>
      <c r="I15" s="191">
        <f>I14*C22</f>
        <v>201667579.06046519</v>
      </c>
      <c r="J15" s="191">
        <f>J14*D22</f>
        <v>15437118.093406877</v>
      </c>
      <c r="K15" s="191">
        <f>K14*E22</f>
        <v>69516901.789903492</v>
      </c>
      <c r="L15" s="191">
        <f>L14*F22</f>
        <v>23983106.974893473</v>
      </c>
      <c r="M15" s="192" t="s">
        <v>212</v>
      </c>
      <c r="AA15" s="193" t="s">
        <v>218</v>
      </c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</row>
    <row r="17" spans="2:27">
      <c r="B17" s="186" t="s">
        <v>219</v>
      </c>
      <c r="C17" s="187"/>
      <c r="D17" s="187"/>
      <c r="E17" s="187"/>
      <c r="F17" s="187"/>
      <c r="H17" s="215" t="s">
        <v>240</v>
      </c>
      <c r="I17" s="219" t="s">
        <v>197</v>
      </c>
      <c r="J17" s="219" t="s">
        <v>196</v>
      </c>
      <c r="K17" s="219" t="s">
        <v>87</v>
      </c>
      <c r="L17" s="219" t="s">
        <v>88</v>
      </c>
      <c r="M17" s="219" t="s">
        <v>76</v>
      </c>
    </row>
    <row r="18" spans="2:27">
      <c r="B18" s="187" t="s">
        <v>201</v>
      </c>
      <c r="C18" s="189">
        <f>137.609702341848%+1</f>
        <v>2.3760970234184802</v>
      </c>
      <c r="D18" s="189">
        <f>95.4632922855117%+1</f>
        <v>1.9546329228551169</v>
      </c>
      <c r="E18" s="189">
        <f>93.4392038693402%+1</f>
        <v>1.9343920386934021</v>
      </c>
      <c r="F18" s="189">
        <f>75.5881395780528%+1</f>
        <v>1.7558813957805279</v>
      </c>
      <c r="H18" s="215" t="s">
        <v>242</v>
      </c>
      <c r="I18" s="216">
        <f>102.282167262959%-1</f>
        <v>2.2821672629590006E-2</v>
      </c>
      <c r="J18" s="216">
        <f>95.8159670484923%-1</f>
        <v>-4.184032951507699E-2</v>
      </c>
      <c r="K18" s="216">
        <f>113.825035321766%-1</f>
        <v>0.13825035321765999</v>
      </c>
      <c r="L18" s="216">
        <f>108.295246747894%-1</f>
        <v>8.2952467478939917E-2</v>
      </c>
      <c r="M18" s="216">
        <f>M19/M10-1</f>
        <v>5.0891661187915771E-2</v>
      </c>
    </row>
    <row r="19" spans="2:27" hidden="1">
      <c r="B19" s="187" t="s">
        <v>203</v>
      </c>
      <c r="C19" s="189">
        <f>189.36223133554%+1</f>
        <v>2.8936223133554</v>
      </c>
      <c r="D19" s="189">
        <f>144.37403315351%+1</f>
        <v>2.4437403315350998</v>
      </c>
      <c r="E19" s="189">
        <f>107.298434385295%+1</f>
        <v>2.0729843438529501</v>
      </c>
      <c r="F19" s="189">
        <f>75.2181824499839%+1</f>
        <v>1.7521818244998388</v>
      </c>
      <c r="H19" s="215" t="s">
        <v>238</v>
      </c>
      <c r="I19" s="217">
        <v>1232637965.54247</v>
      </c>
      <c r="J19" s="217">
        <v>88102411.212682754</v>
      </c>
      <c r="K19" s="217">
        <v>494073896.57650369</v>
      </c>
      <c r="L19" s="217">
        <v>149822549.88769177</v>
      </c>
      <c r="M19" s="218">
        <f>SUM(I19:L19)</f>
        <v>1964636823.2193482</v>
      </c>
    </row>
    <row r="20" spans="2:27">
      <c r="B20" s="187" t="s">
        <v>204</v>
      </c>
      <c r="C20" s="189">
        <f>131.996546745874%+1</f>
        <v>2.31996546745874</v>
      </c>
      <c r="D20" s="189">
        <f>128.870240278691%+1</f>
        <v>2.2887024027869103</v>
      </c>
      <c r="E20" s="189">
        <f>71.6594968433243%+1</f>
        <v>1.7165949684332431</v>
      </c>
      <c r="F20" s="189">
        <f>70.568050025119%+1</f>
        <v>1.7056805002511901</v>
      </c>
      <c r="H20" s="215" t="s">
        <v>241</v>
      </c>
      <c r="I20" s="216">
        <f>103.833132088189%-1</f>
        <v>3.8331320881890063E-2</v>
      </c>
      <c r="J20" s="216">
        <f>100.231479614142%-1</f>
        <v>2.3147961414200502E-3</v>
      </c>
      <c r="K20" s="216">
        <f>106.327572578225%-1</f>
        <v>6.3275725782250047E-2</v>
      </c>
      <c r="L20" s="216">
        <f>112.552960495797%-1</f>
        <v>0.12552960495796994</v>
      </c>
      <c r="M20" s="216">
        <f>M21/M10-1</f>
        <v>4.8804382744293218E-2</v>
      </c>
    </row>
    <row r="21" spans="2:27">
      <c r="B21" s="187" t="s">
        <v>207</v>
      </c>
      <c r="C21" s="189">
        <f>140.261339207699%+1</f>
        <v>2.4026133920769901</v>
      </c>
      <c r="D21" s="189">
        <f>145.858206633902%+1</f>
        <v>2.4585820663390203</v>
      </c>
      <c r="E21" s="189">
        <f>113.166818253386%+1</f>
        <v>2.1316681825338599</v>
      </c>
      <c r="F21" s="189">
        <f>61.5044486740136%+1</f>
        <v>1.6150444867401359</v>
      </c>
      <c r="H21" s="213" t="s">
        <v>239</v>
      </c>
      <c r="I21" s="214">
        <v>1251329181.9877</v>
      </c>
      <c r="J21" s="214">
        <v>92162457.943482712</v>
      </c>
      <c r="K21" s="214">
        <v>461530083.85844249</v>
      </c>
      <c r="L21" s="214">
        <v>155712942.58320546</v>
      </c>
      <c r="M21" s="212">
        <f>SUM(I21:L21)</f>
        <v>1960734666.3728306</v>
      </c>
    </row>
    <row r="22" spans="2:27">
      <c r="B22" s="187" t="s">
        <v>210</v>
      </c>
      <c r="C22" s="196">
        <f>AVERAGE(C18:C21)</f>
        <v>2.4980745490774026</v>
      </c>
      <c r="D22" s="196">
        <f>AVERAGE(D18:D21)</f>
        <v>2.2864144308790371</v>
      </c>
      <c r="E22" s="196">
        <f t="shared" ref="E22" si="3">AVERAGE(E18:E21)</f>
        <v>1.9639098833783639</v>
      </c>
      <c r="F22" s="196">
        <f>AVERAGE(F18:F21)</f>
        <v>1.7071970518179231</v>
      </c>
      <c r="AA22" s="193" t="s">
        <v>213</v>
      </c>
    </row>
    <row r="23" spans="2:27">
      <c r="AA23" s="193" t="s">
        <v>215</v>
      </c>
    </row>
    <row r="24" spans="2:27">
      <c r="B24" s="201" t="s">
        <v>228</v>
      </c>
      <c r="AA24" s="193" t="s">
        <v>216</v>
      </c>
    </row>
    <row r="25" spans="2:27">
      <c r="B25" s="187" t="s">
        <v>201</v>
      </c>
      <c r="C25" s="189">
        <v>1.0428851133597634</v>
      </c>
      <c r="D25" s="189">
        <v>0.9077561909105738</v>
      </c>
      <c r="E25" s="189">
        <v>1.3248850722666121</v>
      </c>
      <c r="F25" s="189">
        <v>1.0020584672459605</v>
      </c>
    </row>
    <row r="26" spans="2:27">
      <c r="B26" s="187" t="s">
        <v>203</v>
      </c>
      <c r="C26" s="189">
        <v>0.97766543530622529</v>
      </c>
      <c r="D26" s="189">
        <v>0.9817461673460055</v>
      </c>
      <c r="E26" s="189">
        <v>1.0869832078446344</v>
      </c>
      <c r="F26" s="189">
        <v>1.0566392287630633</v>
      </c>
    </row>
    <row r="27" spans="2:27">
      <c r="B27" s="187" t="s">
        <v>204</v>
      </c>
      <c r="C27" s="189">
        <v>0.99279787597848346</v>
      </c>
      <c r="D27" s="189">
        <v>0.95040671586222014</v>
      </c>
      <c r="E27" s="189">
        <v>1.0191107820754148</v>
      </c>
      <c r="F27" s="189">
        <v>1.0052811416933196</v>
      </c>
    </row>
    <row r="28" spans="2:27">
      <c r="B28" s="187" t="s">
        <v>207</v>
      </c>
      <c r="C28" s="189">
        <v>1.0779382658738912</v>
      </c>
      <c r="D28" s="189">
        <v>0.99272960782089259</v>
      </c>
      <c r="E28" s="189">
        <v>1.1220223506839619</v>
      </c>
      <c r="F28" s="189">
        <v>1.2678310322134247</v>
      </c>
    </row>
    <row r="29" spans="2:27">
      <c r="B29" s="187" t="s">
        <v>210</v>
      </c>
      <c r="C29" s="196">
        <f>AVERAGE(C25:C28)</f>
        <v>1.0228216726295909</v>
      </c>
      <c r="D29" s="196">
        <f>AVERAGE(D25:D28)</f>
        <v>0.95815967048492301</v>
      </c>
      <c r="E29" s="196">
        <f t="shared" ref="E29" si="4">AVERAGE(E25:E28)</f>
        <v>1.1382503532176558</v>
      </c>
      <c r="F29" s="196">
        <f>AVERAGE(F25:F28)</f>
        <v>1.0829524674789421</v>
      </c>
      <c r="H29" s="200"/>
    </row>
    <row r="32" spans="2:27">
      <c r="B32" s="200" t="s">
        <v>232</v>
      </c>
    </row>
    <row r="33" spans="2:6">
      <c r="B33" s="187" t="s">
        <v>201</v>
      </c>
      <c r="C33" s="189">
        <v>1.1372776980047461</v>
      </c>
      <c r="D33" s="189">
        <v>1.1175733856176278</v>
      </c>
      <c r="E33" s="189">
        <v>1.2406181758121311</v>
      </c>
      <c r="F33" s="189">
        <v>1.1654408812557073</v>
      </c>
    </row>
    <row r="34" spans="2:6">
      <c r="B34" s="187" t="s">
        <v>203</v>
      </c>
      <c r="C34" s="189">
        <v>1.0912394114096873</v>
      </c>
      <c r="D34" s="189">
        <v>1.0795274424582428</v>
      </c>
      <c r="E34" s="189">
        <v>1.039116261842401</v>
      </c>
      <c r="F34" s="189">
        <v>1.1378384021201313</v>
      </c>
    </row>
    <row r="35" spans="2:6">
      <c r="B35" s="187" t="s">
        <v>204</v>
      </c>
      <c r="C35" s="189">
        <v>1.06758313822644</v>
      </c>
      <c r="D35" s="189">
        <v>1.0055243304474604</v>
      </c>
      <c r="E35" s="189">
        <v>1.1572087090129362</v>
      </c>
      <c r="F35" s="189">
        <v>1.1309285557460864</v>
      </c>
    </row>
    <row r="36" spans="2:6">
      <c r="B36" s="187" t="s">
        <v>207</v>
      </c>
      <c r="C36" s="189">
        <v>1.1455939702140012</v>
      </c>
      <c r="D36" s="189">
        <v>1.0248224511494026</v>
      </c>
      <c r="E36" s="189">
        <v>1.1433141760455714</v>
      </c>
      <c r="F36" s="189">
        <v>1.443914938475501</v>
      </c>
    </row>
    <row r="37" spans="2:6">
      <c r="B37" s="187" t="s">
        <v>210</v>
      </c>
      <c r="C37" s="196">
        <f>AVERAGE(C33:C36)</f>
        <v>1.1104235544637187</v>
      </c>
      <c r="D37" s="196">
        <f>AVERAGE(D33:D36)</f>
        <v>1.0568619024181833</v>
      </c>
      <c r="E37" s="196">
        <f t="shared" ref="E37" si="5">AVERAGE(E33:E36)</f>
        <v>1.14506433067826</v>
      </c>
      <c r="F37" s="196">
        <f>AVERAGE(F33:F36)</f>
        <v>1.2195306943993565</v>
      </c>
    </row>
    <row r="40" spans="2:6">
      <c r="B40" s="207" t="s">
        <v>237</v>
      </c>
    </row>
    <row r="41" spans="2:6">
      <c r="B41" s="187" t="s">
        <v>201</v>
      </c>
      <c r="C41" s="189">
        <v>1.0659631339387539</v>
      </c>
      <c r="D41" s="189">
        <v>1.0609806322032729</v>
      </c>
      <c r="E41" s="189">
        <v>1.0941503648483182</v>
      </c>
      <c r="F41" s="189">
        <v>1.0651880309113133</v>
      </c>
    </row>
    <row r="42" spans="2:6">
      <c r="B42" s="187" t="s">
        <v>203</v>
      </c>
      <c r="C42" s="189">
        <v>1.044421446789257</v>
      </c>
      <c r="D42" s="189">
        <v>0.98252304291877146</v>
      </c>
      <c r="E42" s="189">
        <v>1.0564514478373714</v>
      </c>
      <c r="F42" s="189">
        <v>1.0623710056166935</v>
      </c>
    </row>
    <row r="43" spans="2:6">
      <c r="B43" s="187" t="s">
        <v>204</v>
      </c>
      <c r="C43" s="189">
        <v>1.0061293783942551</v>
      </c>
      <c r="D43" s="189">
        <v>1.0238203414079841</v>
      </c>
      <c r="E43" s="189">
        <v>1.0290853889815788</v>
      </c>
      <c r="F43" s="189">
        <v>1.090713513048527</v>
      </c>
    </row>
    <row r="44" spans="2:6">
      <c r="B44" s="187" t="s">
        <v>207</v>
      </c>
      <c r="C44" s="189">
        <v>1.0368113244053003</v>
      </c>
      <c r="D44" s="189">
        <v>0.94193516803566502</v>
      </c>
      <c r="E44" s="189">
        <v>1.0734157014617334</v>
      </c>
      <c r="F44" s="189">
        <v>1.2838458702553392</v>
      </c>
    </row>
    <row r="45" spans="2:6">
      <c r="B45" s="187" t="s">
        <v>210</v>
      </c>
      <c r="C45" s="196">
        <f>AVERAGE(C41:C44)</f>
        <v>1.0383313208818916</v>
      </c>
      <c r="D45" s="196">
        <f>AVERAGE(D41:D44)</f>
        <v>1.0023147961414234</v>
      </c>
      <c r="E45" s="196">
        <f t="shared" ref="E45" si="6">AVERAGE(E41:E44)</f>
        <v>1.0632757257822503</v>
      </c>
      <c r="F45" s="196">
        <f>AVERAGE(F41:F44)</f>
        <v>1.1255296049579684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workbookViewId="0">
      <selection activeCell="W9" sqref="W9"/>
    </sheetView>
  </sheetViews>
  <sheetFormatPr defaultColWidth="9.140625" defaultRowHeight="16.5"/>
  <cols>
    <col min="1" max="1" width="9.140625" style="171"/>
    <col min="2" max="2" width="11.7109375" style="171" bestFit="1" customWidth="1"/>
    <col min="3" max="3" width="13.85546875" style="171" bestFit="1" customWidth="1"/>
    <col min="4" max="6" width="13.42578125" style="171" bestFit="1" customWidth="1"/>
    <col min="7" max="16384" width="9.140625" style="171"/>
  </cols>
  <sheetData>
    <row r="2" spans="2:6">
      <c r="B2" s="181" t="s">
        <v>190</v>
      </c>
      <c r="C2" s="183" t="s">
        <v>22</v>
      </c>
      <c r="D2" s="182" t="s">
        <v>23</v>
      </c>
      <c r="E2" s="182" t="s">
        <v>24</v>
      </c>
      <c r="F2" s="182" t="s">
        <v>7</v>
      </c>
    </row>
    <row r="3" spans="2:6">
      <c r="B3" s="181" t="s">
        <v>189</v>
      </c>
      <c r="C3" s="180">
        <v>97967337.799999997</v>
      </c>
      <c r="D3" s="180">
        <v>14995202</v>
      </c>
      <c r="E3" s="180">
        <v>56376684.399999999</v>
      </c>
      <c r="F3" s="180">
        <v>21340615</v>
      </c>
    </row>
    <row r="5" spans="2:6">
      <c r="B5" s="179" t="s">
        <v>34</v>
      </c>
      <c r="C5" s="178" t="s">
        <v>3</v>
      </c>
      <c r="D5" s="178" t="s">
        <v>5</v>
      </c>
      <c r="E5" s="178" t="s">
        <v>6</v>
      </c>
      <c r="F5" s="178" t="s">
        <v>7</v>
      </c>
    </row>
    <row r="6" spans="2:6">
      <c r="B6" s="174" t="s">
        <v>188</v>
      </c>
      <c r="C6" s="173">
        <v>150038385</v>
      </c>
      <c r="D6" s="173">
        <v>21536430</v>
      </c>
      <c r="E6" s="173">
        <v>70369616</v>
      </c>
      <c r="F6" s="173">
        <v>18802576</v>
      </c>
    </row>
    <row r="7" spans="2:6">
      <c r="B7" s="174" t="s">
        <v>187</v>
      </c>
      <c r="C7" s="173">
        <v>108855429</v>
      </c>
      <c r="D7" s="173">
        <v>18552210</v>
      </c>
      <c r="E7" s="173">
        <v>64560525</v>
      </c>
      <c r="F7" s="173">
        <v>25792018</v>
      </c>
    </row>
    <row r="8" spans="2:6">
      <c r="B8" s="174" t="s">
        <v>186</v>
      </c>
      <c r="C8" s="173">
        <v>107656822</v>
      </c>
      <c r="D8" s="173">
        <v>15066520</v>
      </c>
      <c r="E8" s="173">
        <v>76780646</v>
      </c>
      <c r="F8" s="173">
        <v>21642042</v>
      </c>
    </row>
    <row r="9" spans="2:6">
      <c r="B9" s="174" t="s">
        <v>185</v>
      </c>
      <c r="C9" s="173">
        <v>173491347</v>
      </c>
      <c r="D9" s="173">
        <v>24434900</v>
      </c>
      <c r="E9" s="173">
        <v>83864693</v>
      </c>
      <c r="F9" s="173">
        <v>21522168</v>
      </c>
    </row>
    <row r="10" spans="2:6">
      <c r="B10" s="174" t="s">
        <v>184</v>
      </c>
      <c r="C10" s="173">
        <v>171545258</v>
      </c>
      <c r="D10" s="173">
        <v>24101170</v>
      </c>
      <c r="E10" s="173">
        <v>77172343</v>
      </c>
      <c r="F10" s="173">
        <v>21658344</v>
      </c>
    </row>
    <row r="11" spans="2:6">
      <c r="B11" s="174" t="s">
        <v>183</v>
      </c>
      <c r="C11" s="177">
        <v>163586017</v>
      </c>
      <c r="D11" s="177">
        <v>20666350</v>
      </c>
      <c r="E11" s="177">
        <v>75065138</v>
      </c>
      <c r="F11" s="177">
        <v>21630586</v>
      </c>
    </row>
    <row r="12" spans="2:6">
      <c r="B12" s="174" t="s">
        <v>182</v>
      </c>
      <c r="C12" s="177">
        <v>158632388</v>
      </c>
      <c r="D12" s="177">
        <v>17305370</v>
      </c>
      <c r="E12" s="177">
        <v>69973068</v>
      </c>
      <c r="F12" s="177">
        <v>19915743</v>
      </c>
    </row>
    <row r="13" spans="2:6">
      <c r="B13" s="174" t="s">
        <v>181</v>
      </c>
      <c r="C13" s="177">
        <v>148388047</v>
      </c>
      <c r="D13" s="177">
        <v>16118690</v>
      </c>
      <c r="E13" s="177">
        <v>64781783</v>
      </c>
      <c r="F13" s="177">
        <v>18006681</v>
      </c>
    </row>
    <row r="14" spans="2:6">
      <c r="B14" s="174" t="s">
        <v>180</v>
      </c>
      <c r="C14" s="177">
        <v>102787392</v>
      </c>
      <c r="D14" s="177">
        <v>10900960</v>
      </c>
      <c r="E14" s="177">
        <v>61601728</v>
      </c>
      <c r="F14" s="177">
        <v>18613093</v>
      </c>
    </row>
    <row r="15" spans="2:6">
      <c r="B15" s="174" t="s">
        <v>179</v>
      </c>
      <c r="C15" s="173">
        <v>101385740</v>
      </c>
      <c r="D15" s="173">
        <v>10345460</v>
      </c>
      <c r="E15" s="173">
        <v>70329370</v>
      </c>
      <c r="F15" s="173">
        <v>21108814</v>
      </c>
    </row>
    <row r="16" spans="2:6">
      <c r="B16" s="174" t="s">
        <v>178</v>
      </c>
      <c r="C16" s="173">
        <v>157358708</v>
      </c>
      <c r="D16" s="173">
        <v>21083790</v>
      </c>
      <c r="E16" s="173">
        <v>67221966</v>
      </c>
      <c r="F16" s="173">
        <v>20713181</v>
      </c>
    </row>
    <row r="17" spans="1:6">
      <c r="B17" s="174" t="s">
        <v>177</v>
      </c>
      <c r="C17" s="173">
        <v>150968697</v>
      </c>
      <c r="D17" s="173">
        <v>20439120</v>
      </c>
      <c r="E17" s="173">
        <v>48838168</v>
      </c>
      <c r="F17" s="173">
        <v>17579534</v>
      </c>
    </row>
    <row r="18" spans="1:6">
      <c r="B18" s="174" t="s">
        <v>176</v>
      </c>
      <c r="C18" s="173">
        <v>140723271</v>
      </c>
      <c r="D18" s="173">
        <v>18876400</v>
      </c>
      <c r="E18" s="173">
        <v>43783781</v>
      </c>
      <c r="F18" s="173">
        <v>15031674</v>
      </c>
    </row>
    <row r="19" spans="1:6">
      <c r="B19" s="174" t="s">
        <v>175</v>
      </c>
      <c r="C19" s="173">
        <v>113866716</v>
      </c>
      <c r="D19" s="173">
        <v>16430240</v>
      </c>
      <c r="E19" s="173">
        <v>34721203</v>
      </c>
      <c r="F19" s="173">
        <v>13094767</v>
      </c>
    </row>
    <row r="20" spans="1:6">
      <c r="B20" s="176" t="s">
        <v>174</v>
      </c>
      <c r="C20" s="175">
        <v>72830829</v>
      </c>
      <c r="D20" s="175">
        <v>11749710</v>
      </c>
      <c r="E20" s="175">
        <v>33749837</v>
      </c>
      <c r="F20" s="175">
        <v>13203881</v>
      </c>
    </row>
    <row r="21" spans="1:6">
      <c r="B21" s="176" t="s">
        <v>173</v>
      </c>
      <c r="C21" s="175">
        <v>68701961</v>
      </c>
      <c r="D21" s="175">
        <v>11812420</v>
      </c>
      <c r="E21" s="175">
        <v>36878401</v>
      </c>
      <c r="F21" s="175">
        <v>14561409</v>
      </c>
    </row>
    <row r="22" spans="1:6">
      <c r="B22" s="176" t="s">
        <v>172</v>
      </c>
      <c r="C22" s="175">
        <v>79786026</v>
      </c>
      <c r="D22" s="175">
        <v>13702400</v>
      </c>
      <c r="E22" s="175">
        <v>45220613</v>
      </c>
      <c r="F22" s="175">
        <v>17272082</v>
      </c>
    </row>
    <row r="23" spans="1:6">
      <c r="B23" s="176" t="s">
        <v>171</v>
      </c>
      <c r="C23" s="175">
        <v>107317058</v>
      </c>
      <c r="D23" s="175">
        <v>17569410</v>
      </c>
      <c r="E23" s="175">
        <v>59026921</v>
      </c>
      <c r="F23" s="175">
        <v>21438546</v>
      </c>
    </row>
    <row r="24" spans="1:6">
      <c r="A24" s="206" t="s">
        <v>235</v>
      </c>
      <c r="B24" s="174" t="s">
        <v>170</v>
      </c>
      <c r="C24" s="173">
        <v>173053116</v>
      </c>
      <c r="D24" s="173">
        <v>22966370</v>
      </c>
      <c r="E24" s="173">
        <v>65285416</v>
      </c>
      <c r="F24" s="173">
        <v>23184449</v>
      </c>
    </row>
    <row r="25" spans="1:6">
      <c r="A25" s="206" t="s">
        <v>49</v>
      </c>
      <c r="B25" s="174" t="s">
        <v>169</v>
      </c>
      <c r="C25" s="173">
        <v>172319346</v>
      </c>
      <c r="D25" s="173">
        <v>23519630</v>
      </c>
      <c r="E25" s="173">
        <v>58581013</v>
      </c>
      <c r="F25" s="173">
        <v>22042733</v>
      </c>
    </row>
    <row r="26" spans="1:6">
      <c r="A26" s="206" t="s">
        <v>109</v>
      </c>
      <c r="B26" s="174" t="s">
        <v>168</v>
      </c>
      <c r="C26" s="173">
        <v>166453360</v>
      </c>
      <c r="D26" s="173">
        <v>22575910</v>
      </c>
      <c r="E26" s="173">
        <v>54520558</v>
      </c>
      <c r="F26" s="173">
        <v>21145669</v>
      </c>
    </row>
    <row r="27" spans="1:6">
      <c r="A27" s="206" t="s">
        <v>40</v>
      </c>
      <c r="B27" s="174" t="s">
        <v>167</v>
      </c>
      <c r="C27" s="173">
        <v>151793216</v>
      </c>
      <c r="D27" s="173">
        <v>21947140</v>
      </c>
      <c r="E27" s="173">
        <v>53180501</v>
      </c>
      <c r="F27" s="173">
        <v>18395351</v>
      </c>
    </row>
    <row r="28" spans="1:6">
      <c r="A28" s="206" t="s">
        <v>70</v>
      </c>
      <c r="B28" s="174" t="s">
        <v>166</v>
      </c>
      <c r="C28" s="173">
        <v>104154137</v>
      </c>
      <c r="D28" s="173">
        <v>17283290</v>
      </c>
      <c r="E28" s="173">
        <v>56297041</v>
      </c>
      <c r="F28" s="173">
        <v>20859098</v>
      </c>
    </row>
    <row r="29" spans="1:6">
      <c r="A29" s="206" t="s">
        <v>47</v>
      </c>
      <c r="B29" s="174" t="s">
        <v>165</v>
      </c>
      <c r="C29" s="173">
        <v>102401091</v>
      </c>
      <c r="D29" s="173">
        <v>16743180</v>
      </c>
      <c r="E29" s="173">
        <v>63938641</v>
      </c>
      <c r="F29" s="173">
        <v>23812091</v>
      </c>
    </row>
    <row r="30" spans="1:6">
      <c r="A30" s="206" t="s">
        <v>236</v>
      </c>
      <c r="B30" s="174" t="s">
        <v>164</v>
      </c>
      <c r="C30" s="173">
        <v>172209451</v>
      </c>
      <c r="D30" s="173">
        <v>19746470</v>
      </c>
      <c r="E30" s="173">
        <v>63422135</v>
      </c>
      <c r="F30" s="173">
        <v>21990713</v>
      </c>
    </row>
    <row r="31" spans="1:6">
      <c r="B31" s="174" t="s">
        <v>163</v>
      </c>
      <c r="C31" s="173">
        <v>167699771</v>
      </c>
      <c r="D31" s="173">
        <v>18304950</v>
      </c>
      <c r="E31" s="173">
        <v>60031488</v>
      </c>
      <c r="F31" s="173">
        <v>22248591</v>
      </c>
    </row>
    <row r="32" spans="1:6">
      <c r="B32" s="174" t="s">
        <v>162</v>
      </c>
      <c r="C32" s="173">
        <v>174397680</v>
      </c>
      <c r="D32" s="173">
        <v>20316260</v>
      </c>
      <c r="E32" s="173">
        <v>63796774</v>
      </c>
      <c r="F32" s="173">
        <v>21184780</v>
      </c>
    </row>
    <row r="33" spans="2:20">
      <c r="B33" s="174" t="s">
        <v>161</v>
      </c>
      <c r="C33" s="173">
        <v>170459499</v>
      </c>
      <c r="D33" s="173">
        <v>19845090</v>
      </c>
      <c r="E33" s="173">
        <v>66743559</v>
      </c>
      <c r="F33" s="173">
        <v>20850254</v>
      </c>
    </row>
    <row r="34" spans="2:20">
      <c r="B34" s="174" t="s">
        <v>160</v>
      </c>
      <c r="C34" s="173">
        <v>157399884</v>
      </c>
      <c r="D34" s="173">
        <v>22104750</v>
      </c>
      <c r="E34" s="173">
        <v>62908519</v>
      </c>
      <c r="F34" s="173">
        <v>18053763</v>
      </c>
    </row>
    <row r="35" spans="2:20">
      <c r="B35" s="174" t="s">
        <v>159</v>
      </c>
      <c r="C35" s="173">
        <v>108408173</v>
      </c>
      <c r="D35" s="173">
        <v>14630680</v>
      </c>
      <c r="E35" s="173">
        <v>59444556</v>
      </c>
      <c r="F35" s="173">
        <v>18994427</v>
      </c>
    </row>
    <row r="36" spans="2:20">
      <c r="B36" s="174" t="s">
        <v>158</v>
      </c>
      <c r="C36" s="173">
        <v>105378509</v>
      </c>
      <c r="D36" s="173">
        <v>13886020</v>
      </c>
      <c r="E36" s="173">
        <v>66376729</v>
      </c>
      <c r="F36" s="173">
        <v>21626936</v>
      </c>
    </row>
    <row r="37" spans="2:20">
      <c r="B37" s="174" t="s">
        <v>157</v>
      </c>
      <c r="C37" s="173">
        <v>181647217</v>
      </c>
      <c r="D37" s="173">
        <v>22209010</v>
      </c>
      <c r="E37" s="173">
        <v>65745088</v>
      </c>
      <c r="F37" s="173">
        <v>21326813</v>
      </c>
      <c r="T37" s="172"/>
    </row>
    <row r="38" spans="2:20">
      <c r="C38" s="172"/>
      <c r="D38" s="172"/>
      <c r="E38" s="172"/>
      <c r="F38" s="172"/>
      <c r="T38" s="172"/>
    </row>
    <row r="39" spans="2:20">
      <c r="C39" s="172"/>
      <c r="D39" s="172"/>
      <c r="E39" s="172"/>
      <c r="F39" s="172"/>
      <c r="T39" s="172"/>
    </row>
  </sheetData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opLeftCell="A4" workbookViewId="0">
      <selection activeCell="E42" sqref="E42"/>
    </sheetView>
  </sheetViews>
  <sheetFormatPr defaultColWidth="9.140625" defaultRowHeight="16.5"/>
  <cols>
    <col min="1" max="1" width="9.140625" style="171"/>
    <col min="2" max="2" width="11.7109375" style="171" bestFit="1" customWidth="1"/>
    <col min="3" max="3" width="13.7109375" style="171" bestFit="1" customWidth="1"/>
    <col min="4" max="6" width="12.7109375" style="171" bestFit="1" customWidth="1"/>
    <col min="7" max="16384" width="9.140625" style="171"/>
  </cols>
  <sheetData>
    <row r="2" spans="2:6">
      <c r="B2" s="181" t="s">
        <v>190</v>
      </c>
      <c r="C2" s="183" t="s">
        <v>22</v>
      </c>
      <c r="D2" s="182" t="s">
        <v>23</v>
      </c>
      <c r="E2" s="182" t="s">
        <v>24</v>
      </c>
      <c r="F2" s="182" t="s">
        <v>7</v>
      </c>
    </row>
    <row r="3" spans="2:6">
      <c r="B3" s="181" t="s">
        <v>189</v>
      </c>
      <c r="C3" s="180">
        <v>145102100</v>
      </c>
      <c r="D3" s="180">
        <v>21591967.5</v>
      </c>
      <c r="E3" s="180">
        <v>47930176</v>
      </c>
      <c r="F3" s="180">
        <v>17804330</v>
      </c>
    </row>
    <row r="5" spans="2:6">
      <c r="B5" s="179" t="s">
        <v>198</v>
      </c>
      <c r="C5" s="178" t="s">
        <v>197</v>
      </c>
      <c r="D5" s="178" t="s">
        <v>196</v>
      </c>
      <c r="E5" s="178" t="s">
        <v>87</v>
      </c>
      <c r="F5" s="178" t="s">
        <v>88</v>
      </c>
    </row>
    <row r="6" spans="2:6">
      <c r="B6" s="176" t="s">
        <v>188</v>
      </c>
      <c r="C6" s="173">
        <v>143504149</v>
      </c>
      <c r="D6" s="173">
        <v>24242170</v>
      </c>
      <c r="E6" s="173">
        <v>54089550</v>
      </c>
      <c r="F6" s="173">
        <v>17869545</v>
      </c>
    </row>
    <row r="7" spans="2:6">
      <c r="B7" s="176" t="s">
        <v>187</v>
      </c>
      <c r="C7" s="173">
        <v>128016142</v>
      </c>
      <c r="D7" s="173">
        <v>22325190</v>
      </c>
      <c r="E7" s="173">
        <v>40805552</v>
      </c>
      <c r="F7" s="173">
        <v>16173952</v>
      </c>
    </row>
    <row r="8" spans="2:6">
      <c r="B8" s="176" t="s">
        <v>186</v>
      </c>
      <c r="C8" s="173">
        <v>81209754</v>
      </c>
      <c r="D8" s="173">
        <v>15535200</v>
      </c>
      <c r="E8" s="173">
        <v>40866473</v>
      </c>
      <c r="F8" s="173">
        <v>16613901</v>
      </c>
    </row>
    <row r="9" spans="2:6">
      <c r="B9" s="176" t="s">
        <v>185</v>
      </c>
      <c r="C9" s="173">
        <v>85168215</v>
      </c>
      <c r="D9" s="173">
        <v>15825780</v>
      </c>
      <c r="E9" s="173">
        <v>52938587</v>
      </c>
      <c r="F9" s="173">
        <v>19736847</v>
      </c>
    </row>
    <row r="10" spans="2:6">
      <c r="B10" s="176" t="s">
        <v>184</v>
      </c>
      <c r="C10" s="173">
        <v>153166128</v>
      </c>
      <c r="D10" s="173">
        <v>25558400</v>
      </c>
      <c r="E10" s="173">
        <v>58539106</v>
      </c>
      <c r="F10" s="173">
        <v>20054229</v>
      </c>
    </row>
    <row r="11" spans="2:6">
      <c r="B11" s="176" t="s">
        <v>183</v>
      </c>
      <c r="C11" s="177">
        <v>154050297</v>
      </c>
      <c r="D11" s="177">
        <v>22098050</v>
      </c>
      <c r="E11" s="177">
        <v>55246951</v>
      </c>
      <c r="F11" s="177">
        <v>20041155</v>
      </c>
    </row>
    <row r="12" spans="2:6">
      <c r="B12" s="176" t="s">
        <v>182</v>
      </c>
      <c r="C12" s="177">
        <v>150124880</v>
      </c>
      <c r="D12" s="177">
        <v>18086170</v>
      </c>
      <c r="E12" s="177">
        <v>55153135</v>
      </c>
      <c r="F12" s="177">
        <v>20064284</v>
      </c>
    </row>
    <row r="13" spans="2:6">
      <c r="B13" s="176" t="s">
        <v>181</v>
      </c>
      <c r="C13" s="177">
        <v>145754763</v>
      </c>
      <c r="D13" s="177">
        <v>17294680</v>
      </c>
      <c r="E13" s="177">
        <v>52388718</v>
      </c>
      <c r="F13" s="177">
        <v>20040817</v>
      </c>
    </row>
    <row r="14" spans="2:6">
      <c r="B14" s="176" t="s">
        <v>180</v>
      </c>
      <c r="C14" s="177">
        <v>129265424</v>
      </c>
      <c r="D14" s="177">
        <v>21340620</v>
      </c>
      <c r="E14" s="177">
        <v>44518103</v>
      </c>
      <c r="F14" s="177">
        <v>16985671</v>
      </c>
    </row>
    <row r="15" spans="2:6">
      <c r="B15" s="176" t="s">
        <v>179</v>
      </c>
      <c r="C15" s="173">
        <v>84576575</v>
      </c>
      <c r="D15" s="173">
        <v>16562900</v>
      </c>
      <c r="E15" s="173">
        <v>44413910</v>
      </c>
      <c r="F15" s="173">
        <v>17431204</v>
      </c>
    </row>
    <row r="16" spans="2:6">
      <c r="B16" s="176" t="s">
        <v>178</v>
      </c>
      <c r="C16" s="173">
        <v>85746970</v>
      </c>
      <c r="D16" s="173">
        <v>15944350</v>
      </c>
      <c r="E16" s="173">
        <v>50284938</v>
      </c>
      <c r="F16" s="173">
        <v>18140370</v>
      </c>
    </row>
    <row r="17" spans="2:6">
      <c r="B17" s="176" t="s">
        <v>177</v>
      </c>
      <c r="C17" s="173">
        <v>143994013</v>
      </c>
      <c r="D17" s="173">
        <v>23557730</v>
      </c>
      <c r="E17" s="173">
        <v>41334989</v>
      </c>
      <c r="F17" s="173">
        <v>16644746</v>
      </c>
    </row>
    <row r="18" spans="2:6">
      <c r="B18" s="176" t="s">
        <v>195</v>
      </c>
      <c r="C18" s="173">
        <v>129447940</v>
      </c>
      <c r="D18" s="173">
        <v>23111010</v>
      </c>
      <c r="E18" s="173">
        <v>34578116</v>
      </c>
      <c r="F18" s="173">
        <v>15236675</v>
      </c>
    </row>
    <row r="19" spans="2:6">
      <c r="B19" s="176" t="s">
        <v>194</v>
      </c>
      <c r="C19" s="173">
        <v>102693338</v>
      </c>
      <c r="D19" s="173">
        <v>19659200</v>
      </c>
      <c r="E19" s="173">
        <v>29240001</v>
      </c>
      <c r="F19" s="173">
        <v>19318874</v>
      </c>
    </row>
    <row r="20" spans="2:6">
      <c r="B20" s="176" t="s">
        <v>193</v>
      </c>
      <c r="C20" s="175">
        <v>60717000</v>
      </c>
      <c r="D20" s="175">
        <v>10187760</v>
      </c>
      <c r="E20" s="175">
        <v>26773701</v>
      </c>
      <c r="F20" s="175">
        <v>12144194</v>
      </c>
    </row>
    <row r="21" spans="2:6">
      <c r="B21" s="176" t="s">
        <v>173</v>
      </c>
      <c r="C21" s="175">
        <v>57616318</v>
      </c>
      <c r="D21" s="175">
        <v>10061350</v>
      </c>
      <c r="E21" s="175">
        <v>27526970</v>
      </c>
      <c r="F21" s="175">
        <v>12517506</v>
      </c>
    </row>
    <row r="22" spans="2:6">
      <c r="B22" s="176" t="s">
        <v>172</v>
      </c>
      <c r="C22" s="175">
        <v>69459682</v>
      </c>
      <c r="D22" s="175">
        <v>12242110</v>
      </c>
      <c r="E22" s="175">
        <v>33511528</v>
      </c>
      <c r="F22" s="175">
        <v>14863488</v>
      </c>
    </row>
    <row r="23" spans="2:6">
      <c r="B23" s="176" t="s">
        <v>171</v>
      </c>
      <c r="C23" s="175">
        <v>81083313</v>
      </c>
      <c r="D23" s="175">
        <v>13494020</v>
      </c>
      <c r="E23" s="175">
        <v>45031460</v>
      </c>
      <c r="F23" s="175">
        <v>18364419</v>
      </c>
    </row>
    <row r="24" spans="2:6">
      <c r="B24" s="176" t="s">
        <v>192</v>
      </c>
      <c r="C24" s="173">
        <v>175692066</v>
      </c>
      <c r="D24" s="173">
        <v>24896240</v>
      </c>
      <c r="E24" s="173">
        <v>55501463</v>
      </c>
      <c r="F24" s="173">
        <v>21278836</v>
      </c>
    </row>
    <row r="25" spans="2:6">
      <c r="B25" s="176" t="s">
        <v>191</v>
      </c>
      <c r="C25" s="173">
        <v>162211588</v>
      </c>
      <c r="D25" s="173">
        <v>22440600</v>
      </c>
      <c r="E25" s="173">
        <v>64021438</v>
      </c>
      <c r="F25" s="173">
        <v>20508296</v>
      </c>
    </row>
    <row r="26" spans="2:6">
      <c r="B26" s="176" t="s">
        <v>168</v>
      </c>
      <c r="C26" s="173">
        <v>157673112</v>
      </c>
      <c r="D26" s="173">
        <v>20722200</v>
      </c>
      <c r="E26" s="173">
        <v>51000110</v>
      </c>
      <c r="F26" s="173">
        <v>19427744</v>
      </c>
    </row>
    <row r="27" spans="2:6">
      <c r="B27" s="176" t="s">
        <v>167</v>
      </c>
      <c r="C27" s="173">
        <v>150788457</v>
      </c>
      <c r="D27" s="173">
        <v>21118110</v>
      </c>
      <c r="E27" s="173">
        <v>47186327</v>
      </c>
      <c r="F27" s="173">
        <v>18392325</v>
      </c>
    </row>
    <row r="28" spans="2:6">
      <c r="B28" s="176" t="s">
        <v>166</v>
      </c>
      <c r="C28" s="173">
        <v>141075733</v>
      </c>
      <c r="D28" s="173">
        <v>20557420</v>
      </c>
      <c r="E28" s="173">
        <v>44943093</v>
      </c>
      <c r="F28" s="173">
        <v>16729294</v>
      </c>
    </row>
    <row r="29" spans="2:6">
      <c r="B29" s="176" t="s">
        <v>165</v>
      </c>
      <c r="C29" s="173">
        <v>88619210</v>
      </c>
      <c r="D29" s="173">
        <v>13747270</v>
      </c>
      <c r="E29" s="173">
        <v>40619961</v>
      </c>
      <c r="F29" s="173">
        <v>17359039</v>
      </c>
    </row>
    <row r="30" spans="2:6">
      <c r="B30" s="176" t="s">
        <v>164</v>
      </c>
      <c r="C30" s="173">
        <v>88261143</v>
      </c>
      <c r="D30" s="173">
        <v>13511650</v>
      </c>
      <c r="E30" s="173">
        <v>47145294</v>
      </c>
      <c r="F30" s="173">
        <v>19782345</v>
      </c>
    </row>
    <row r="31" spans="2:6">
      <c r="B31" s="176" t="s">
        <v>163</v>
      </c>
      <c r="C31" s="173">
        <v>161051709</v>
      </c>
      <c r="D31" s="173">
        <v>22349830</v>
      </c>
      <c r="E31" s="173">
        <v>51147101</v>
      </c>
      <c r="F31" s="173">
        <v>18805256</v>
      </c>
    </row>
    <row r="32" spans="2:6">
      <c r="B32" s="176" t="s">
        <v>162</v>
      </c>
      <c r="C32" s="173">
        <v>158721040</v>
      </c>
      <c r="D32" s="173">
        <v>21178090</v>
      </c>
      <c r="E32" s="173">
        <v>49336508</v>
      </c>
      <c r="F32" s="173">
        <v>17875199</v>
      </c>
    </row>
    <row r="33" spans="2:6">
      <c r="B33" s="176" t="s">
        <v>161</v>
      </c>
      <c r="C33" s="173">
        <v>154622864</v>
      </c>
      <c r="D33" s="173">
        <v>20711470</v>
      </c>
      <c r="E33" s="173">
        <v>47185903</v>
      </c>
      <c r="F33" s="173">
        <v>18706093</v>
      </c>
    </row>
    <row r="34" spans="2:6">
      <c r="B34" s="176" t="s">
        <v>160</v>
      </c>
      <c r="C34" s="173">
        <v>149476021</v>
      </c>
      <c r="D34" s="173">
        <v>19113520</v>
      </c>
      <c r="E34" s="173">
        <v>45938201</v>
      </c>
      <c r="F34" s="173">
        <v>18589261</v>
      </c>
    </row>
    <row r="35" spans="2:6">
      <c r="B35" s="176" t="s">
        <v>159</v>
      </c>
      <c r="C35" s="173">
        <v>139511814</v>
      </c>
      <c r="D35" s="173">
        <v>17334470</v>
      </c>
      <c r="E35" s="173">
        <v>41161735</v>
      </c>
      <c r="F35" s="173">
        <v>17044742</v>
      </c>
    </row>
    <row r="36" spans="2:6">
      <c r="B36" s="176" t="s">
        <v>158</v>
      </c>
      <c r="C36" s="173">
        <v>89748279</v>
      </c>
      <c r="D36" s="173">
        <v>11130510</v>
      </c>
      <c r="E36" s="173">
        <v>38351288</v>
      </c>
      <c r="F36" s="173">
        <v>16173073</v>
      </c>
    </row>
    <row r="37" spans="2:6">
      <c r="B37" s="176" t="s">
        <v>157</v>
      </c>
      <c r="C37" s="173">
        <v>89078152</v>
      </c>
      <c r="D37" s="173">
        <v>10699340</v>
      </c>
      <c r="E37" s="173">
        <v>45009638</v>
      </c>
      <c r="F37" s="173">
        <v>18653559</v>
      </c>
    </row>
  </sheetData>
  <phoneticPr fontId="6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workbookViewId="0">
      <selection activeCell="V35" sqref="V35"/>
    </sheetView>
  </sheetViews>
  <sheetFormatPr defaultColWidth="9.140625" defaultRowHeight="16.5"/>
  <cols>
    <col min="1" max="1" width="9.140625" style="171"/>
    <col min="2" max="2" width="11.7109375" style="171" bestFit="1" customWidth="1"/>
    <col min="3" max="3" width="13.7109375" style="171" bestFit="1" customWidth="1"/>
    <col min="4" max="6" width="12.7109375" style="171" bestFit="1" customWidth="1"/>
    <col min="7" max="16384" width="9.140625" style="171"/>
  </cols>
  <sheetData>
    <row r="2" spans="2:6">
      <c r="B2" s="181" t="s">
        <v>190</v>
      </c>
      <c r="C2" s="183" t="s">
        <v>22</v>
      </c>
      <c r="D2" s="182" t="s">
        <v>23</v>
      </c>
      <c r="E2" s="182" t="s">
        <v>24</v>
      </c>
      <c r="F2" s="182" t="s">
        <v>7</v>
      </c>
    </row>
    <row r="3" spans="2:6">
      <c r="B3" s="181" t="s">
        <v>189</v>
      </c>
      <c r="C3" s="180">
        <v>101459383</v>
      </c>
      <c r="D3" s="180">
        <v>11674872.5</v>
      </c>
      <c r="E3" s="180">
        <v>44514770.75</v>
      </c>
      <c r="F3" s="180">
        <v>14546504</v>
      </c>
    </row>
    <row r="5" spans="2:6">
      <c r="B5" s="179" t="s">
        <v>198</v>
      </c>
      <c r="C5" s="178" t="s">
        <v>197</v>
      </c>
      <c r="D5" s="178" t="s">
        <v>196</v>
      </c>
      <c r="E5" s="178" t="s">
        <v>87</v>
      </c>
      <c r="F5" s="178" t="s">
        <v>88</v>
      </c>
    </row>
    <row r="6" spans="2:6">
      <c r="B6" s="176" t="s">
        <v>188</v>
      </c>
      <c r="C6" s="173">
        <v>101283983</v>
      </c>
      <c r="D6" s="173">
        <v>10620460</v>
      </c>
      <c r="E6" s="173">
        <v>47594177</v>
      </c>
      <c r="F6" s="173">
        <v>14863172</v>
      </c>
    </row>
    <row r="7" spans="2:6">
      <c r="B7" s="176" t="s">
        <v>187</v>
      </c>
      <c r="C7" s="173">
        <v>99816455</v>
      </c>
      <c r="D7" s="173">
        <v>9586350</v>
      </c>
      <c r="E7" s="173">
        <v>47534684</v>
      </c>
      <c r="F7" s="173">
        <v>17246180</v>
      </c>
    </row>
    <row r="8" spans="2:6">
      <c r="B8" s="176" t="s">
        <v>186</v>
      </c>
      <c r="C8" s="173">
        <v>174517243</v>
      </c>
      <c r="D8" s="173">
        <v>20512930</v>
      </c>
      <c r="E8" s="173">
        <v>51329078</v>
      </c>
      <c r="F8" s="173">
        <v>17558439</v>
      </c>
    </row>
    <row r="9" spans="2:6">
      <c r="B9" s="176" t="s">
        <v>185</v>
      </c>
      <c r="C9" s="173">
        <v>170542525</v>
      </c>
      <c r="D9" s="173">
        <v>19782970</v>
      </c>
      <c r="E9" s="173">
        <v>50052444</v>
      </c>
      <c r="F9" s="173">
        <v>17256817</v>
      </c>
    </row>
    <row r="10" spans="2:6">
      <c r="B10" s="176" t="s">
        <v>184</v>
      </c>
      <c r="C10" s="173">
        <v>163996895</v>
      </c>
      <c r="D10" s="173">
        <v>19823880</v>
      </c>
      <c r="E10" s="173">
        <v>48984705</v>
      </c>
      <c r="F10" s="173">
        <v>16625466</v>
      </c>
    </row>
    <row r="11" spans="2:6">
      <c r="B11" s="176" t="s">
        <v>183</v>
      </c>
      <c r="C11" s="177">
        <v>163887609</v>
      </c>
      <c r="D11" s="177">
        <v>19221760</v>
      </c>
      <c r="E11" s="177">
        <v>47126831</v>
      </c>
      <c r="F11" s="177">
        <v>15776485</v>
      </c>
    </row>
    <row r="12" spans="2:6">
      <c r="B12" s="176" t="s">
        <v>182</v>
      </c>
      <c r="C12" s="177">
        <v>148696888</v>
      </c>
      <c r="D12" s="177">
        <v>18145060</v>
      </c>
      <c r="E12" s="177">
        <v>43558204</v>
      </c>
      <c r="F12" s="177">
        <v>14903815</v>
      </c>
    </row>
    <row r="13" spans="2:6">
      <c r="B13" s="176" t="s">
        <v>181</v>
      </c>
      <c r="C13" s="177">
        <v>99929935</v>
      </c>
      <c r="D13" s="177">
        <v>10794050</v>
      </c>
      <c r="E13" s="177">
        <v>44860798</v>
      </c>
      <c r="F13" s="177">
        <v>14526566</v>
      </c>
    </row>
    <row r="14" spans="2:6">
      <c r="B14" s="176" t="s">
        <v>180</v>
      </c>
      <c r="C14" s="177">
        <v>96845719</v>
      </c>
      <c r="D14" s="177">
        <v>9198370</v>
      </c>
      <c r="E14" s="177">
        <v>49716466</v>
      </c>
      <c r="F14" s="177">
        <v>16644852</v>
      </c>
    </row>
    <row r="15" spans="2:6">
      <c r="B15" s="176" t="s">
        <v>179</v>
      </c>
      <c r="C15" s="173">
        <v>170728942</v>
      </c>
      <c r="D15" s="173">
        <v>19937110</v>
      </c>
      <c r="E15" s="173">
        <v>51761437</v>
      </c>
      <c r="F15" s="173">
        <v>16861211</v>
      </c>
    </row>
    <row r="16" spans="2:6">
      <c r="B16" s="176" t="s">
        <v>178</v>
      </c>
      <c r="C16" s="173">
        <v>160558834</v>
      </c>
      <c r="D16" s="173">
        <v>18923840</v>
      </c>
      <c r="E16" s="173">
        <v>47523821</v>
      </c>
      <c r="F16" s="173">
        <v>14461564</v>
      </c>
    </row>
    <row r="17" spans="2:6">
      <c r="B17" s="176" t="s">
        <v>177</v>
      </c>
      <c r="C17" s="173">
        <v>150555203</v>
      </c>
      <c r="D17" s="173">
        <v>17880030</v>
      </c>
      <c r="E17" s="173">
        <v>44760164</v>
      </c>
      <c r="F17" s="173">
        <v>12832126</v>
      </c>
    </row>
    <row r="18" spans="2:6">
      <c r="B18" s="176" t="s">
        <v>195</v>
      </c>
      <c r="C18" s="173">
        <v>134809187</v>
      </c>
      <c r="D18" s="173">
        <v>16517290</v>
      </c>
      <c r="E18" s="173">
        <v>38326112</v>
      </c>
      <c r="F18" s="173">
        <v>11411413</v>
      </c>
    </row>
    <row r="19" spans="2:6">
      <c r="B19" s="176" t="s">
        <v>194</v>
      </c>
      <c r="C19" s="173">
        <v>106535812</v>
      </c>
      <c r="D19" s="173">
        <v>13669420</v>
      </c>
      <c r="E19" s="173">
        <v>31556831</v>
      </c>
      <c r="F19" s="173">
        <v>10004704</v>
      </c>
    </row>
    <row r="20" spans="2:6">
      <c r="B20" s="176" t="s">
        <v>193</v>
      </c>
      <c r="C20" s="175">
        <v>73749568</v>
      </c>
      <c r="D20" s="175">
        <v>8669100</v>
      </c>
      <c r="E20" s="175">
        <v>30511212</v>
      </c>
      <c r="F20" s="175">
        <v>10179526</v>
      </c>
    </row>
    <row r="21" spans="2:6">
      <c r="B21" s="176" t="s">
        <v>173</v>
      </c>
      <c r="C21" s="175">
        <v>68482935</v>
      </c>
      <c r="D21" s="175">
        <v>8111720</v>
      </c>
      <c r="E21" s="175">
        <v>30297168</v>
      </c>
      <c r="F21" s="175">
        <v>11221874</v>
      </c>
    </row>
    <row r="22" spans="2:6">
      <c r="B22" s="176" t="s">
        <v>172</v>
      </c>
      <c r="C22" s="175">
        <v>63392172</v>
      </c>
      <c r="D22" s="175">
        <v>7730310</v>
      </c>
      <c r="E22" s="175">
        <v>27811990</v>
      </c>
      <c r="F22" s="175">
        <v>10240481</v>
      </c>
    </row>
    <row r="23" spans="2:6">
      <c r="B23" s="176" t="s">
        <v>171</v>
      </c>
      <c r="C23" s="175">
        <v>63818986</v>
      </c>
      <c r="D23" s="175">
        <v>7824610</v>
      </c>
      <c r="E23" s="175">
        <v>28297291</v>
      </c>
      <c r="F23" s="175">
        <v>10882166</v>
      </c>
    </row>
    <row r="24" spans="2:6">
      <c r="B24" s="176" t="s">
        <v>199</v>
      </c>
      <c r="C24" s="175">
        <v>86095902</v>
      </c>
      <c r="D24" s="175">
        <v>9427160</v>
      </c>
      <c r="E24" s="175">
        <v>42880932</v>
      </c>
      <c r="F24" s="175">
        <v>15026875</v>
      </c>
    </row>
    <row r="25" spans="2:6">
      <c r="B25" s="176" t="s">
        <v>192</v>
      </c>
      <c r="C25" s="173">
        <v>171096451</v>
      </c>
      <c r="D25" s="173">
        <v>19840990</v>
      </c>
      <c r="E25" s="173">
        <v>52375393</v>
      </c>
      <c r="F25" s="173">
        <v>17363019</v>
      </c>
    </row>
    <row r="26" spans="2:6">
      <c r="B26" s="176" t="s">
        <v>191</v>
      </c>
      <c r="C26" s="173">
        <v>159717536</v>
      </c>
      <c r="D26" s="173">
        <v>19491200</v>
      </c>
      <c r="E26" s="173">
        <v>45927361</v>
      </c>
      <c r="F26" s="173">
        <v>15937877</v>
      </c>
    </row>
    <row r="27" spans="2:6">
      <c r="B27" s="176" t="s">
        <v>168</v>
      </c>
      <c r="C27" s="173">
        <v>102971798</v>
      </c>
      <c r="D27" s="173">
        <v>11995380</v>
      </c>
      <c r="E27" s="173">
        <v>45020758</v>
      </c>
      <c r="F27" s="173">
        <v>15567360</v>
      </c>
    </row>
    <row r="28" spans="2:6">
      <c r="B28" s="176" t="s">
        <v>167</v>
      </c>
      <c r="C28" s="173">
        <v>97630995</v>
      </c>
      <c r="D28" s="173">
        <v>10517120</v>
      </c>
      <c r="E28" s="173">
        <v>49347509</v>
      </c>
      <c r="F28" s="173">
        <v>17902594</v>
      </c>
    </row>
    <row r="29" spans="2:6">
      <c r="B29" s="176" t="s">
        <v>166</v>
      </c>
      <c r="C29" s="173">
        <v>171649563</v>
      </c>
      <c r="D29" s="173">
        <v>21066170</v>
      </c>
      <c r="E29" s="173">
        <v>51103915</v>
      </c>
      <c r="F29" s="173">
        <v>22538932</v>
      </c>
    </row>
    <row r="30" spans="2:6">
      <c r="B30" s="176" t="s">
        <v>165</v>
      </c>
      <c r="C30" s="173">
        <v>166501267</v>
      </c>
      <c r="D30" s="173">
        <v>21248180</v>
      </c>
      <c r="E30" s="173">
        <v>47626334</v>
      </c>
      <c r="F30" s="173">
        <v>16995681</v>
      </c>
    </row>
    <row r="31" spans="2:6">
      <c r="B31" s="176" t="s">
        <v>164</v>
      </c>
      <c r="C31" s="173">
        <v>162524723</v>
      </c>
      <c r="D31" s="173">
        <v>22394580</v>
      </c>
      <c r="E31" s="173">
        <v>47512240</v>
      </c>
      <c r="F31" s="173">
        <v>16614972</v>
      </c>
    </row>
    <row r="32" spans="2:6">
      <c r="B32" s="176" t="s">
        <v>163</v>
      </c>
      <c r="C32" s="173">
        <v>157643436</v>
      </c>
      <c r="D32" s="173">
        <v>21031440</v>
      </c>
      <c r="E32" s="173">
        <v>45006670</v>
      </c>
      <c r="F32" s="173">
        <v>15819776</v>
      </c>
    </row>
    <row r="33" spans="2:6">
      <c r="B33" s="176" t="s">
        <v>162</v>
      </c>
      <c r="C33" s="173">
        <v>145061096</v>
      </c>
      <c r="D33" s="173">
        <v>20148590</v>
      </c>
      <c r="E33" s="173">
        <v>42332184</v>
      </c>
      <c r="F33" s="173">
        <v>14126364</v>
      </c>
    </row>
    <row r="34" spans="2:6">
      <c r="B34" s="176" t="s">
        <v>161</v>
      </c>
      <c r="C34" s="173">
        <v>92560328</v>
      </c>
      <c r="D34" s="173">
        <v>11686190</v>
      </c>
      <c r="E34" s="173">
        <v>40229080</v>
      </c>
      <c r="F34" s="173">
        <v>14508565</v>
      </c>
    </row>
    <row r="35" spans="2:6">
      <c r="B35" s="176" t="s">
        <v>160</v>
      </c>
      <c r="C35" s="173">
        <v>89920285</v>
      </c>
      <c r="D35" s="173">
        <v>10556170</v>
      </c>
      <c r="E35" s="173">
        <v>46287017</v>
      </c>
      <c r="F35" s="173">
        <v>17820992</v>
      </c>
    </row>
    <row r="36" spans="2:6">
      <c r="B36" s="176" t="s">
        <v>159</v>
      </c>
      <c r="C36" s="173">
        <v>172005612</v>
      </c>
      <c r="D36" s="173">
        <v>21540310</v>
      </c>
      <c r="E36" s="173">
        <v>54719125</v>
      </c>
      <c r="F36" s="173">
        <v>17224450</v>
      </c>
    </row>
    <row r="37" spans="2:6">
      <c r="B37" s="176" t="s">
        <v>158</v>
      </c>
      <c r="C37" s="173">
        <v>165759262</v>
      </c>
      <c r="D37" s="173">
        <v>21747730</v>
      </c>
      <c r="E37" s="173">
        <v>53960247</v>
      </c>
      <c r="F37" s="173">
        <v>17926012</v>
      </c>
    </row>
    <row r="38" spans="2:6">
      <c r="B38" s="176" t="s">
        <v>157</v>
      </c>
      <c r="C38" s="173">
        <v>159525356</v>
      </c>
      <c r="D38" s="173">
        <v>20433120</v>
      </c>
      <c r="E38" s="173">
        <v>50350733</v>
      </c>
      <c r="F38" s="173">
        <v>17266201</v>
      </c>
    </row>
  </sheetData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opLeftCell="A11" workbookViewId="0">
      <selection activeCell="E42" sqref="E42"/>
    </sheetView>
  </sheetViews>
  <sheetFormatPr defaultColWidth="9.140625" defaultRowHeight="16.5"/>
  <cols>
    <col min="1" max="1" width="9.140625" style="171"/>
    <col min="2" max="2" width="11.7109375" style="171" bestFit="1" customWidth="1"/>
    <col min="3" max="3" width="13.7109375" style="171" bestFit="1" customWidth="1"/>
    <col min="4" max="6" width="12.7109375" style="171" bestFit="1" customWidth="1"/>
    <col min="7" max="16384" width="9.140625" style="171"/>
  </cols>
  <sheetData>
    <row r="2" spans="2:6">
      <c r="B2" s="181" t="s">
        <v>190</v>
      </c>
      <c r="C2" s="183" t="s">
        <v>22</v>
      </c>
      <c r="D2" s="182" t="s">
        <v>23</v>
      </c>
      <c r="E2" s="182" t="s">
        <v>24</v>
      </c>
      <c r="F2" s="182" t="s">
        <v>7</v>
      </c>
    </row>
    <row r="3" spans="2:6">
      <c r="B3" s="181" t="s">
        <v>189</v>
      </c>
      <c r="C3" s="180">
        <v>88486910.75</v>
      </c>
      <c r="D3" s="180">
        <v>9899340</v>
      </c>
      <c r="E3" s="180">
        <v>37289993.25</v>
      </c>
      <c r="F3" s="180">
        <v>15470551.25</v>
      </c>
    </row>
    <row r="4" spans="2:6">
      <c r="B4" s="181"/>
      <c r="C4" s="180"/>
      <c r="D4" s="180"/>
      <c r="E4" s="180"/>
      <c r="F4" s="180"/>
    </row>
    <row r="5" spans="2:6">
      <c r="B5" s="179" t="s">
        <v>198</v>
      </c>
      <c r="C5" s="178" t="s">
        <v>197</v>
      </c>
      <c r="D5" s="178" t="s">
        <v>196</v>
      </c>
      <c r="E5" s="178" t="s">
        <v>87</v>
      </c>
      <c r="F5" s="178" t="s">
        <v>88</v>
      </c>
    </row>
    <row r="6" spans="2:6">
      <c r="B6" s="176" t="s">
        <v>188</v>
      </c>
      <c r="C6" s="173">
        <v>90201432</v>
      </c>
      <c r="D6" s="173">
        <v>9529450</v>
      </c>
      <c r="E6" s="173">
        <v>39082362</v>
      </c>
      <c r="F6" s="173">
        <v>18082339</v>
      </c>
    </row>
    <row r="7" spans="2:6">
      <c r="B7" s="176" t="s">
        <v>187</v>
      </c>
      <c r="C7" s="173">
        <v>89320379</v>
      </c>
      <c r="D7" s="173">
        <v>8416920</v>
      </c>
      <c r="E7" s="173">
        <v>45278428</v>
      </c>
      <c r="F7" s="173">
        <v>19798846</v>
      </c>
    </row>
    <row r="8" spans="2:6">
      <c r="B8" s="176" t="s">
        <v>186</v>
      </c>
      <c r="C8" s="173">
        <v>167438693</v>
      </c>
      <c r="D8" s="173">
        <v>18340460</v>
      </c>
      <c r="E8" s="173">
        <v>53021819</v>
      </c>
      <c r="F8" s="173">
        <v>21742596</v>
      </c>
    </row>
    <row r="9" spans="2:6">
      <c r="B9" s="176" t="s">
        <v>185</v>
      </c>
      <c r="C9" s="173">
        <v>164377372</v>
      </c>
      <c r="D9" s="173">
        <v>18521910</v>
      </c>
      <c r="E9" s="173">
        <v>51936923</v>
      </c>
      <c r="F9" s="173">
        <v>26155751</v>
      </c>
    </row>
    <row r="10" spans="2:6">
      <c r="B10" s="176" t="s">
        <v>184</v>
      </c>
      <c r="C10" s="173">
        <v>161301345</v>
      </c>
      <c r="D10" s="173">
        <v>17403710</v>
      </c>
      <c r="E10" s="173">
        <v>50642594</v>
      </c>
      <c r="F10" s="173">
        <v>20402364</v>
      </c>
    </row>
    <row r="11" spans="2:6">
      <c r="B11" s="176" t="s">
        <v>183</v>
      </c>
      <c r="C11" s="177">
        <v>156981935</v>
      </c>
      <c r="D11" s="177">
        <v>17192160</v>
      </c>
      <c r="E11" s="177">
        <v>47306759</v>
      </c>
      <c r="F11" s="177">
        <v>19348658</v>
      </c>
    </row>
    <row r="12" spans="2:6">
      <c r="B12" s="176" t="s">
        <v>182</v>
      </c>
      <c r="C12" s="177">
        <v>146403435</v>
      </c>
      <c r="D12" s="177">
        <v>16459520</v>
      </c>
      <c r="E12" s="177">
        <v>46697173</v>
      </c>
      <c r="F12" s="177">
        <v>18476920</v>
      </c>
    </row>
    <row r="13" spans="2:6">
      <c r="B13" s="176" t="s">
        <v>181</v>
      </c>
      <c r="C13" s="177">
        <v>92771161</v>
      </c>
      <c r="D13" s="177">
        <v>9518790</v>
      </c>
      <c r="E13" s="177">
        <v>41715628</v>
      </c>
      <c r="F13" s="177">
        <v>18479528</v>
      </c>
    </row>
    <row r="14" spans="2:6">
      <c r="B14" s="176" t="s">
        <v>180</v>
      </c>
      <c r="C14" s="177">
        <v>90129549</v>
      </c>
      <c r="D14" s="177">
        <v>8965420</v>
      </c>
      <c r="E14" s="177">
        <v>47793330</v>
      </c>
      <c r="F14" s="177">
        <v>19948728</v>
      </c>
    </row>
    <row r="15" spans="2:6">
      <c r="B15" s="176" t="s">
        <v>179</v>
      </c>
      <c r="C15" s="173">
        <v>167834984</v>
      </c>
      <c r="D15" s="173">
        <v>17093960</v>
      </c>
      <c r="E15" s="173">
        <v>48520455</v>
      </c>
      <c r="F15" s="173">
        <v>19708185</v>
      </c>
    </row>
    <row r="16" spans="2:6">
      <c r="B16" s="176" t="s">
        <v>178</v>
      </c>
      <c r="C16" s="173">
        <v>157014875</v>
      </c>
      <c r="D16" s="173">
        <v>15819010</v>
      </c>
      <c r="E16" s="173">
        <v>43933614</v>
      </c>
      <c r="F16" s="173">
        <v>18677976</v>
      </c>
    </row>
    <row r="17" spans="2:6">
      <c r="B17" s="176" t="s">
        <v>177</v>
      </c>
      <c r="C17" s="173">
        <v>142973150</v>
      </c>
      <c r="D17" s="173">
        <v>15175170</v>
      </c>
      <c r="E17" s="173">
        <v>37382613</v>
      </c>
      <c r="F17" s="173">
        <v>18656801</v>
      </c>
    </row>
    <row r="18" spans="2:6">
      <c r="B18" s="176" t="s">
        <v>195</v>
      </c>
      <c r="C18" s="173">
        <v>134633744</v>
      </c>
      <c r="D18" s="173">
        <v>15757630</v>
      </c>
      <c r="E18" s="173">
        <v>32518427</v>
      </c>
      <c r="F18" s="173">
        <v>16765212</v>
      </c>
    </row>
    <row r="19" spans="2:6">
      <c r="B19" s="176" t="s">
        <v>194</v>
      </c>
      <c r="C19" s="173">
        <v>112678726</v>
      </c>
      <c r="D19" s="173">
        <v>13879400</v>
      </c>
      <c r="E19" s="173">
        <v>25765503</v>
      </c>
      <c r="F19" s="173">
        <v>14548052</v>
      </c>
    </row>
    <row r="20" spans="2:6">
      <c r="B20" s="176" t="s">
        <v>193</v>
      </c>
      <c r="C20" s="175">
        <v>69651317</v>
      </c>
      <c r="D20" s="175">
        <v>7394140</v>
      </c>
      <c r="E20" s="175">
        <v>23880720</v>
      </c>
      <c r="F20" s="175">
        <v>14554674</v>
      </c>
    </row>
    <row r="21" spans="2:6">
      <c r="B21" s="176" t="s">
        <v>173</v>
      </c>
      <c r="C21" s="175">
        <v>58793396</v>
      </c>
      <c r="D21" s="175">
        <v>6321650</v>
      </c>
      <c r="E21" s="175">
        <v>22395323</v>
      </c>
      <c r="F21" s="175">
        <v>14061404</v>
      </c>
    </row>
    <row r="22" spans="2:6">
      <c r="B22" s="176" t="s">
        <v>172</v>
      </c>
      <c r="C22" s="175">
        <v>62105661</v>
      </c>
      <c r="D22" s="175">
        <v>6342250</v>
      </c>
      <c r="E22" s="175">
        <v>23840688</v>
      </c>
      <c r="F22" s="175">
        <v>14515291</v>
      </c>
    </row>
    <row r="23" spans="2:6">
      <c r="B23" s="176" t="s">
        <v>171</v>
      </c>
      <c r="C23" s="175">
        <v>73700751</v>
      </c>
      <c r="D23" s="175">
        <v>7842870</v>
      </c>
      <c r="E23" s="175">
        <v>32247792</v>
      </c>
      <c r="F23" s="175">
        <v>19145762</v>
      </c>
    </row>
    <row r="24" spans="2:6">
      <c r="B24" s="176" t="s">
        <v>199</v>
      </c>
      <c r="C24" s="175">
        <v>90921789</v>
      </c>
      <c r="D24" s="175">
        <v>9100080</v>
      </c>
      <c r="E24" s="175">
        <v>42827820</v>
      </c>
      <c r="F24" s="175">
        <v>20932500</v>
      </c>
    </row>
    <row r="25" spans="2:6">
      <c r="B25" s="176" t="s">
        <v>192</v>
      </c>
      <c r="C25" s="173">
        <v>167345187</v>
      </c>
      <c r="D25" s="173">
        <v>18179100</v>
      </c>
      <c r="E25" s="173">
        <v>50905771</v>
      </c>
      <c r="F25" s="173">
        <v>23506446</v>
      </c>
    </row>
    <row r="26" spans="2:6">
      <c r="B26" s="176" t="s">
        <v>191</v>
      </c>
      <c r="C26" s="173">
        <v>151507199</v>
      </c>
      <c r="D26" s="173">
        <v>16353940</v>
      </c>
      <c r="E26" s="173">
        <v>44562873</v>
      </c>
      <c r="F26" s="173">
        <v>21345619</v>
      </c>
    </row>
    <row r="27" spans="2:6">
      <c r="B27" s="176" t="s">
        <v>168</v>
      </c>
      <c r="C27" s="173">
        <v>94174678</v>
      </c>
      <c r="D27" s="173">
        <v>9899470</v>
      </c>
      <c r="E27" s="173">
        <v>39392983</v>
      </c>
      <c r="F27" s="173">
        <v>21601281</v>
      </c>
    </row>
    <row r="28" spans="2:6">
      <c r="B28" s="176" t="s">
        <v>167</v>
      </c>
      <c r="C28" s="173">
        <v>88251760</v>
      </c>
      <c r="D28" s="173">
        <v>8683000</v>
      </c>
      <c r="E28" s="173">
        <v>41704635</v>
      </c>
      <c r="F28" s="173">
        <v>22352350</v>
      </c>
    </row>
    <row r="29" spans="2:6">
      <c r="B29" s="176" t="s">
        <v>166</v>
      </c>
      <c r="C29" s="173">
        <v>169538451</v>
      </c>
      <c r="D29" s="173">
        <v>17500140</v>
      </c>
      <c r="E29" s="173">
        <v>54877145</v>
      </c>
      <c r="F29" s="173">
        <v>20468389</v>
      </c>
    </row>
    <row r="30" spans="2:6">
      <c r="B30" s="176" t="s">
        <v>165</v>
      </c>
      <c r="C30" s="173">
        <v>163546756</v>
      </c>
      <c r="D30" s="173">
        <v>17824760</v>
      </c>
      <c r="E30" s="173">
        <v>47397681</v>
      </c>
      <c r="F30" s="173">
        <v>18147716</v>
      </c>
    </row>
    <row r="31" spans="2:6">
      <c r="B31" s="176" t="s">
        <v>164</v>
      </c>
      <c r="C31" s="173">
        <v>107671948</v>
      </c>
      <c r="D31" s="173">
        <v>12517350</v>
      </c>
      <c r="E31" s="173">
        <v>45582516</v>
      </c>
      <c r="F31" s="173">
        <v>18958711</v>
      </c>
    </row>
    <row r="32" spans="2:6">
      <c r="B32" s="176" t="s">
        <v>163</v>
      </c>
      <c r="C32" s="173">
        <v>140938006</v>
      </c>
      <c r="D32" s="173">
        <v>14920210</v>
      </c>
      <c r="E32" s="173">
        <v>44720043</v>
      </c>
      <c r="F32" s="173">
        <v>17093784</v>
      </c>
    </row>
    <row r="33" spans="2:6">
      <c r="B33" s="176" t="s">
        <v>162</v>
      </c>
      <c r="C33" s="173">
        <v>90013090</v>
      </c>
      <c r="D33" s="173">
        <v>8858310</v>
      </c>
      <c r="E33" s="173">
        <v>41886529</v>
      </c>
      <c r="F33" s="173">
        <v>17191385</v>
      </c>
    </row>
    <row r="34" spans="2:6">
      <c r="B34" s="176" t="s">
        <v>161</v>
      </c>
      <c r="C34" s="173">
        <v>89633124</v>
      </c>
      <c r="D34" s="173">
        <v>7900350</v>
      </c>
      <c r="E34" s="173">
        <v>49893962</v>
      </c>
      <c r="F34" s="173">
        <v>20050606</v>
      </c>
    </row>
    <row r="35" spans="2:6">
      <c r="B35" s="176" t="s">
        <v>160</v>
      </c>
      <c r="C35" s="173">
        <v>162417352</v>
      </c>
      <c r="D35" s="173">
        <v>17382990</v>
      </c>
      <c r="E35" s="173">
        <v>54768347</v>
      </c>
      <c r="F35" s="173">
        <v>21100590</v>
      </c>
    </row>
    <row r="36" spans="2:6">
      <c r="B36" s="176" t="s">
        <v>159</v>
      </c>
      <c r="C36" s="173">
        <v>149725670</v>
      </c>
      <c r="D36" s="173">
        <v>18952970</v>
      </c>
      <c r="E36" s="173">
        <v>47491253</v>
      </c>
      <c r="F36" s="173">
        <v>18380078</v>
      </c>
    </row>
    <row r="37" spans="2:6">
      <c r="B37" s="176" t="s">
        <v>158</v>
      </c>
      <c r="C37" s="173">
        <v>105099690</v>
      </c>
      <c r="D37" s="173">
        <v>16552710</v>
      </c>
      <c r="E37" s="173">
        <v>50217831</v>
      </c>
      <c r="F37" s="173">
        <v>21150762</v>
      </c>
    </row>
    <row r="38" spans="2:6">
      <c r="B38" s="176" t="s">
        <v>157</v>
      </c>
      <c r="C38" s="173">
        <v>155540077</v>
      </c>
      <c r="D38" s="173">
        <v>21823240</v>
      </c>
      <c r="E38" s="173">
        <v>49324071</v>
      </c>
      <c r="F38" s="173">
        <v>20733797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</vt:i4>
      </vt:variant>
    </vt:vector>
  </HeadingPairs>
  <TitlesOfParts>
    <vt:vector size="12" baseType="lpstr">
      <vt:lpstr>하락 예상 매출_요약</vt:lpstr>
      <vt:lpstr>8월_매출 현황</vt:lpstr>
      <vt:lpstr>2020_설날 DB</vt:lpstr>
      <vt:lpstr>2019_추석 DB</vt:lpstr>
      <vt:lpstr>2019_설날 DB</vt:lpstr>
      <vt:lpstr>2018_추석 DB</vt:lpstr>
      <vt:lpstr>참고(숨기기 예정)</vt:lpstr>
      <vt:lpstr>20년설</vt:lpstr>
      <vt:lpstr>19년추석</vt:lpstr>
      <vt:lpstr>19년설</vt:lpstr>
      <vt:lpstr>18년추석</vt:lpstr>
      <vt:lpstr>'8월_매출 현황'!Print_Area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이슬비</dc:creator>
  <cp:lastModifiedBy>20-A-001</cp:lastModifiedBy>
  <dcterms:created xsi:type="dcterms:W3CDTF">2019-08-26T00:57:54Z</dcterms:created>
  <dcterms:modified xsi:type="dcterms:W3CDTF">2022-11-14T01:11:14Z</dcterms:modified>
</cp:coreProperties>
</file>